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omments3.xml" ContentType="application/vnd.openxmlformats-officedocument.spreadsheetml.comments+xml"/>
  <Override PartName="/xl/charts/chart5.xml" ContentType="application/vnd.openxmlformats-officedocument.drawingml.chart+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01"/>
  <workbookPr showInkAnnotation="0" codeName="ThisWorkbook" autoCompressPictures="0"/>
  <mc:AlternateContent xmlns:mc="http://schemas.openxmlformats.org/markup-compatibility/2006">
    <mc:Choice Requires="x15">
      <x15ac:absPath xmlns:x15ac="http://schemas.microsoft.com/office/spreadsheetml/2010/11/ac" url="C:\Users\nico\Dropbox\RNFC\Models\WIP\Water Utility\Backup\"/>
    </mc:Choice>
  </mc:AlternateContent>
  <xr:revisionPtr revIDLastSave="0" documentId="13_ncr:1_{02C4F2C6-0642-44DB-ABC8-3B0E3E61570A}" xr6:coauthVersionLast="43" xr6:coauthVersionMax="43" xr10:uidLastSave="{00000000-0000-0000-0000-000000000000}"/>
  <bookViews>
    <workbookView xWindow="-108" yWindow="-108" windowWidth="23256" windowHeight="12576" tabRatio="500" firstSheet="3" activeTab="4" xr2:uid="{00000000-000D-0000-FFFF-FFFF00000000}"/>
  </bookViews>
  <sheets>
    <sheet name="Setup" sheetId="1" r:id="rId1"/>
    <sheet name="Introduction" sheetId="2" r:id="rId2"/>
    <sheet name="Policy choices" sheetId="3" r:id="rId3"/>
    <sheet name="Other assumptions" sheetId="4" r:id="rId4"/>
    <sheet name="Analysis - No risk" sheetId="5" r:id="rId5"/>
    <sheet name="Analysis - with risk" sheetId="6" r:id="rId6"/>
    <sheet name="SWPNZPSYWSLKSESPZO" sheetId="7" r:id="rId7"/>
  </sheets>
  <externalReferences>
    <externalReference r:id="rId8"/>
  </externalReferences>
  <definedNames>
    <definedName name="Assumptions_Other">'Other assumptions'!$B$4:$F$73</definedName>
    <definedName name="Assumptions_Policy">'Policy choices'!$B$4:$D$26</definedName>
    <definedName name="BilledDemand_Det">'Analysis - No risk'!$21:$21</definedName>
    <definedName name="BilledDemand_Risk">'Analysis - with risk'!$15:$15</definedName>
    <definedName name="Ch_CoverageData">'Analysis - with risk'!$216:$216</definedName>
    <definedName name="Ch_EcDet">'Analysis - with risk'!$197:$197</definedName>
    <definedName name="Ch_EcOption">'Other assumptions'!$J$4</definedName>
    <definedName name="Ch_EcRisk">'Analysis - with risk'!$198:$198</definedName>
    <definedName name="Ch_FreqData">'Analysis - with risk'!#REF!</definedName>
    <definedName name="Ch_RiskData">'Analysis - with risk'!$211:$211</definedName>
    <definedName name="Ch_RiskFreq">'Analysis - with risk'!$223:$223</definedName>
    <definedName name="Ch_RiskTariff">'Policy choices'!$U$33</definedName>
    <definedName name="Collection">'Other assumptions'!$D$66</definedName>
    <definedName name="Collection_FC">'Analysis - No risk'!$24:$24</definedName>
    <definedName name="Collection_Target">'Other assumptions'!$D$67</definedName>
    <definedName name="Collection_TargetYr">'Other assumptions'!$D$68</definedName>
    <definedName name="Connections">'Analysis - No risk'!$17:$17</definedName>
    <definedName name="Connections_New">'Analysis - No risk'!$18:$18</definedName>
    <definedName name="Contract_Length">'Policy choices'!$D$4</definedName>
    <definedName name="CopingCost">'Other assumptions'!$E$41</definedName>
    <definedName name="CPI">'Analysis - with risk'!$92:$92</definedName>
    <definedName name="Customers_Growth">'Other assumptions'!$E$14</definedName>
    <definedName name="Customers_Init">'Other assumptions'!$D$14</definedName>
    <definedName name="Default_Other">Setup!$B$44:$F$113</definedName>
    <definedName name="Default_Policy">Setup!$B$20:$D$42</definedName>
    <definedName name="DeflateFactor_Det">'Analysis - No risk'!$6:$6</definedName>
    <definedName name="DeflateFactor_Risk">'Analysis - with risk'!$6:$6</definedName>
    <definedName name="DeflateFactor_TariffSetting">'Analysis - with risk'!$93:$93</definedName>
    <definedName name="Demand">'Other assumptions'!$D$21</definedName>
    <definedName name="Demand_Growth">'Other assumptions'!$D$22</definedName>
    <definedName name="Demand_Vol">'Other assumptions'!$D$23</definedName>
    <definedName name="DepRate">'Other assumptions'!$E$60</definedName>
    <definedName name="DiscountFactor">'Analysis - No risk'!$11:$11</definedName>
    <definedName name="DisRate_Cur">'Other assumptions'!$D$11</definedName>
    <definedName name="DisRevReq_Det">'Analysis - No risk'!$135:$135</definedName>
    <definedName name="ExistTariff_Connected">'Other assumptions'!$D$40</definedName>
    <definedName name="ExistTariff_Other">'Other assumptions'!$E$40</definedName>
    <definedName name="ExRate_Cur">'Other assumptions'!$D$6</definedName>
    <definedName name="ExRate_Growth">'Other assumptions'!$D$7</definedName>
    <definedName name="ExRate_Vol">'Other assumptions'!$D$8</definedName>
    <definedName name="FreqBin">Setup!$H$5</definedName>
    <definedName name="Grace_Period">'Policy choices'!$D$22</definedName>
    <definedName name="Inflation">'Analysis - with risk'!$92:$92</definedName>
    <definedName name="Inflation_Cur">'Other assumptions'!$F$6</definedName>
    <definedName name="Inflation_Det">'Analysis - No risk'!$4:$4</definedName>
    <definedName name="Inflation_LT">'Other assumptions'!$F$7</definedName>
    <definedName name="Inflation_Risk">'Analysis - with risk'!$4:$4</definedName>
    <definedName name="Inflation_Speed">'Other assumptions'!$F$9</definedName>
    <definedName name="Inflation_TariffSetting">'Analysis - with risk'!$92:$92</definedName>
    <definedName name="Inflation_Vol">'Other assumptions'!$F$8</definedName>
    <definedName name="InitAssetBase">'Other assumptions'!$E$59</definedName>
    <definedName name="IntRate_Cur">'Other assumptions'!$D$10</definedName>
    <definedName name="Invest_Period">'Policy choices'!$D$21</definedName>
    <definedName name="InvestPerConnection">'Other assumptions'!$E$46</definedName>
    <definedName name="lbl_Dom">Setup!$D$10</definedName>
    <definedName name="lbl_Fixed">Setup!$C$10</definedName>
    <definedName name="lbl_For">Setup!$D$11</definedName>
    <definedName name="lbl_ForCurrency">Setup!$D$16</definedName>
    <definedName name="lbl_IndexCPI">Setup!#REF!</definedName>
    <definedName name="lbl_IndexNone">Setup!#REF!</definedName>
    <definedName name="lbl_LocalCurrency">Setup!$D$15</definedName>
    <definedName name="lbl_ResetTypes">Setup!$F$7:$F$10</definedName>
    <definedName name="lbl_Var">Setup!$C$11</definedName>
    <definedName name="Man_Fee">'Policy choices'!$D$12</definedName>
    <definedName name="MaxYr">Setup!$H$4</definedName>
    <definedName name="MinDebtRatio">'Other assumptions'!$D$73</definedName>
    <definedName name="MonDenomination">Setup!$C$7</definedName>
    <definedName name="MonDenValue">Setup!$D$7</definedName>
    <definedName name="NomExRate_Det">'Analysis - No risk'!$9:$9</definedName>
    <definedName name="NomExRate_Risk">'Analysis - with risk'!$9:$9</definedName>
    <definedName name="Opex_Fixed">'Other assumptions'!$E$50</definedName>
    <definedName name="Opex_FixedForeign">'Other assumptions'!$E$52</definedName>
    <definedName name="Opex_FixedGrowth">'Other assumptions'!$E$51</definedName>
    <definedName name="Opex_Var">'Other assumptions'!$E$54</definedName>
    <definedName name="Opex_VarForeign">'Other assumptions'!$E$56</definedName>
    <definedName name="Opex_VarGrowth">'Other assumptions'!$E$55</definedName>
    <definedName name="PotentialConnections">'Analysis - No risk'!$15:$15</definedName>
    <definedName name="RealExRate_Det">'Analysis - No risk'!$8:$8</definedName>
    <definedName name="RealExRate_Risk">'Analysis - with risk'!$8:$8</definedName>
    <definedName name="RealExRate_TariffSetting">'Analysis - with risk'!$122:$122</definedName>
    <definedName name="RevReq_Det">'Analysis - No risk'!$126:$126</definedName>
    <definedName name="Risk_Result">SWPNZPSYWSLKSESPZO!$C$4</definedName>
    <definedName name="ServExt_CAPct">'Policy choices'!$D$17</definedName>
    <definedName name="ServExt_Debt">'Policy choices'!$D$19</definedName>
    <definedName name="ServExt_LoanIntDen">'Policy choices'!$D$20</definedName>
    <definedName name="ServExt_LoanPct">'Policy choices'!$D$16</definedName>
    <definedName name="ServTarget">'Policy choices'!$D$7</definedName>
    <definedName name="ServTarget_Exist">'Other assumptions'!$D$15</definedName>
    <definedName name="ServTarget_FC">'Analysis - No risk'!$16:$16</definedName>
    <definedName name="ServTarget_Year">'Policy choices'!$D$9</definedName>
    <definedName name="Sim_Num">'Policy choices'!$T$5</definedName>
    <definedName name="Sim_Time">'Policy choices'!$T$6</definedName>
    <definedName name="SimResults">SWPNZPSYWSLKSESPZO!$E$4:$F$65536</definedName>
    <definedName name="Tariff_Period">'Policy choices'!$D$26</definedName>
    <definedName name="TariffIndex_Det">'Analysis - No risk'!$148:$148</definedName>
    <definedName name="TariffIndex_Risk">'Analysis - with risk'!$149:$149</definedName>
    <definedName name="UFW_CurVal">'Other assumptions'!$D$26</definedName>
    <definedName name="UFW_FC">'Analysis - No risk'!$23:$23</definedName>
    <definedName name="UFW_Target">'Other assumptions'!$E$26</definedName>
    <definedName name="UFW_TargetYr">'Other assumptions'!$F$26</definedName>
    <definedName name="WaterDenomination">Setup!$C$5</definedName>
    <definedName name="WaterDenValue">Setup!$D$5</definedName>
    <definedName name="WTP_Connection">'Other assumptions'!$D$33</definedName>
    <definedName name="WTP_Cope">'Other assumptions'!$E$34</definedName>
    <definedName name="WTP_Other">'Other assumptions'!$D$34</definedName>
    <definedName name="Year">'Analysis - No risk'!$2:$2</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224" i="6" l="1"/>
  <c r="C223" i="6"/>
  <c r="AS222" i="6"/>
  <c r="AR222" i="6"/>
  <c r="AQ222" i="6"/>
  <c r="AP222" i="6"/>
  <c r="AO222" i="6"/>
  <c r="AN222" i="6"/>
  <c r="AM222" i="6"/>
  <c r="AL222" i="6"/>
  <c r="AK222" i="6"/>
  <c r="AJ222" i="6"/>
  <c r="AI222" i="6"/>
  <c r="AH222" i="6"/>
  <c r="AG222" i="6"/>
  <c r="AF222" i="6"/>
  <c r="AE222" i="6"/>
  <c r="AD222" i="6"/>
  <c r="AC222" i="6"/>
  <c r="AB222" i="6"/>
  <c r="AA222" i="6"/>
  <c r="Z222" i="6"/>
  <c r="X8" i="3"/>
  <c r="AG27" i="3"/>
  <c r="Y8" i="3"/>
  <c r="X9" i="3"/>
  <c r="Y9" i="3"/>
  <c r="D220" i="6"/>
  <c r="E220" i="6"/>
  <c r="F220" i="6"/>
  <c r="G220" i="6"/>
  <c r="H220" i="6"/>
  <c r="I220" i="6"/>
  <c r="J220" i="6"/>
  <c r="K220" i="6"/>
  <c r="L220" i="6"/>
  <c r="M220" i="6"/>
  <c r="N220" i="6"/>
  <c r="O220" i="6"/>
  <c r="P220" i="6"/>
  <c r="Q220" i="6"/>
  <c r="R220" i="6"/>
  <c r="S220" i="6"/>
  <c r="T220" i="6"/>
  <c r="U220" i="6"/>
  <c r="V220" i="6"/>
  <c r="W220" i="6"/>
  <c r="X220" i="6"/>
  <c r="X221" i="6"/>
  <c r="Y222" i="6"/>
  <c r="W221" i="6"/>
  <c r="X222" i="6"/>
  <c r="V221" i="6"/>
  <c r="W222" i="6"/>
  <c r="U221" i="6"/>
  <c r="V222" i="6"/>
  <c r="T221" i="6"/>
  <c r="U222" i="6"/>
  <c r="S221" i="6"/>
  <c r="T222" i="6"/>
  <c r="R221" i="6"/>
  <c r="S222" i="6"/>
  <c r="Q221" i="6"/>
  <c r="R222" i="6"/>
  <c r="P221" i="6"/>
  <c r="Q222" i="6"/>
  <c r="O221" i="6"/>
  <c r="P222" i="6"/>
  <c r="N221" i="6"/>
  <c r="O222" i="6"/>
  <c r="M221" i="6"/>
  <c r="N222" i="6"/>
  <c r="L221" i="6"/>
  <c r="M222" i="6"/>
  <c r="K221" i="6"/>
  <c r="L222" i="6"/>
  <c r="J221" i="6"/>
  <c r="K222" i="6"/>
  <c r="I221" i="6"/>
  <c r="J222" i="6"/>
  <c r="H221" i="6"/>
  <c r="I222" i="6"/>
  <c r="G221" i="6"/>
  <c r="H222" i="6"/>
  <c r="F221" i="6"/>
  <c r="G222" i="6"/>
  <c r="E221" i="6"/>
  <c r="F222" i="6"/>
  <c r="D221" i="6"/>
  <c r="E222" i="6"/>
  <c r="D222" i="6"/>
  <c r="B222" i="6"/>
  <c r="Y220" i="6"/>
  <c r="Z220" i="6"/>
  <c r="AA220" i="6"/>
  <c r="AB220" i="6"/>
  <c r="AC220" i="6"/>
  <c r="AD220" i="6"/>
  <c r="AE220" i="6"/>
  <c r="AF220" i="6"/>
  <c r="AG220" i="6"/>
  <c r="AH220" i="6"/>
  <c r="AI220" i="6"/>
  <c r="AJ220" i="6"/>
  <c r="AK220" i="6"/>
  <c r="AL220" i="6"/>
  <c r="AM220" i="6"/>
  <c r="AN220" i="6"/>
  <c r="AO220" i="6"/>
  <c r="AP220" i="6"/>
  <c r="AQ220" i="6"/>
  <c r="AR220" i="6"/>
  <c r="AS220" i="6"/>
  <c r="AS221" i="6"/>
  <c r="AR221" i="6"/>
  <c r="AQ221" i="6"/>
  <c r="AP221" i="6"/>
  <c r="AO221" i="6"/>
  <c r="AN221" i="6"/>
  <c r="AM221" i="6"/>
  <c r="AL221" i="6"/>
  <c r="AK221" i="6"/>
  <c r="AJ221" i="6"/>
  <c r="AI221" i="6"/>
  <c r="AH221" i="6"/>
  <c r="AG221" i="6"/>
  <c r="AF221" i="6"/>
  <c r="AE221" i="6"/>
  <c r="AD221" i="6"/>
  <c r="AC221" i="6"/>
  <c r="AB221" i="6"/>
  <c r="AA221" i="6"/>
  <c r="Z221" i="6"/>
  <c r="Y221" i="6"/>
  <c r="D148" i="5"/>
  <c r="D194" i="5"/>
  <c r="D199" i="5"/>
  <c r="D198" i="5"/>
  <c r="D16" i="5"/>
  <c r="D15" i="5"/>
  <c r="D17" i="5"/>
  <c r="D7" i="1"/>
  <c r="D209" i="5"/>
  <c r="E2" i="5"/>
  <c r="D4" i="5"/>
  <c r="E4" i="5"/>
  <c r="E6" i="5"/>
  <c r="E148" i="5"/>
  <c r="E194" i="5"/>
  <c r="E199" i="5"/>
  <c r="F2" i="5"/>
  <c r="G2" i="5"/>
  <c r="H2" i="5"/>
  <c r="I2" i="5"/>
  <c r="D20" i="5"/>
  <c r="E20" i="5"/>
  <c r="E16" i="5"/>
  <c r="E15" i="5"/>
  <c r="E17" i="5"/>
  <c r="D5" i="1"/>
  <c r="E21" i="5"/>
  <c r="E11" i="5"/>
  <c r="E110" i="5"/>
  <c r="E111" i="5"/>
  <c r="F20" i="5"/>
  <c r="F16" i="5"/>
  <c r="F15" i="5"/>
  <c r="F17" i="5"/>
  <c r="F21" i="5"/>
  <c r="F11" i="5"/>
  <c r="F110" i="5"/>
  <c r="F111" i="5"/>
  <c r="G20" i="5"/>
  <c r="G16" i="5"/>
  <c r="G15" i="5"/>
  <c r="G17" i="5"/>
  <c r="G21" i="5"/>
  <c r="G11" i="5"/>
  <c r="G110" i="5"/>
  <c r="G111" i="5"/>
  <c r="H20" i="5"/>
  <c r="H16" i="5"/>
  <c r="H15" i="5"/>
  <c r="H17" i="5"/>
  <c r="H21" i="5"/>
  <c r="H11" i="5"/>
  <c r="H110" i="5"/>
  <c r="H111" i="5"/>
  <c r="I20" i="5"/>
  <c r="I16" i="5"/>
  <c r="I15" i="5"/>
  <c r="I17" i="5"/>
  <c r="I21" i="5"/>
  <c r="I11" i="5"/>
  <c r="I110" i="5"/>
  <c r="I111" i="5"/>
  <c r="D112" i="5"/>
  <c r="E122" i="5"/>
  <c r="E105" i="5"/>
  <c r="E18" i="5"/>
  <c r="E38" i="5"/>
  <c r="E106" i="5"/>
  <c r="D17" i="3"/>
  <c r="E114" i="5"/>
  <c r="E107" i="5"/>
  <c r="E117" i="5"/>
  <c r="E126" i="5"/>
  <c r="E127" i="5"/>
  <c r="E128" i="5"/>
  <c r="F122" i="5"/>
  <c r="E108" i="5"/>
  <c r="F105" i="5"/>
  <c r="F18" i="5"/>
  <c r="F4" i="5"/>
  <c r="F6" i="5"/>
  <c r="F38" i="5"/>
  <c r="F106" i="5"/>
  <c r="F114" i="5"/>
  <c r="F107" i="5"/>
  <c r="F117" i="5"/>
  <c r="F126" i="5"/>
  <c r="F127" i="5"/>
  <c r="F128" i="5"/>
  <c r="G122" i="5"/>
  <c r="F108" i="5"/>
  <c r="G105" i="5"/>
  <c r="G18" i="5"/>
  <c r="G4" i="5"/>
  <c r="G6" i="5"/>
  <c r="G38" i="5"/>
  <c r="G106" i="5"/>
  <c r="G114" i="5"/>
  <c r="G107" i="5"/>
  <c r="G117" i="5"/>
  <c r="G126" i="5"/>
  <c r="G127" i="5"/>
  <c r="G128" i="5"/>
  <c r="H122" i="5"/>
  <c r="G108" i="5"/>
  <c r="H105" i="5"/>
  <c r="H18" i="5"/>
  <c r="H4" i="5"/>
  <c r="H6" i="5"/>
  <c r="H38" i="5"/>
  <c r="H106" i="5"/>
  <c r="H114" i="5"/>
  <c r="H107" i="5"/>
  <c r="H117" i="5"/>
  <c r="H126" i="5"/>
  <c r="H127" i="5"/>
  <c r="H128" i="5"/>
  <c r="I122" i="5"/>
  <c r="H108" i="5"/>
  <c r="I105" i="5"/>
  <c r="I18" i="5"/>
  <c r="I4" i="5"/>
  <c r="I6" i="5"/>
  <c r="I38" i="5"/>
  <c r="I106" i="5"/>
  <c r="I114" i="5"/>
  <c r="I107" i="5"/>
  <c r="I117" i="5"/>
  <c r="I126" i="5"/>
  <c r="I127" i="5"/>
  <c r="I128" i="5"/>
  <c r="D135" i="5"/>
  <c r="E143" i="5"/>
  <c r="E153" i="5"/>
  <c r="E115" i="5"/>
  <c r="E118" i="5"/>
  <c r="D103" i="5"/>
  <c r="E100" i="5"/>
  <c r="E103" i="5"/>
  <c r="E101" i="5"/>
  <c r="E102" i="5"/>
  <c r="E119" i="5"/>
  <c r="E50" i="4"/>
  <c r="D30" i="5"/>
  <c r="E30" i="5"/>
  <c r="D33" i="5"/>
  <c r="E33" i="5"/>
  <c r="E23" i="5"/>
  <c r="E120" i="5"/>
  <c r="D31" i="5"/>
  <c r="E31" i="5"/>
  <c r="D34" i="5"/>
  <c r="E34" i="5"/>
  <c r="D8" i="5"/>
  <c r="E8" i="5"/>
  <c r="E121" i="5"/>
  <c r="E130" i="5"/>
  <c r="E131" i="5"/>
  <c r="E132" i="5"/>
  <c r="F115" i="5"/>
  <c r="F118" i="5"/>
  <c r="F100" i="5"/>
  <c r="F103" i="5"/>
  <c r="F101" i="5"/>
  <c r="F102" i="5"/>
  <c r="F119" i="5"/>
  <c r="F30" i="5"/>
  <c r="F33" i="5"/>
  <c r="F23" i="5"/>
  <c r="F120" i="5"/>
  <c r="F31" i="5"/>
  <c r="F34" i="5"/>
  <c r="F8" i="5"/>
  <c r="F121" i="5"/>
  <c r="F130" i="5"/>
  <c r="F131" i="5"/>
  <c r="F132" i="5"/>
  <c r="G115" i="5"/>
  <c r="G118" i="5"/>
  <c r="G100" i="5"/>
  <c r="G103" i="5"/>
  <c r="G101" i="5"/>
  <c r="G102" i="5"/>
  <c r="G119" i="5"/>
  <c r="G30" i="5"/>
  <c r="G33" i="5"/>
  <c r="G23" i="5"/>
  <c r="G120" i="5"/>
  <c r="G31" i="5"/>
  <c r="G34" i="5"/>
  <c r="G8" i="5"/>
  <c r="G121" i="5"/>
  <c r="G130" i="5"/>
  <c r="G131" i="5"/>
  <c r="G132" i="5"/>
  <c r="H115" i="5"/>
  <c r="H118" i="5"/>
  <c r="H100" i="5"/>
  <c r="H103" i="5"/>
  <c r="H101" i="5"/>
  <c r="H102" i="5"/>
  <c r="H119" i="5"/>
  <c r="H30" i="5"/>
  <c r="H33" i="5"/>
  <c r="H23" i="5"/>
  <c r="H120" i="5"/>
  <c r="H31" i="5"/>
  <c r="H34" i="5"/>
  <c r="H8" i="5"/>
  <c r="H121" i="5"/>
  <c r="H130" i="5"/>
  <c r="H131" i="5"/>
  <c r="H132" i="5"/>
  <c r="I115" i="5"/>
  <c r="I118" i="5"/>
  <c r="I100" i="5"/>
  <c r="I103" i="5"/>
  <c r="I101" i="5"/>
  <c r="I102" i="5"/>
  <c r="I119" i="5"/>
  <c r="I30" i="5"/>
  <c r="I33" i="5"/>
  <c r="I23" i="5"/>
  <c r="I120" i="5"/>
  <c r="I31" i="5"/>
  <c r="I34" i="5"/>
  <c r="I8" i="5"/>
  <c r="I121" i="5"/>
  <c r="I130" i="5"/>
  <c r="I131" i="5"/>
  <c r="I132" i="5"/>
  <c r="D136" i="5"/>
  <c r="E144" i="5"/>
  <c r="E154" i="5"/>
  <c r="E198" i="5"/>
  <c r="E209" i="5"/>
  <c r="F148" i="5"/>
  <c r="F194" i="5"/>
  <c r="F199" i="5"/>
  <c r="F143" i="5"/>
  <c r="F153" i="5"/>
  <c r="F144" i="5"/>
  <c r="F154" i="5"/>
  <c r="F198" i="5"/>
  <c r="F209" i="5"/>
  <c r="G148" i="5"/>
  <c r="G194" i="5"/>
  <c r="G199" i="5"/>
  <c r="G143" i="5"/>
  <c r="G153" i="5"/>
  <c r="G144" i="5"/>
  <c r="G154" i="5"/>
  <c r="G198" i="5"/>
  <c r="G209" i="5"/>
  <c r="H148" i="5"/>
  <c r="H194" i="5"/>
  <c r="H199" i="5"/>
  <c r="H143" i="5"/>
  <c r="H153" i="5"/>
  <c r="H144" i="5"/>
  <c r="H154" i="5"/>
  <c r="H198" i="5"/>
  <c r="H209" i="5"/>
  <c r="I148" i="5"/>
  <c r="I194" i="5"/>
  <c r="I199" i="5"/>
  <c r="I143" i="5"/>
  <c r="I153" i="5"/>
  <c r="I144" i="5"/>
  <c r="I154" i="5"/>
  <c r="I198" i="5"/>
  <c r="I209" i="5"/>
  <c r="J2" i="5"/>
  <c r="J4" i="5"/>
  <c r="J6" i="5"/>
  <c r="J148" i="5"/>
  <c r="J194" i="5"/>
  <c r="J199" i="5"/>
  <c r="K2" i="5"/>
  <c r="L2" i="5"/>
  <c r="M2" i="5"/>
  <c r="N2" i="5"/>
  <c r="J20" i="5"/>
  <c r="J16" i="5"/>
  <c r="J15" i="5"/>
  <c r="J17" i="5"/>
  <c r="J21" i="5"/>
  <c r="J11" i="5"/>
  <c r="J110" i="5"/>
  <c r="J111" i="5"/>
  <c r="K20" i="5"/>
  <c r="K16" i="5"/>
  <c r="K15" i="5"/>
  <c r="K17" i="5"/>
  <c r="K21" i="5"/>
  <c r="K11" i="5"/>
  <c r="K110" i="5"/>
  <c r="K111" i="5"/>
  <c r="L20" i="5"/>
  <c r="L16" i="5"/>
  <c r="L15" i="5"/>
  <c r="L17" i="5"/>
  <c r="L21" i="5"/>
  <c r="L11" i="5"/>
  <c r="L110" i="5"/>
  <c r="L111" i="5"/>
  <c r="M20" i="5"/>
  <c r="M16" i="5"/>
  <c r="M15" i="5"/>
  <c r="M17" i="5"/>
  <c r="M21" i="5"/>
  <c r="M11" i="5"/>
  <c r="M110" i="5"/>
  <c r="M111" i="5"/>
  <c r="N20" i="5"/>
  <c r="N16" i="5"/>
  <c r="N15" i="5"/>
  <c r="N17" i="5"/>
  <c r="N21" i="5"/>
  <c r="N11" i="5"/>
  <c r="N110" i="5"/>
  <c r="N111" i="5"/>
  <c r="I112" i="5"/>
  <c r="J122" i="5"/>
  <c r="I108" i="5"/>
  <c r="J105" i="5"/>
  <c r="J18" i="5"/>
  <c r="J38" i="5"/>
  <c r="J106" i="5"/>
  <c r="J114" i="5"/>
  <c r="J107" i="5"/>
  <c r="J117" i="5"/>
  <c r="J126" i="5"/>
  <c r="J127" i="5"/>
  <c r="J128" i="5"/>
  <c r="K122" i="5"/>
  <c r="J108" i="5"/>
  <c r="K105" i="5"/>
  <c r="K18" i="5"/>
  <c r="K4" i="5"/>
  <c r="K6" i="5"/>
  <c r="K38" i="5"/>
  <c r="K106" i="5"/>
  <c r="K114" i="5"/>
  <c r="K107" i="5"/>
  <c r="K117" i="5"/>
  <c r="K126" i="5"/>
  <c r="K127" i="5"/>
  <c r="K128" i="5"/>
  <c r="L122" i="5"/>
  <c r="K108" i="5"/>
  <c r="L105" i="5"/>
  <c r="L18" i="5"/>
  <c r="L4" i="5"/>
  <c r="L6" i="5"/>
  <c r="L38" i="5"/>
  <c r="L106" i="5"/>
  <c r="L114" i="5"/>
  <c r="L107" i="5"/>
  <c r="L117" i="5"/>
  <c r="L126" i="5"/>
  <c r="L127" i="5"/>
  <c r="L128" i="5"/>
  <c r="M122" i="5"/>
  <c r="L108" i="5"/>
  <c r="M105" i="5"/>
  <c r="M18" i="5"/>
  <c r="M4" i="5"/>
  <c r="M6" i="5"/>
  <c r="M38" i="5"/>
  <c r="M106" i="5"/>
  <c r="M114" i="5"/>
  <c r="M107" i="5"/>
  <c r="M117" i="5"/>
  <c r="M126" i="5"/>
  <c r="M127" i="5"/>
  <c r="M128" i="5"/>
  <c r="N122" i="5"/>
  <c r="M108" i="5"/>
  <c r="N105" i="5"/>
  <c r="N18" i="5"/>
  <c r="N4" i="5"/>
  <c r="N6" i="5"/>
  <c r="N38" i="5"/>
  <c r="N106" i="5"/>
  <c r="N114" i="5"/>
  <c r="N107" i="5"/>
  <c r="N117" i="5"/>
  <c r="N126" i="5"/>
  <c r="N127" i="5"/>
  <c r="N128" i="5"/>
  <c r="I135" i="5"/>
  <c r="J143" i="5"/>
  <c r="J153" i="5"/>
  <c r="J115" i="5"/>
  <c r="J118" i="5"/>
  <c r="J100" i="5"/>
  <c r="J103" i="5"/>
  <c r="J101" i="5"/>
  <c r="J102" i="5"/>
  <c r="J119" i="5"/>
  <c r="J30" i="5"/>
  <c r="J33" i="5"/>
  <c r="J23" i="5"/>
  <c r="J120" i="5"/>
  <c r="J31" i="5"/>
  <c r="J34" i="5"/>
  <c r="J8" i="5"/>
  <c r="J121" i="5"/>
  <c r="J130" i="5"/>
  <c r="J131" i="5"/>
  <c r="J132" i="5"/>
  <c r="K115" i="5"/>
  <c r="K118" i="5"/>
  <c r="K100" i="5"/>
  <c r="K103" i="5"/>
  <c r="K101" i="5"/>
  <c r="K102" i="5"/>
  <c r="K119" i="5"/>
  <c r="K30" i="5"/>
  <c r="K33" i="5"/>
  <c r="K23" i="5"/>
  <c r="K120" i="5"/>
  <c r="K31" i="5"/>
  <c r="K34" i="5"/>
  <c r="K8" i="5"/>
  <c r="K121" i="5"/>
  <c r="K130" i="5"/>
  <c r="K131" i="5"/>
  <c r="K132" i="5"/>
  <c r="L115" i="5"/>
  <c r="L118" i="5"/>
  <c r="L100" i="5"/>
  <c r="L103" i="5"/>
  <c r="L101" i="5"/>
  <c r="L102" i="5"/>
  <c r="L119" i="5"/>
  <c r="L30" i="5"/>
  <c r="L33" i="5"/>
  <c r="L23" i="5"/>
  <c r="L120" i="5"/>
  <c r="L31" i="5"/>
  <c r="L34" i="5"/>
  <c r="L8" i="5"/>
  <c r="L121" i="5"/>
  <c r="L130" i="5"/>
  <c r="L131" i="5"/>
  <c r="L132" i="5"/>
  <c r="M115" i="5"/>
  <c r="M118" i="5"/>
  <c r="M100" i="5"/>
  <c r="M103" i="5"/>
  <c r="M101" i="5"/>
  <c r="M102" i="5"/>
  <c r="M119" i="5"/>
  <c r="M30" i="5"/>
  <c r="M33" i="5"/>
  <c r="M23" i="5"/>
  <c r="M120" i="5"/>
  <c r="M31" i="5"/>
  <c r="M34" i="5"/>
  <c r="M8" i="5"/>
  <c r="M121" i="5"/>
  <c r="M130" i="5"/>
  <c r="M131" i="5"/>
  <c r="M132" i="5"/>
  <c r="N115" i="5"/>
  <c r="N118" i="5"/>
  <c r="N100" i="5"/>
  <c r="N103" i="5"/>
  <c r="N101" i="5"/>
  <c r="N102" i="5"/>
  <c r="N119" i="5"/>
  <c r="N30" i="5"/>
  <c r="N33" i="5"/>
  <c r="N23" i="5"/>
  <c r="N120" i="5"/>
  <c r="N31" i="5"/>
  <c r="N34" i="5"/>
  <c r="N8" i="5"/>
  <c r="N121" i="5"/>
  <c r="N130" i="5"/>
  <c r="N131" i="5"/>
  <c r="N132" i="5"/>
  <c r="I136" i="5"/>
  <c r="J144" i="5"/>
  <c r="J154" i="5"/>
  <c r="J198" i="5"/>
  <c r="J209" i="5"/>
  <c r="K148" i="5"/>
  <c r="K194" i="5"/>
  <c r="K199" i="5"/>
  <c r="K143" i="5"/>
  <c r="K153" i="5"/>
  <c r="K144" i="5"/>
  <c r="K154" i="5"/>
  <c r="K198" i="5"/>
  <c r="K209" i="5"/>
  <c r="L148" i="5"/>
  <c r="L194" i="5"/>
  <c r="L199" i="5"/>
  <c r="L143" i="5"/>
  <c r="L153" i="5"/>
  <c r="L144" i="5"/>
  <c r="L154" i="5"/>
  <c r="L198" i="5"/>
  <c r="L209" i="5"/>
  <c r="M148" i="5"/>
  <c r="M194" i="5"/>
  <c r="M199" i="5"/>
  <c r="M143" i="5"/>
  <c r="M153" i="5"/>
  <c r="M144" i="5"/>
  <c r="M154" i="5"/>
  <c r="M198" i="5"/>
  <c r="M209" i="5"/>
  <c r="N148" i="5"/>
  <c r="N194" i="5"/>
  <c r="N199" i="5"/>
  <c r="N143" i="5"/>
  <c r="N153" i="5"/>
  <c r="N144" i="5"/>
  <c r="N154" i="5"/>
  <c r="N198" i="5"/>
  <c r="N209" i="5"/>
  <c r="O2" i="5"/>
  <c r="O4" i="5"/>
  <c r="O6" i="5"/>
  <c r="O148" i="5"/>
  <c r="O194" i="5"/>
  <c r="O199" i="5"/>
  <c r="P2" i="5"/>
  <c r="Q2" i="5"/>
  <c r="R2" i="5"/>
  <c r="S2" i="5"/>
  <c r="O20" i="5"/>
  <c r="O16" i="5"/>
  <c r="O15" i="5"/>
  <c r="O17" i="5"/>
  <c r="O21" i="5"/>
  <c r="O11" i="5"/>
  <c r="O110" i="5"/>
  <c r="O111" i="5"/>
  <c r="P20" i="5"/>
  <c r="P16" i="5"/>
  <c r="P15" i="5"/>
  <c r="P17" i="5"/>
  <c r="P21" i="5"/>
  <c r="P11" i="5"/>
  <c r="P110" i="5"/>
  <c r="P111" i="5"/>
  <c r="Q20" i="5"/>
  <c r="Q16" i="5"/>
  <c r="Q15" i="5"/>
  <c r="Q17" i="5"/>
  <c r="Q21" i="5"/>
  <c r="Q11" i="5"/>
  <c r="Q110" i="5"/>
  <c r="Q111" i="5"/>
  <c r="R20" i="5"/>
  <c r="R16" i="5"/>
  <c r="R15" i="5"/>
  <c r="R17" i="5"/>
  <c r="R21" i="5"/>
  <c r="R11" i="5"/>
  <c r="R110" i="5"/>
  <c r="R111" i="5"/>
  <c r="S20" i="5"/>
  <c r="S16" i="5"/>
  <c r="S15" i="5"/>
  <c r="S17" i="5"/>
  <c r="S21" i="5"/>
  <c r="S11" i="5"/>
  <c r="S110" i="5"/>
  <c r="S111" i="5"/>
  <c r="N112" i="5"/>
  <c r="O122" i="5"/>
  <c r="N108" i="5"/>
  <c r="O105" i="5"/>
  <c r="O18" i="5"/>
  <c r="O38" i="5"/>
  <c r="O106" i="5"/>
  <c r="O114" i="5"/>
  <c r="O107" i="5"/>
  <c r="O117" i="5"/>
  <c r="O126" i="5"/>
  <c r="O127" i="5"/>
  <c r="O128" i="5"/>
  <c r="P122" i="5"/>
  <c r="O108" i="5"/>
  <c r="P105" i="5"/>
  <c r="P18" i="5"/>
  <c r="P4" i="5"/>
  <c r="P6" i="5"/>
  <c r="P38" i="5"/>
  <c r="P106" i="5"/>
  <c r="P114" i="5"/>
  <c r="P107" i="5"/>
  <c r="P117" i="5"/>
  <c r="P126" i="5"/>
  <c r="P127" i="5"/>
  <c r="P128" i="5"/>
  <c r="Q122" i="5"/>
  <c r="P108" i="5"/>
  <c r="Q105" i="5"/>
  <c r="Q18" i="5"/>
  <c r="Q4" i="5"/>
  <c r="Q6" i="5"/>
  <c r="Q38" i="5"/>
  <c r="Q106" i="5"/>
  <c r="Q114" i="5"/>
  <c r="Q107" i="5"/>
  <c r="Q117" i="5"/>
  <c r="Q126" i="5"/>
  <c r="Q127" i="5"/>
  <c r="Q128" i="5"/>
  <c r="R122" i="5"/>
  <c r="Q108" i="5"/>
  <c r="R105" i="5"/>
  <c r="R18" i="5"/>
  <c r="R4" i="5"/>
  <c r="R6" i="5"/>
  <c r="R38" i="5"/>
  <c r="R106" i="5"/>
  <c r="R114" i="5"/>
  <c r="R107" i="5"/>
  <c r="R117" i="5"/>
  <c r="R126" i="5"/>
  <c r="R127" i="5"/>
  <c r="R128" i="5"/>
  <c r="S122" i="5"/>
  <c r="R108" i="5"/>
  <c r="S105" i="5"/>
  <c r="S18" i="5"/>
  <c r="S4" i="5"/>
  <c r="S6" i="5"/>
  <c r="S38" i="5"/>
  <c r="S106" i="5"/>
  <c r="S114" i="5"/>
  <c r="S107" i="5"/>
  <c r="S117" i="5"/>
  <c r="S126" i="5"/>
  <c r="S127" i="5"/>
  <c r="S128" i="5"/>
  <c r="N135" i="5"/>
  <c r="O143" i="5"/>
  <c r="O153" i="5"/>
  <c r="O115" i="5"/>
  <c r="O118" i="5"/>
  <c r="O100" i="5"/>
  <c r="O103" i="5"/>
  <c r="O101" i="5"/>
  <c r="O102" i="5"/>
  <c r="O119" i="5"/>
  <c r="O30" i="5"/>
  <c r="O33" i="5"/>
  <c r="O23" i="5"/>
  <c r="O120" i="5"/>
  <c r="O31" i="5"/>
  <c r="O34" i="5"/>
  <c r="O8" i="5"/>
  <c r="O121" i="5"/>
  <c r="O130" i="5"/>
  <c r="O131" i="5"/>
  <c r="O132" i="5"/>
  <c r="P115" i="5"/>
  <c r="P118" i="5"/>
  <c r="P100" i="5"/>
  <c r="P103" i="5"/>
  <c r="P101" i="5"/>
  <c r="P102" i="5"/>
  <c r="P119" i="5"/>
  <c r="P30" i="5"/>
  <c r="P33" i="5"/>
  <c r="P23" i="5"/>
  <c r="P120" i="5"/>
  <c r="P31" i="5"/>
  <c r="P34" i="5"/>
  <c r="P8" i="5"/>
  <c r="P121" i="5"/>
  <c r="P130" i="5"/>
  <c r="P131" i="5"/>
  <c r="P132" i="5"/>
  <c r="Q115" i="5"/>
  <c r="Q118" i="5"/>
  <c r="Q100" i="5"/>
  <c r="Q103" i="5"/>
  <c r="Q101" i="5"/>
  <c r="Q102" i="5"/>
  <c r="Q119" i="5"/>
  <c r="Q30" i="5"/>
  <c r="Q33" i="5"/>
  <c r="Q23" i="5"/>
  <c r="Q120" i="5"/>
  <c r="Q31" i="5"/>
  <c r="Q34" i="5"/>
  <c r="Q8" i="5"/>
  <c r="Q121" i="5"/>
  <c r="Q130" i="5"/>
  <c r="Q131" i="5"/>
  <c r="Q132" i="5"/>
  <c r="R115" i="5"/>
  <c r="R118" i="5"/>
  <c r="R100" i="5"/>
  <c r="R103" i="5"/>
  <c r="R101" i="5"/>
  <c r="R102" i="5"/>
  <c r="R119" i="5"/>
  <c r="R30" i="5"/>
  <c r="R33" i="5"/>
  <c r="R23" i="5"/>
  <c r="R120" i="5"/>
  <c r="R31" i="5"/>
  <c r="R34" i="5"/>
  <c r="R8" i="5"/>
  <c r="R121" i="5"/>
  <c r="R130" i="5"/>
  <c r="R131" i="5"/>
  <c r="R132" i="5"/>
  <c r="S115" i="5"/>
  <c r="S118" i="5"/>
  <c r="S100" i="5"/>
  <c r="S103" i="5"/>
  <c r="S101" i="5"/>
  <c r="S102" i="5"/>
  <c r="S119" i="5"/>
  <c r="S30" i="5"/>
  <c r="S33" i="5"/>
  <c r="S23" i="5"/>
  <c r="S120" i="5"/>
  <c r="S31" i="5"/>
  <c r="S34" i="5"/>
  <c r="S8" i="5"/>
  <c r="S121" i="5"/>
  <c r="S130" i="5"/>
  <c r="S131" i="5"/>
  <c r="S132" i="5"/>
  <c r="N136" i="5"/>
  <c r="O144" i="5"/>
  <c r="O154" i="5"/>
  <c r="O198" i="5"/>
  <c r="O209" i="5"/>
  <c r="P148" i="5"/>
  <c r="P194" i="5"/>
  <c r="P199" i="5"/>
  <c r="P143" i="5"/>
  <c r="P153" i="5"/>
  <c r="P144" i="5"/>
  <c r="P154" i="5"/>
  <c r="P198" i="5"/>
  <c r="P209" i="5"/>
  <c r="Q148" i="5"/>
  <c r="Q194" i="5"/>
  <c r="Q199" i="5"/>
  <c r="Q143" i="5"/>
  <c r="Q153" i="5"/>
  <c r="Q144" i="5"/>
  <c r="Q154" i="5"/>
  <c r="Q198" i="5"/>
  <c r="Q209" i="5"/>
  <c r="R148" i="5"/>
  <c r="R194" i="5"/>
  <c r="R199" i="5"/>
  <c r="R143" i="5"/>
  <c r="R153" i="5"/>
  <c r="R144" i="5"/>
  <c r="R154" i="5"/>
  <c r="R198" i="5"/>
  <c r="R209" i="5"/>
  <c r="S148" i="5"/>
  <c r="S194" i="5"/>
  <c r="S199" i="5"/>
  <c r="S143" i="5"/>
  <c r="S153" i="5"/>
  <c r="S144" i="5"/>
  <c r="S154" i="5"/>
  <c r="S198" i="5"/>
  <c r="S209" i="5"/>
  <c r="T2" i="5"/>
  <c r="T4" i="5"/>
  <c r="T6" i="5"/>
  <c r="T148" i="5"/>
  <c r="T194" i="5"/>
  <c r="T199" i="5"/>
  <c r="U2" i="5"/>
  <c r="V2" i="5"/>
  <c r="W2" i="5"/>
  <c r="X2" i="5"/>
  <c r="T20" i="5"/>
  <c r="T16" i="5"/>
  <c r="T15" i="5"/>
  <c r="T17" i="5"/>
  <c r="T21" i="5"/>
  <c r="T11" i="5"/>
  <c r="T110" i="5"/>
  <c r="T111" i="5"/>
  <c r="U20" i="5"/>
  <c r="U16" i="5"/>
  <c r="U15" i="5"/>
  <c r="U17" i="5"/>
  <c r="U21" i="5"/>
  <c r="U11" i="5"/>
  <c r="U110" i="5"/>
  <c r="U111" i="5"/>
  <c r="V20" i="5"/>
  <c r="V16" i="5"/>
  <c r="V15" i="5"/>
  <c r="V17" i="5"/>
  <c r="V21" i="5"/>
  <c r="V11" i="5"/>
  <c r="V110" i="5"/>
  <c r="V111" i="5"/>
  <c r="W20" i="5"/>
  <c r="W16" i="5"/>
  <c r="W15" i="5"/>
  <c r="W17" i="5"/>
  <c r="W21" i="5"/>
  <c r="W11" i="5"/>
  <c r="W110" i="5"/>
  <c r="W111" i="5"/>
  <c r="X20" i="5"/>
  <c r="X16" i="5"/>
  <c r="X15" i="5"/>
  <c r="X17" i="5"/>
  <c r="X21" i="5"/>
  <c r="X11" i="5"/>
  <c r="X110" i="5"/>
  <c r="X111" i="5"/>
  <c r="S112" i="5"/>
  <c r="T122" i="5"/>
  <c r="S108" i="5"/>
  <c r="T105" i="5"/>
  <c r="T18" i="5"/>
  <c r="T38" i="5"/>
  <c r="T106" i="5"/>
  <c r="T114" i="5"/>
  <c r="T107" i="5"/>
  <c r="T117" i="5"/>
  <c r="T126" i="5"/>
  <c r="T127" i="5"/>
  <c r="T128" i="5"/>
  <c r="U122" i="5"/>
  <c r="T108" i="5"/>
  <c r="U105" i="5"/>
  <c r="U18" i="5"/>
  <c r="U4" i="5"/>
  <c r="U6" i="5"/>
  <c r="U38" i="5"/>
  <c r="U106" i="5"/>
  <c r="U114" i="5"/>
  <c r="U107" i="5"/>
  <c r="U117" i="5"/>
  <c r="U126" i="5"/>
  <c r="U127" i="5"/>
  <c r="U128" i="5"/>
  <c r="V122" i="5"/>
  <c r="U108" i="5"/>
  <c r="V105" i="5"/>
  <c r="V18" i="5"/>
  <c r="V4" i="5"/>
  <c r="V6" i="5"/>
  <c r="V38" i="5"/>
  <c r="V106" i="5"/>
  <c r="V114" i="5"/>
  <c r="V107" i="5"/>
  <c r="V117" i="5"/>
  <c r="V126" i="5"/>
  <c r="V127" i="5"/>
  <c r="V128" i="5"/>
  <c r="W122" i="5"/>
  <c r="V108" i="5"/>
  <c r="W105" i="5"/>
  <c r="W18" i="5"/>
  <c r="W4" i="5"/>
  <c r="W6" i="5"/>
  <c r="W38" i="5"/>
  <c r="W106" i="5"/>
  <c r="W114" i="5"/>
  <c r="W107" i="5"/>
  <c r="W117" i="5"/>
  <c r="W126" i="5"/>
  <c r="W127" i="5"/>
  <c r="W128" i="5"/>
  <c r="X122" i="5"/>
  <c r="W108" i="5"/>
  <c r="X105" i="5"/>
  <c r="X18" i="5"/>
  <c r="X4" i="5"/>
  <c r="X6" i="5"/>
  <c r="X38" i="5"/>
  <c r="X106" i="5"/>
  <c r="X114" i="5"/>
  <c r="X107" i="5"/>
  <c r="X117" i="5"/>
  <c r="X126" i="5"/>
  <c r="X127" i="5"/>
  <c r="X128" i="5"/>
  <c r="S135" i="5"/>
  <c r="T143" i="5"/>
  <c r="T153" i="5"/>
  <c r="T115" i="5"/>
  <c r="T118" i="5"/>
  <c r="T100" i="5"/>
  <c r="T103" i="5"/>
  <c r="T101" i="5"/>
  <c r="T102" i="5"/>
  <c r="T119" i="5"/>
  <c r="T30" i="5"/>
  <c r="T33" i="5"/>
  <c r="T23" i="5"/>
  <c r="T120" i="5"/>
  <c r="T31" i="5"/>
  <c r="T34" i="5"/>
  <c r="T8" i="5"/>
  <c r="T121" i="5"/>
  <c r="T130" i="5"/>
  <c r="T131" i="5"/>
  <c r="T132" i="5"/>
  <c r="U115" i="5"/>
  <c r="U118" i="5"/>
  <c r="U100" i="5"/>
  <c r="U103" i="5"/>
  <c r="U101" i="5"/>
  <c r="U102" i="5"/>
  <c r="U119" i="5"/>
  <c r="U30" i="5"/>
  <c r="U33" i="5"/>
  <c r="U23" i="5"/>
  <c r="U120" i="5"/>
  <c r="U31" i="5"/>
  <c r="U34" i="5"/>
  <c r="U8" i="5"/>
  <c r="U121" i="5"/>
  <c r="U130" i="5"/>
  <c r="U131" i="5"/>
  <c r="U132" i="5"/>
  <c r="V115" i="5"/>
  <c r="V118" i="5"/>
  <c r="V100" i="5"/>
  <c r="V103" i="5"/>
  <c r="V101" i="5"/>
  <c r="V102" i="5"/>
  <c r="V119" i="5"/>
  <c r="V30" i="5"/>
  <c r="V33" i="5"/>
  <c r="V23" i="5"/>
  <c r="V120" i="5"/>
  <c r="V31" i="5"/>
  <c r="V34" i="5"/>
  <c r="V8" i="5"/>
  <c r="V121" i="5"/>
  <c r="V130" i="5"/>
  <c r="V131" i="5"/>
  <c r="V132" i="5"/>
  <c r="W115" i="5"/>
  <c r="W118" i="5"/>
  <c r="W100" i="5"/>
  <c r="W103" i="5"/>
  <c r="W101" i="5"/>
  <c r="W102" i="5"/>
  <c r="W119" i="5"/>
  <c r="W30" i="5"/>
  <c r="W33" i="5"/>
  <c r="W23" i="5"/>
  <c r="W120" i="5"/>
  <c r="W31" i="5"/>
  <c r="W34" i="5"/>
  <c r="W8" i="5"/>
  <c r="W121" i="5"/>
  <c r="W130" i="5"/>
  <c r="W131" i="5"/>
  <c r="W132" i="5"/>
  <c r="X115" i="5"/>
  <c r="X118" i="5"/>
  <c r="X100" i="5"/>
  <c r="X103" i="5"/>
  <c r="X101" i="5"/>
  <c r="X102" i="5"/>
  <c r="X119" i="5"/>
  <c r="X30" i="5"/>
  <c r="X33" i="5"/>
  <c r="X23" i="5"/>
  <c r="X120" i="5"/>
  <c r="X31" i="5"/>
  <c r="X34" i="5"/>
  <c r="X8" i="5"/>
  <c r="X121" i="5"/>
  <c r="X130" i="5"/>
  <c r="X131" i="5"/>
  <c r="X132" i="5"/>
  <c r="S136" i="5"/>
  <c r="T144" i="5"/>
  <c r="T154" i="5"/>
  <c r="T198" i="5"/>
  <c r="T209" i="5"/>
  <c r="U148" i="5"/>
  <c r="U194" i="5"/>
  <c r="U199" i="5"/>
  <c r="U143" i="5"/>
  <c r="U153" i="5"/>
  <c r="U144" i="5"/>
  <c r="U154" i="5"/>
  <c r="U198" i="5"/>
  <c r="U209" i="5"/>
  <c r="V148" i="5"/>
  <c r="V194" i="5"/>
  <c r="V199" i="5"/>
  <c r="V143" i="5"/>
  <c r="V153" i="5"/>
  <c r="V144" i="5"/>
  <c r="V154" i="5"/>
  <c r="V198" i="5"/>
  <c r="V209" i="5"/>
  <c r="W148" i="5"/>
  <c r="W194" i="5"/>
  <c r="W199" i="5"/>
  <c r="W143" i="5"/>
  <c r="W153" i="5"/>
  <c r="W144" i="5"/>
  <c r="W154" i="5"/>
  <c r="W198" i="5"/>
  <c r="W209" i="5"/>
  <c r="X148" i="5"/>
  <c r="X194" i="5"/>
  <c r="X199" i="5"/>
  <c r="X143" i="5"/>
  <c r="X153" i="5"/>
  <c r="X144" i="5"/>
  <c r="X154" i="5"/>
  <c r="X198" i="5"/>
  <c r="X209" i="5"/>
  <c r="Y2" i="5"/>
  <c r="Y209" i="5"/>
  <c r="Z2" i="5"/>
  <c r="Z209" i="5"/>
  <c r="AA2" i="5"/>
  <c r="AA209" i="5"/>
  <c r="AB2" i="5"/>
  <c r="AB209" i="5"/>
  <c r="AC2" i="5"/>
  <c r="AC209" i="5"/>
  <c r="AD2" i="5"/>
  <c r="AD209" i="5"/>
  <c r="AE2" i="5"/>
  <c r="AE209" i="5"/>
  <c r="AF2" i="5"/>
  <c r="AF209" i="5"/>
  <c r="AG2" i="5"/>
  <c r="AG209" i="5"/>
  <c r="AH2" i="5"/>
  <c r="AH209" i="5"/>
  <c r="AI2" i="5"/>
  <c r="AI209" i="5"/>
  <c r="AJ2" i="5"/>
  <c r="AJ209" i="5"/>
  <c r="AK2" i="5"/>
  <c r="AK209" i="5"/>
  <c r="AL2" i="5"/>
  <c r="AL209" i="5"/>
  <c r="AM2" i="5"/>
  <c r="AM209" i="5"/>
  <c r="AN2" i="5"/>
  <c r="AN209" i="5"/>
  <c r="AO2" i="5"/>
  <c r="AO209" i="5"/>
  <c r="AP2" i="5"/>
  <c r="AP209" i="5"/>
  <c r="AQ2" i="5"/>
  <c r="AQ209" i="5"/>
  <c r="AR2" i="5"/>
  <c r="AR209" i="5"/>
  <c r="D219" i="6"/>
  <c r="D195" i="5"/>
  <c r="D206" i="5"/>
  <c r="D207" i="5"/>
  <c r="D200" i="5"/>
  <c r="D202" i="5"/>
  <c r="D204" i="5"/>
  <c r="D210" i="5"/>
  <c r="E195" i="5"/>
  <c r="E206" i="5"/>
  <c r="E207" i="5"/>
  <c r="E200" i="5"/>
  <c r="E202" i="5"/>
  <c r="E204" i="5"/>
  <c r="E210" i="5"/>
  <c r="F195" i="5"/>
  <c r="F206" i="5"/>
  <c r="F207" i="5"/>
  <c r="F200" i="5"/>
  <c r="F202" i="5"/>
  <c r="F204" i="5"/>
  <c r="F210" i="5"/>
  <c r="G195" i="5"/>
  <c r="G206" i="5"/>
  <c r="G207" i="5"/>
  <c r="G200" i="5"/>
  <c r="G202" i="5"/>
  <c r="G204" i="5"/>
  <c r="G210" i="5"/>
  <c r="H195" i="5"/>
  <c r="H206" i="5"/>
  <c r="H207" i="5"/>
  <c r="H200" i="5"/>
  <c r="H202" i="5"/>
  <c r="H204" i="5"/>
  <c r="H210" i="5"/>
  <c r="I195" i="5"/>
  <c r="I206" i="5"/>
  <c r="I207" i="5"/>
  <c r="I200" i="5"/>
  <c r="I202" i="5"/>
  <c r="I204" i="5"/>
  <c r="I210" i="5"/>
  <c r="J195" i="5"/>
  <c r="J206" i="5"/>
  <c r="J207" i="5"/>
  <c r="J200" i="5"/>
  <c r="J202" i="5"/>
  <c r="J204" i="5"/>
  <c r="J210" i="5"/>
  <c r="K195" i="5"/>
  <c r="K206" i="5"/>
  <c r="K207" i="5"/>
  <c r="K200" i="5"/>
  <c r="K202" i="5"/>
  <c r="K204" i="5"/>
  <c r="K210" i="5"/>
  <c r="L195" i="5"/>
  <c r="L206" i="5"/>
  <c r="L207" i="5"/>
  <c r="L200" i="5"/>
  <c r="L202" i="5"/>
  <c r="L204" i="5"/>
  <c r="L210" i="5"/>
  <c r="M195" i="5"/>
  <c r="M206" i="5"/>
  <c r="M207" i="5"/>
  <c r="M200" i="5"/>
  <c r="M202" i="5"/>
  <c r="M204" i="5"/>
  <c r="M210" i="5"/>
  <c r="N195" i="5"/>
  <c r="N206" i="5"/>
  <c r="N207" i="5"/>
  <c r="N200" i="5"/>
  <c r="N202" i="5"/>
  <c r="N204" i="5"/>
  <c r="N210" i="5"/>
  <c r="O195" i="5"/>
  <c r="O206" i="5"/>
  <c r="O207" i="5"/>
  <c r="O200" i="5"/>
  <c r="O202" i="5"/>
  <c r="O204" i="5"/>
  <c r="O210" i="5"/>
  <c r="P195" i="5"/>
  <c r="P206" i="5"/>
  <c r="P207" i="5"/>
  <c r="P200" i="5"/>
  <c r="P202" i="5"/>
  <c r="P204" i="5"/>
  <c r="P210" i="5"/>
  <c r="Q195" i="5"/>
  <c r="Q206" i="5"/>
  <c r="Q207" i="5"/>
  <c r="Q200" i="5"/>
  <c r="Q202" i="5"/>
  <c r="Q204" i="5"/>
  <c r="Q210" i="5"/>
  <c r="R195" i="5"/>
  <c r="R206" i="5"/>
  <c r="R207" i="5"/>
  <c r="R200" i="5"/>
  <c r="R202" i="5"/>
  <c r="R204" i="5"/>
  <c r="R210" i="5"/>
  <c r="S195" i="5"/>
  <c r="S206" i="5"/>
  <c r="S207" i="5"/>
  <c r="S200" i="5"/>
  <c r="S202" i="5"/>
  <c r="S204" i="5"/>
  <c r="S210" i="5"/>
  <c r="T195" i="5"/>
  <c r="T206" i="5"/>
  <c r="T207" i="5"/>
  <c r="T200" i="5"/>
  <c r="T202" i="5"/>
  <c r="T204" i="5"/>
  <c r="T210" i="5"/>
  <c r="U195" i="5"/>
  <c r="U206" i="5"/>
  <c r="U207" i="5"/>
  <c r="U200" i="5"/>
  <c r="U202" i="5"/>
  <c r="U204" i="5"/>
  <c r="U210" i="5"/>
  <c r="V195" i="5"/>
  <c r="V206" i="5"/>
  <c r="V207" i="5"/>
  <c r="V200" i="5"/>
  <c r="V202" i="5"/>
  <c r="V204" i="5"/>
  <c r="V210" i="5"/>
  <c r="W195" i="5"/>
  <c r="W206" i="5"/>
  <c r="W207" i="5"/>
  <c r="W200" i="5"/>
  <c r="W202" i="5"/>
  <c r="W204" i="5"/>
  <c r="W210" i="5"/>
  <c r="X195" i="5"/>
  <c r="X206" i="5"/>
  <c r="X207" i="5"/>
  <c r="X200" i="5"/>
  <c r="X202" i="5"/>
  <c r="X204" i="5"/>
  <c r="X210" i="5"/>
  <c r="Y210" i="5"/>
  <c r="Z210" i="5"/>
  <c r="AA210" i="5"/>
  <c r="AB210" i="5"/>
  <c r="AC210" i="5"/>
  <c r="AD210" i="5"/>
  <c r="AE210" i="5"/>
  <c r="AF210" i="5"/>
  <c r="AG210" i="5"/>
  <c r="AH210" i="5"/>
  <c r="AI210" i="5"/>
  <c r="AJ210" i="5"/>
  <c r="AK210" i="5"/>
  <c r="AL210" i="5"/>
  <c r="AM210" i="5"/>
  <c r="AN210" i="5"/>
  <c r="AO210" i="5"/>
  <c r="AP210" i="5"/>
  <c r="AQ210" i="5"/>
  <c r="AR210" i="5"/>
  <c r="E219" i="6"/>
  <c r="F219" i="6"/>
  <c r="A219" i="6"/>
  <c r="D218" i="6"/>
  <c r="B218" i="6"/>
  <c r="AR16" i="5"/>
  <c r="AR216" i="6"/>
  <c r="AQ16" i="5"/>
  <c r="AQ216" i="6"/>
  <c r="AP16" i="5"/>
  <c r="AP216" i="6"/>
  <c r="AO16" i="5"/>
  <c r="AO216" i="6"/>
  <c r="AN16" i="5"/>
  <c r="AN216" i="6"/>
  <c r="AM16" i="5"/>
  <c r="AM216" i="6"/>
  <c r="AL16" i="5"/>
  <c r="AL216" i="6"/>
  <c r="AK16" i="5"/>
  <c r="AK216" i="6"/>
  <c r="AJ16" i="5"/>
  <c r="AJ216" i="6"/>
  <c r="AI16" i="5"/>
  <c r="AI216" i="6"/>
  <c r="AH16" i="5"/>
  <c r="AH216" i="6"/>
  <c r="AG16" i="5"/>
  <c r="AG216" i="6"/>
  <c r="AF16" i="5"/>
  <c r="AF216" i="6"/>
  <c r="AE16" i="5"/>
  <c r="AE216" i="6"/>
  <c r="AD16" i="5"/>
  <c r="AD216" i="6"/>
  <c r="AC16" i="5"/>
  <c r="AC216" i="6"/>
  <c r="AB16" i="5"/>
  <c r="AB216" i="6"/>
  <c r="AA16" i="5"/>
  <c r="AA216" i="6"/>
  <c r="Z16" i="5"/>
  <c r="Z216" i="6"/>
  <c r="Y16" i="5"/>
  <c r="Y216" i="6"/>
  <c r="X216" i="6"/>
  <c r="W216" i="6"/>
  <c r="V216" i="6"/>
  <c r="U216" i="6"/>
  <c r="T216" i="6"/>
  <c r="S216" i="6"/>
  <c r="R216" i="6"/>
  <c r="Q216" i="6"/>
  <c r="P216" i="6"/>
  <c r="O216" i="6"/>
  <c r="N216" i="6"/>
  <c r="M216" i="6"/>
  <c r="L216" i="6"/>
  <c r="K216" i="6"/>
  <c r="J216" i="6"/>
  <c r="I216" i="6"/>
  <c r="H216" i="6"/>
  <c r="G216" i="6"/>
  <c r="F216" i="6"/>
  <c r="E216" i="6"/>
  <c r="D216" i="6"/>
  <c r="D215" i="6"/>
  <c r="E215" i="6"/>
  <c r="F215" i="6"/>
  <c r="G215" i="6"/>
  <c r="H215" i="6"/>
  <c r="I215" i="6"/>
  <c r="J215" i="6"/>
  <c r="K215" i="6"/>
  <c r="L215" i="6"/>
  <c r="M215" i="6"/>
  <c r="N215" i="6"/>
  <c r="O215" i="6"/>
  <c r="P215" i="6"/>
  <c r="Q215" i="6"/>
  <c r="R215" i="6"/>
  <c r="S215" i="6"/>
  <c r="T215" i="6"/>
  <c r="U215" i="6"/>
  <c r="V215" i="6"/>
  <c r="W215" i="6"/>
  <c r="X215" i="6"/>
  <c r="Y215" i="6"/>
  <c r="Z215" i="6"/>
  <c r="AA215" i="6"/>
  <c r="AB215" i="6"/>
  <c r="AC215" i="6"/>
  <c r="AD215" i="6"/>
  <c r="AE215" i="6"/>
  <c r="AF215" i="6"/>
  <c r="AG215" i="6"/>
  <c r="AH215" i="6"/>
  <c r="AI215" i="6"/>
  <c r="AJ215" i="6"/>
  <c r="AK215" i="6"/>
  <c r="AL215" i="6"/>
  <c r="AM215" i="6"/>
  <c r="AN215" i="6"/>
  <c r="AO215" i="6"/>
  <c r="AP215" i="6"/>
  <c r="AQ215" i="6"/>
  <c r="AR215" i="6"/>
  <c r="AR213" i="6"/>
  <c r="AQ213" i="6"/>
  <c r="AP213" i="6"/>
  <c r="AO213" i="6"/>
  <c r="AN213" i="6"/>
  <c r="AM213" i="6"/>
  <c r="AL213" i="6"/>
  <c r="AK213" i="6"/>
  <c r="AJ213" i="6"/>
  <c r="AI213" i="6"/>
  <c r="AH213" i="6"/>
  <c r="AG213" i="6"/>
  <c r="AF213" i="6"/>
  <c r="AE213" i="6"/>
  <c r="AD213" i="6"/>
  <c r="AC213" i="6"/>
  <c r="AB213" i="6"/>
  <c r="AA213" i="6"/>
  <c r="Z213" i="6"/>
  <c r="Y213" i="6"/>
  <c r="D14" i="6"/>
  <c r="E14" i="6"/>
  <c r="F14" i="6"/>
  <c r="G14" i="6"/>
  <c r="H14" i="6"/>
  <c r="I14" i="6"/>
  <c r="J14" i="6"/>
  <c r="K14" i="6"/>
  <c r="L14" i="6"/>
  <c r="M14" i="6"/>
  <c r="N14" i="6"/>
  <c r="O14" i="6"/>
  <c r="P14" i="6"/>
  <c r="Q14" i="6"/>
  <c r="R14" i="6"/>
  <c r="S14" i="6"/>
  <c r="T14" i="6"/>
  <c r="T15" i="6"/>
  <c r="T107" i="6"/>
  <c r="T109" i="6"/>
  <c r="T110" i="6"/>
  <c r="U107" i="6"/>
  <c r="U109" i="6"/>
  <c r="U110" i="6"/>
  <c r="V107" i="6"/>
  <c r="V109" i="6"/>
  <c r="V110" i="6"/>
  <c r="W107" i="6"/>
  <c r="W109" i="6"/>
  <c r="W110" i="6"/>
  <c r="X107" i="6"/>
  <c r="X109" i="6"/>
  <c r="X110" i="6"/>
  <c r="S111" i="6"/>
  <c r="T123" i="6"/>
  <c r="E101" i="6"/>
  <c r="D93" i="6"/>
  <c r="D4" i="6"/>
  <c r="D92" i="6"/>
  <c r="E92" i="6"/>
  <c r="E93" i="6"/>
  <c r="E102" i="6"/>
  <c r="E103" i="6"/>
  <c r="E104" i="6"/>
  <c r="F101" i="6"/>
  <c r="F92" i="6"/>
  <c r="F93" i="6"/>
  <c r="F102" i="6"/>
  <c r="F103" i="6"/>
  <c r="F104" i="6"/>
  <c r="G101" i="6"/>
  <c r="G92" i="6"/>
  <c r="G93" i="6"/>
  <c r="G102" i="6"/>
  <c r="G103" i="6"/>
  <c r="G104" i="6"/>
  <c r="H101" i="6"/>
  <c r="H92" i="6"/>
  <c r="H93" i="6"/>
  <c r="H102" i="6"/>
  <c r="H103" i="6"/>
  <c r="H104" i="6"/>
  <c r="I101" i="6"/>
  <c r="I92" i="6"/>
  <c r="I93" i="6"/>
  <c r="I102" i="6"/>
  <c r="I103" i="6"/>
  <c r="I104" i="6"/>
  <c r="J101" i="6"/>
  <c r="E4" i="6"/>
  <c r="F4" i="6"/>
  <c r="G4" i="6"/>
  <c r="H4" i="6"/>
  <c r="I4" i="6"/>
  <c r="J4" i="6"/>
  <c r="J92" i="6"/>
  <c r="J93" i="6"/>
  <c r="J102" i="6"/>
  <c r="J103" i="6"/>
  <c r="J104" i="6"/>
  <c r="K101" i="6"/>
  <c r="K92" i="6"/>
  <c r="K93" i="6"/>
  <c r="K102" i="6"/>
  <c r="K103" i="6"/>
  <c r="K104" i="6"/>
  <c r="L101" i="6"/>
  <c r="L92" i="6"/>
  <c r="L93" i="6"/>
  <c r="L102" i="6"/>
  <c r="L103" i="6"/>
  <c r="L104" i="6"/>
  <c r="M101" i="6"/>
  <c r="M92" i="6"/>
  <c r="M93" i="6"/>
  <c r="M102" i="6"/>
  <c r="M103" i="6"/>
  <c r="M104" i="6"/>
  <c r="N101" i="6"/>
  <c r="N92" i="6"/>
  <c r="N93" i="6"/>
  <c r="N102" i="6"/>
  <c r="N103" i="6"/>
  <c r="N104" i="6"/>
  <c r="O101" i="6"/>
  <c r="K4" i="6"/>
  <c r="L4" i="6"/>
  <c r="M4" i="6"/>
  <c r="N4" i="6"/>
  <c r="O4" i="6"/>
  <c r="O92" i="6"/>
  <c r="O93" i="6"/>
  <c r="O102" i="6"/>
  <c r="O103" i="6"/>
  <c r="O104" i="6"/>
  <c r="P101" i="6"/>
  <c r="P92" i="6"/>
  <c r="P93" i="6"/>
  <c r="P102" i="6"/>
  <c r="P103" i="6"/>
  <c r="P104" i="6"/>
  <c r="Q101" i="6"/>
  <c r="Q92" i="6"/>
  <c r="Q93" i="6"/>
  <c r="Q102" i="6"/>
  <c r="Q103" i="6"/>
  <c r="Q104" i="6"/>
  <c r="R101" i="6"/>
  <c r="R92" i="6"/>
  <c r="R93" i="6"/>
  <c r="R102" i="6"/>
  <c r="R103" i="6"/>
  <c r="R104" i="6"/>
  <c r="S101" i="6"/>
  <c r="S92" i="6"/>
  <c r="S93" i="6"/>
  <c r="S102" i="6"/>
  <c r="S103" i="6"/>
  <c r="S104" i="6"/>
  <c r="T101" i="6"/>
  <c r="P4" i="6"/>
  <c r="Q4" i="6"/>
  <c r="R4" i="6"/>
  <c r="S4" i="6"/>
  <c r="T4" i="6"/>
  <c r="T92" i="6"/>
  <c r="T93" i="6"/>
  <c r="T102" i="6"/>
  <c r="T114" i="6"/>
  <c r="T103" i="6"/>
  <c r="T117" i="6"/>
  <c r="T127" i="6"/>
  <c r="T128" i="6"/>
  <c r="T129" i="6"/>
  <c r="U123" i="6"/>
  <c r="T104" i="6"/>
  <c r="U101" i="6"/>
  <c r="U92" i="6"/>
  <c r="U93" i="6"/>
  <c r="U102" i="6"/>
  <c r="U114" i="6"/>
  <c r="U103" i="6"/>
  <c r="U117" i="6"/>
  <c r="U127" i="6"/>
  <c r="U128" i="6"/>
  <c r="U129" i="6"/>
  <c r="V123" i="6"/>
  <c r="U104" i="6"/>
  <c r="V101" i="6"/>
  <c r="V92" i="6"/>
  <c r="V93" i="6"/>
  <c r="V102" i="6"/>
  <c r="V114" i="6"/>
  <c r="V103" i="6"/>
  <c r="V117" i="6"/>
  <c r="V127" i="6"/>
  <c r="V128" i="6"/>
  <c r="V129" i="6"/>
  <c r="W123" i="6"/>
  <c r="V104" i="6"/>
  <c r="W101" i="6"/>
  <c r="W92" i="6"/>
  <c r="W93" i="6"/>
  <c r="W102" i="6"/>
  <c r="W114" i="6"/>
  <c r="W103" i="6"/>
  <c r="W117" i="6"/>
  <c r="W127" i="6"/>
  <c r="W128" i="6"/>
  <c r="W129" i="6"/>
  <c r="X123" i="6"/>
  <c r="W104" i="6"/>
  <c r="X101" i="6"/>
  <c r="X92" i="6"/>
  <c r="X93" i="6"/>
  <c r="X102" i="6"/>
  <c r="X114" i="6"/>
  <c r="X103" i="6"/>
  <c r="X117" i="6"/>
  <c r="X127" i="6"/>
  <c r="X128" i="6"/>
  <c r="X129" i="6"/>
  <c r="S136" i="6"/>
  <c r="T144" i="6"/>
  <c r="U144" i="6"/>
  <c r="V144" i="6"/>
  <c r="W144" i="6"/>
  <c r="X144" i="6"/>
  <c r="D24" i="6"/>
  <c r="E24" i="6"/>
  <c r="F24" i="6"/>
  <c r="G24" i="6"/>
  <c r="H24" i="6"/>
  <c r="I24" i="6"/>
  <c r="J24" i="6"/>
  <c r="K24" i="6"/>
  <c r="L24" i="6"/>
  <c r="M24" i="6"/>
  <c r="N24" i="6"/>
  <c r="O24" i="6"/>
  <c r="P24" i="6"/>
  <c r="Q24" i="6"/>
  <c r="R24" i="6"/>
  <c r="S24" i="6"/>
  <c r="T24" i="6"/>
  <c r="D22" i="6"/>
  <c r="E22" i="6"/>
  <c r="F22" i="6"/>
  <c r="G22" i="6"/>
  <c r="H22" i="6"/>
  <c r="I22" i="6"/>
  <c r="J22" i="6"/>
  <c r="K22" i="6"/>
  <c r="L22" i="6"/>
  <c r="M22" i="6"/>
  <c r="N22" i="6"/>
  <c r="O22" i="6"/>
  <c r="P22" i="6"/>
  <c r="Q22" i="6"/>
  <c r="R22" i="6"/>
  <c r="S22" i="6"/>
  <c r="T22" i="6"/>
  <c r="D8" i="6"/>
  <c r="E8" i="6"/>
  <c r="F8" i="6"/>
  <c r="G8" i="6"/>
  <c r="H8" i="6"/>
  <c r="I8" i="6"/>
  <c r="J8" i="6"/>
  <c r="K8" i="6"/>
  <c r="L8" i="6"/>
  <c r="M8" i="6"/>
  <c r="N8" i="6"/>
  <c r="O8" i="6"/>
  <c r="P8" i="6"/>
  <c r="Q8" i="6"/>
  <c r="R8" i="6"/>
  <c r="S8" i="6"/>
  <c r="T8" i="6"/>
  <c r="T122" i="6"/>
  <c r="D25" i="6"/>
  <c r="E25" i="6"/>
  <c r="F25" i="6"/>
  <c r="G25" i="6"/>
  <c r="H25" i="6"/>
  <c r="I25" i="6"/>
  <c r="J25" i="6"/>
  <c r="K25" i="6"/>
  <c r="L25" i="6"/>
  <c r="M25" i="6"/>
  <c r="N25" i="6"/>
  <c r="O25" i="6"/>
  <c r="P25" i="6"/>
  <c r="Q25" i="6"/>
  <c r="R25" i="6"/>
  <c r="S25" i="6"/>
  <c r="T25" i="6"/>
  <c r="T115" i="6"/>
  <c r="T118" i="6"/>
  <c r="D99" i="6"/>
  <c r="E96" i="6"/>
  <c r="E99" i="6"/>
  <c r="F99" i="6"/>
  <c r="G99" i="6"/>
  <c r="H99" i="6"/>
  <c r="I99" i="6"/>
  <c r="J99" i="6"/>
  <c r="K99" i="6"/>
  <c r="L99" i="6"/>
  <c r="M99" i="6"/>
  <c r="N99" i="6"/>
  <c r="O99" i="6"/>
  <c r="P99" i="6"/>
  <c r="Q99" i="6"/>
  <c r="R99" i="6"/>
  <c r="S99" i="6"/>
  <c r="T99" i="6"/>
  <c r="T96" i="6"/>
  <c r="T97" i="6"/>
  <c r="T98" i="6"/>
  <c r="T119" i="6"/>
  <c r="D21" i="6"/>
  <c r="E21" i="6"/>
  <c r="F21" i="6"/>
  <c r="G21" i="6"/>
  <c r="H21" i="6"/>
  <c r="I21" i="6"/>
  <c r="J21" i="6"/>
  <c r="K21" i="6"/>
  <c r="L21" i="6"/>
  <c r="M21" i="6"/>
  <c r="N21" i="6"/>
  <c r="O21" i="6"/>
  <c r="P21" i="6"/>
  <c r="Q21" i="6"/>
  <c r="R21" i="6"/>
  <c r="S21" i="6"/>
  <c r="T21" i="6"/>
  <c r="T131" i="6"/>
  <c r="T132" i="6"/>
  <c r="T133" i="6"/>
  <c r="U24" i="6"/>
  <c r="U22" i="6"/>
  <c r="U122" i="6"/>
  <c r="U25" i="6"/>
  <c r="U115" i="6"/>
  <c r="U118" i="6"/>
  <c r="U99" i="6"/>
  <c r="U96" i="6"/>
  <c r="U97" i="6"/>
  <c r="U98" i="6"/>
  <c r="U119" i="6"/>
  <c r="U21" i="6"/>
  <c r="U131" i="6"/>
  <c r="U132" i="6"/>
  <c r="U133" i="6"/>
  <c r="V24" i="6"/>
  <c r="V22" i="6"/>
  <c r="V122" i="6"/>
  <c r="V25" i="6"/>
  <c r="V115" i="6"/>
  <c r="V118" i="6"/>
  <c r="V99" i="6"/>
  <c r="V96" i="6"/>
  <c r="V97" i="6"/>
  <c r="V98" i="6"/>
  <c r="V119" i="6"/>
  <c r="V21" i="6"/>
  <c r="V131" i="6"/>
  <c r="V132" i="6"/>
  <c r="V133" i="6"/>
  <c r="W24" i="6"/>
  <c r="W22" i="6"/>
  <c r="W122" i="6"/>
  <c r="W25" i="6"/>
  <c r="W115" i="6"/>
  <c r="W118" i="6"/>
  <c r="W99" i="6"/>
  <c r="W96" i="6"/>
  <c r="W97" i="6"/>
  <c r="W98" i="6"/>
  <c r="W119" i="6"/>
  <c r="W21" i="6"/>
  <c r="W131" i="6"/>
  <c r="W132" i="6"/>
  <c r="W133" i="6"/>
  <c r="X24" i="6"/>
  <c r="X22" i="6"/>
  <c r="X122" i="6"/>
  <c r="X25" i="6"/>
  <c r="X115" i="6"/>
  <c r="X118" i="6"/>
  <c r="X99" i="6"/>
  <c r="X96" i="6"/>
  <c r="X97" i="6"/>
  <c r="X98" i="6"/>
  <c r="X119" i="6"/>
  <c r="X21" i="6"/>
  <c r="X131" i="6"/>
  <c r="X132" i="6"/>
  <c r="X133" i="6"/>
  <c r="S137" i="6"/>
  <c r="T145" i="6"/>
  <c r="U145" i="6"/>
  <c r="V145" i="6"/>
  <c r="W145" i="6"/>
  <c r="X145" i="6"/>
  <c r="X213" i="6"/>
  <c r="W213" i="6"/>
  <c r="V213" i="6"/>
  <c r="U213" i="6"/>
  <c r="T213" i="6"/>
  <c r="O15" i="6"/>
  <c r="O107" i="6"/>
  <c r="O109" i="6"/>
  <c r="O110" i="6"/>
  <c r="P107" i="6"/>
  <c r="P109" i="6"/>
  <c r="P110" i="6"/>
  <c r="Q107" i="6"/>
  <c r="Q109" i="6"/>
  <c r="Q110" i="6"/>
  <c r="R107" i="6"/>
  <c r="R109" i="6"/>
  <c r="R110" i="6"/>
  <c r="S107" i="6"/>
  <c r="S109" i="6"/>
  <c r="S110" i="6"/>
  <c r="N111" i="6"/>
  <c r="O123" i="6"/>
  <c r="O114" i="6"/>
  <c r="O117" i="6"/>
  <c r="O127" i="6"/>
  <c r="O128" i="6"/>
  <c r="O129" i="6"/>
  <c r="P123" i="6"/>
  <c r="P114" i="6"/>
  <c r="P117" i="6"/>
  <c r="P127" i="6"/>
  <c r="P128" i="6"/>
  <c r="P129" i="6"/>
  <c r="Q123" i="6"/>
  <c r="Q114" i="6"/>
  <c r="Q117" i="6"/>
  <c r="Q127" i="6"/>
  <c r="Q128" i="6"/>
  <c r="Q129" i="6"/>
  <c r="R123" i="6"/>
  <c r="R114" i="6"/>
  <c r="R117" i="6"/>
  <c r="R127" i="6"/>
  <c r="R128" i="6"/>
  <c r="R129" i="6"/>
  <c r="S123" i="6"/>
  <c r="S114" i="6"/>
  <c r="S117" i="6"/>
  <c r="S127" i="6"/>
  <c r="S128" i="6"/>
  <c r="S129" i="6"/>
  <c r="N136" i="6"/>
  <c r="O144" i="6"/>
  <c r="P144" i="6"/>
  <c r="Q144" i="6"/>
  <c r="R144" i="6"/>
  <c r="S144" i="6"/>
  <c r="O122" i="6"/>
  <c r="O115" i="6"/>
  <c r="O118" i="6"/>
  <c r="O96" i="6"/>
  <c r="O97" i="6"/>
  <c r="O98" i="6"/>
  <c r="O119" i="6"/>
  <c r="O131" i="6"/>
  <c r="O132" i="6"/>
  <c r="O133" i="6"/>
  <c r="P122" i="6"/>
  <c r="P115" i="6"/>
  <c r="P118" i="6"/>
  <c r="P96" i="6"/>
  <c r="P97" i="6"/>
  <c r="P98" i="6"/>
  <c r="P119" i="6"/>
  <c r="P131" i="6"/>
  <c r="P132" i="6"/>
  <c r="P133" i="6"/>
  <c r="Q122" i="6"/>
  <c r="Q115" i="6"/>
  <c r="Q118" i="6"/>
  <c r="Q96" i="6"/>
  <c r="Q97" i="6"/>
  <c r="Q98" i="6"/>
  <c r="Q119" i="6"/>
  <c r="Q131" i="6"/>
  <c r="Q132" i="6"/>
  <c r="Q133" i="6"/>
  <c r="R122" i="6"/>
  <c r="R115" i="6"/>
  <c r="R118" i="6"/>
  <c r="R96" i="6"/>
  <c r="R97" i="6"/>
  <c r="R98" i="6"/>
  <c r="R119" i="6"/>
  <c r="R131" i="6"/>
  <c r="R132" i="6"/>
  <c r="R133" i="6"/>
  <c r="S122" i="6"/>
  <c r="S115" i="6"/>
  <c r="S118" i="6"/>
  <c r="S96" i="6"/>
  <c r="S97" i="6"/>
  <c r="S98" i="6"/>
  <c r="S119" i="6"/>
  <c r="S131" i="6"/>
  <c r="S132" i="6"/>
  <c r="S133" i="6"/>
  <c r="N137" i="6"/>
  <c r="O145" i="6"/>
  <c r="P145" i="6"/>
  <c r="Q145" i="6"/>
  <c r="R145" i="6"/>
  <c r="S145" i="6"/>
  <c r="S213" i="6"/>
  <c r="R213" i="6"/>
  <c r="Q213" i="6"/>
  <c r="P213" i="6"/>
  <c r="O213" i="6"/>
  <c r="J15" i="6"/>
  <c r="J107" i="6"/>
  <c r="J109" i="6"/>
  <c r="J110" i="6"/>
  <c r="K107" i="6"/>
  <c r="K109" i="6"/>
  <c r="K110" i="6"/>
  <c r="L107" i="6"/>
  <c r="L109" i="6"/>
  <c r="L110" i="6"/>
  <c r="M107" i="6"/>
  <c r="M109" i="6"/>
  <c r="M110" i="6"/>
  <c r="N107" i="6"/>
  <c r="N109" i="6"/>
  <c r="N110" i="6"/>
  <c r="I111" i="6"/>
  <c r="J123" i="6"/>
  <c r="J114" i="6"/>
  <c r="J117" i="6"/>
  <c r="J127" i="6"/>
  <c r="J128" i="6"/>
  <c r="J129" i="6"/>
  <c r="K123" i="6"/>
  <c r="K114" i="6"/>
  <c r="K117" i="6"/>
  <c r="K127" i="6"/>
  <c r="K128" i="6"/>
  <c r="K129" i="6"/>
  <c r="L123" i="6"/>
  <c r="L114" i="6"/>
  <c r="L117" i="6"/>
  <c r="L127" i="6"/>
  <c r="L128" i="6"/>
  <c r="L129" i="6"/>
  <c r="M123" i="6"/>
  <c r="M114" i="6"/>
  <c r="M117" i="6"/>
  <c r="M127" i="6"/>
  <c r="M128" i="6"/>
  <c r="M129" i="6"/>
  <c r="N123" i="6"/>
  <c r="N114" i="6"/>
  <c r="N117" i="6"/>
  <c r="N127" i="6"/>
  <c r="N128" i="6"/>
  <c r="N129" i="6"/>
  <c r="I136" i="6"/>
  <c r="J144" i="6"/>
  <c r="K144" i="6"/>
  <c r="L144" i="6"/>
  <c r="M144" i="6"/>
  <c r="N144" i="6"/>
  <c r="J122" i="6"/>
  <c r="J115" i="6"/>
  <c r="J118" i="6"/>
  <c r="J96" i="6"/>
  <c r="J97" i="6"/>
  <c r="J98" i="6"/>
  <c r="J119" i="6"/>
  <c r="J131" i="6"/>
  <c r="J132" i="6"/>
  <c r="J133" i="6"/>
  <c r="K122" i="6"/>
  <c r="K115" i="6"/>
  <c r="K118" i="6"/>
  <c r="K96" i="6"/>
  <c r="K97" i="6"/>
  <c r="K98" i="6"/>
  <c r="K119" i="6"/>
  <c r="K131" i="6"/>
  <c r="K132" i="6"/>
  <c r="K133" i="6"/>
  <c r="L122" i="6"/>
  <c r="L115" i="6"/>
  <c r="L118" i="6"/>
  <c r="L96" i="6"/>
  <c r="L97" i="6"/>
  <c r="L98" i="6"/>
  <c r="L119" i="6"/>
  <c r="L131" i="6"/>
  <c r="L132" i="6"/>
  <c r="L133" i="6"/>
  <c r="M122" i="6"/>
  <c r="M115" i="6"/>
  <c r="M118" i="6"/>
  <c r="M96" i="6"/>
  <c r="M97" i="6"/>
  <c r="M98" i="6"/>
  <c r="M119" i="6"/>
  <c r="M131" i="6"/>
  <c r="M132" i="6"/>
  <c r="M133" i="6"/>
  <c r="N122" i="6"/>
  <c r="N115" i="6"/>
  <c r="N118" i="6"/>
  <c r="N96" i="6"/>
  <c r="N97" i="6"/>
  <c r="N98" i="6"/>
  <c r="N119" i="6"/>
  <c r="N131" i="6"/>
  <c r="N132" i="6"/>
  <c r="N133" i="6"/>
  <c r="I137" i="6"/>
  <c r="J145" i="6"/>
  <c r="K145" i="6"/>
  <c r="L145" i="6"/>
  <c r="M145" i="6"/>
  <c r="N145" i="6"/>
  <c r="N213" i="6"/>
  <c r="M213" i="6"/>
  <c r="L213" i="6"/>
  <c r="K213" i="6"/>
  <c r="J213" i="6"/>
  <c r="E107" i="6"/>
  <c r="E109" i="6"/>
  <c r="E110" i="6"/>
  <c r="F107" i="6"/>
  <c r="F109" i="6"/>
  <c r="F110" i="6"/>
  <c r="G107" i="6"/>
  <c r="G109" i="6"/>
  <c r="G110" i="6"/>
  <c r="H107" i="6"/>
  <c r="H109" i="6"/>
  <c r="H110" i="6"/>
  <c r="I107" i="6"/>
  <c r="I109" i="6"/>
  <c r="I110" i="6"/>
  <c r="D111" i="6"/>
  <c r="E123" i="6"/>
  <c r="E114" i="6"/>
  <c r="E117" i="6"/>
  <c r="E127" i="6"/>
  <c r="E128" i="6"/>
  <c r="E129" i="6"/>
  <c r="F123" i="6"/>
  <c r="F114" i="6"/>
  <c r="F117" i="6"/>
  <c r="F127" i="6"/>
  <c r="F128" i="6"/>
  <c r="F129" i="6"/>
  <c r="G123" i="6"/>
  <c r="G114" i="6"/>
  <c r="G117" i="6"/>
  <c r="G127" i="6"/>
  <c r="G128" i="6"/>
  <c r="G129" i="6"/>
  <c r="H123" i="6"/>
  <c r="H114" i="6"/>
  <c r="H117" i="6"/>
  <c r="H127" i="6"/>
  <c r="H128" i="6"/>
  <c r="H129" i="6"/>
  <c r="I123" i="6"/>
  <c r="I114" i="6"/>
  <c r="I117" i="6"/>
  <c r="I127" i="6"/>
  <c r="I128" i="6"/>
  <c r="I129" i="6"/>
  <c r="D136" i="6"/>
  <c r="E144" i="6"/>
  <c r="F144" i="6"/>
  <c r="G144" i="6"/>
  <c r="H144" i="6"/>
  <c r="I144" i="6"/>
  <c r="E122" i="6"/>
  <c r="E115" i="6"/>
  <c r="E118" i="6"/>
  <c r="E97" i="6"/>
  <c r="E98" i="6"/>
  <c r="E119" i="6"/>
  <c r="E131" i="6"/>
  <c r="E132" i="6"/>
  <c r="E133" i="6"/>
  <c r="F122" i="6"/>
  <c r="F115" i="6"/>
  <c r="F118" i="6"/>
  <c r="F96" i="6"/>
  <c r="F97" i="6"/>
  <c r="F98" i="6"/>
  <c r="F119" i="6"/>
  <c r="F131" i="6"/>
  <c r="F132" i="6"/>
  <c r="F133" i="6"/>
  <c r="G122" i="6"/>
  <c r="G115" i="6"/>
  <c r="G118" i="6"/>
  <c r="G96" i="6"/>
  <c r="G97" i="6"/>
  <c r="G98" i="6"/>
  <c r="G119" i="6"/>
  <c r="G131" i="6"/>
  <c r="G132" i="6"/>
  <c r="G133" i="6"/>
  <c r="H122" i="6"/>
  <c r="H115" i="6"/>
  <c r="H118" i="6"/>
  <c r="H96" i="6"/>
  <c r="H97" i="6"/>
  <c r="H98" i="6"/>
  <c r="H119" i="6"/>
  <c r="H131" i="6"/>
  <c r="H132" i="6"/>
  <c r="H133" i="6"/>
  <c r="I122" i="6"/>
  <c r="I115" i="6"/>
  <c r="I118" i="6"/>
  <c r="I96" i="6"/>
  <c r="I97" i="6"/>
  <c r="I98" i="6"/>
  <c r="I119" i="6"/>
  <c r="I131" i="6"/>
  <c r="I132" i="6"/>
  <c r="I133" i="6"/>
  <c r="D137" i="6"/>
  <c r="E145" i="6"/>
  <c r="F145" i="6"/>
  <c r="G145" i="6"/>
  <c r="H145" i="6"/>
  <c r="I145" i="6"/>
  <c r="I213" i="6"/>
  <c r="H213" i="6"/>
  <c r="G213" i="6"/>
  <c r="F213" i="6"/>
  <c r="E213" i="6"/>
  <c r="D213" i="6"/>
  <c r="AR212" i="6"/>
  <c r="AQ212" i="6"/>
  <c r="AP212" i="6"/>
  <c r="AO212" i="6"/>
  <c r="AN212" i="6"/>
  <c r="AM212" i="6"/>
  <c r="AL212" i="6"/>
  <c r="AK212" i="6"/>
  <c r="AJ212" i="6"/>
  <c r="AI212" i="6"/>
  <c r="AH212" i="6"/>
  <c r="AG212" i="6"/>
  <c r="AF212" i="6"/>
  <c r="AE212" i="6"/>
  <c r="AD212" i="6"/>
  <c r="AC212" i="6"/>
  <c r="AB212" i="6"/>
  <c r="AA212" i="6"/>
  <c r="Z212" i="6"/>
  <c r="Y212" i="6"/>
  <c r="X212" i="6"/>
  <c r="W212" i="6"/>
  <c r="V212" i="6"/>
  <c r="U212" i="6"/>
  <c r="T212" i="6"/>
  <c r="S212" i="6"/>
  <c r="R212" i="6"/>
  <c r="Q212" i="6"/>
  <c r="P212" i="6"/>
  <c r="O212" i="6"/>
  <c r="N212" i="6"/>
  <c r="M212" i="6"/>
  <c r="L212" i="6"/>
  <c r="K212" i="6"/>
  <c r="J212" i="6"/>
  <c r="I212" i="6"/>
  <c r="H212" i="6"/>
  <c r="G212" i="6"/>
  <c r="F212" i="6"/>
  <c r="E212" i="6"/>
  <c r="D212" i="6"/>
  <c r="AR211" i="6"/>
  <c r="AQ211" i="6"/>
  <c r="AP211" i="6"/>
  <c r="AO211" i="6"/>
  <c r="AN211" i="6"/>
  <c r="AM211" i="6"/>
  <c r="AL211" i="6"/>
  <c r="AK211" i="6"/>
  <c r="AJ211" i="6"/>
  <c r="AI211" i="6"/>
  <c r="AH211" i="6"/>
  <c r="AG211" i="6"/>
  <c r="AF211" i="6"/>
  <c r="AE211" i="6"/>
  <c r="AD211" i="6"/>
  <c r="AC211" i="6"/>
  <c r="AB211" i="6"/>
  <c r="AA211" i="6"/>
  <c r="Z211" i="6"/>
  <c r="Y211" i="6"/>
  <c r="Y110" i="5"/>
  <c r="Z110" i="5"/>
  <c r="AA110" i="5"/>
  <c r="AB110" i="5"/>
  <c r="AC110" i="5"/>
  <c r="AD110" i="5"/>
  <c r="AE110" i="5"/>
  <c r="AF110" i="5"/>
  <c r="AG110" i="5"/>
  <c r="AH110" i="5"/>
  <c r="AI110" i="5"/>
  <c r="AJ110" i="5"/>
  <c r="AK110" i="5"/>
  <c r="AL110" i="5"/>
  <c r="AM110" i="5"/>
  <c r="AN110" i="5"/>
  <c r="AO110" i="5"/>
  <c r="AP110" i="5"/>
  <c r="AQ110" i="5"/>
  <c r="AR110" i="5"/>
  <c r="Y127" i="5"/>
  <c r="Z127" i="5"/>
  <c r="AA127" i="5"/>
  <c r="AB127" i="5"/>
  <c r="AC127" i="5"/>
  <c r="AD127" i="5"/>
  <c r="AE127" i="5"/>
  <c r="AF127" i="5"/>
  <c r="AG127" i="5"/>
  <c r="AH127" i="5"/>
  <c r="AI127" i="5"/>
  <c r="AJ127" i="5"/>
  <c r="AK127" i="5"/>
  <c r="AL127" i="5"/>
  <c r="AM127" i="5"/>
  <c r="AN127" i="5"/>
  <c r="AO127" i="5"/>
  <c r="AP127" i="5"/>
  <c r="AQ127" i="5"/>
  <c r="AR127" i="5"/>
  <c r="X140" i="5"/>
  <c r="Y131" i="5"/>
  <c r="Z131" i="5"/>
  <c r="AA131" i="5"/>
  <c r="AB131" i="5"/>
  <c r="AC131" i="5"/>
  <c r="AD131" i="5"/>
  <c r="AE131" i="5"/>
  <c r="AF131" i="5"/>
  <c r="AG131" i="5"/>
  <c r="AH131" i="5"/>
  <c r="AI131" i="5"/>
  <c r="AJ131" i="5"/>
  <c r="AK131" i="5"/>
  <c r="AL131" i="5"/>
  <c r="AM131" i="5"/>
  <c r="AN131" i="5"/>
  <c r="AO131" i="5"/>
  <c r="AP131" i="5"/>
  <c r="AQ131" i="5"/>
  <c r="AR131" i="5"/>
  <c r="X141" i="5"/>
  <c r="X211" i="6"/>
  <c r="W140" i="5"/>
  <c r="W141" i="5"/>
  <c r="W211" i="6"/>
  <c r="V140" i="5"/>
  <c r="V141" i="5"/>
  <c r="V211" i="6"/>
  <c r="U140" i="5"/>
  <c r="U141" i="5"/>
  <c r="U211" i="6"/>
  <c r="T140" i="5"/>
  <c r="T141" i="5"/>
  <c r="T211" i="6"/>
  <c r="S140" i="5"/>
  <c r="S141" i="5"/>
  <c r="S211" i="6"/>
  <c r="R140" i="5"/>
  <c r="R141" i="5"/>
  <c r="R211" i="6"/>
  <c r="Q140" i="5"/>
  <c r="Q141" i="5"/>
  <c r="Q211" i="6"/>
  <c r="P140" i="5"/>
  <c r="P141" i="5"/>
  <c r="P211" i="6"/>
  <c r="O140" i="5"/>
  <c r="O141" i="5"/>
  <c r="O211" i="6"/>
  <c r="N140" i="5"/>
  <c r="N141" i="5"/>
  <c r="N211" i="6"/>
  <c r="M140" i="5"/>
  <c r="M141" i="5"/>
  <c r="M211" i="6"/>
  <c r="L140" i="5"/>
  <c r="L141" i="5"/>
  <c r="L211" i="6"/>
  <c r="K140" i="5"/>
  <c r="K141" i="5"/>
  <c r="K211" i="6"/>
  <c r="J140" i="5"/>
  <c r="J141" i="5"/>
  <c r="J211" i="6"/>
  <c r="I140" i="5"/>
  <c r="I141" i="5"/>
  <c r="I211" i="6"/>
  <c r="H140" i="5"/>
  <c r="H141" i="5"/>
  <c r="H211" i="6"/>
  <c r="G140" i="5"/>
  <c r="G141" i="5"/>
  <c r="G211" i="6"/>
  <c r="F140" i="5"/>
  <c r="F141" i="5"/>
  <c r="F211" i="6"/>
  <c r="E140" i="5"/>
  <c r="E141" i="5"/>
  <c r="E211" i="6"/>
  <c r="D211" i="6"/>
  <c r="AA210" i="6"/>
  <c r="AB210" i="6"/>
  <c r="AC210" i="6"/>
  <c r="AD210" i="6"/>
  <c r="AE210" i="6"/>
  <c r="AF210" i="6"/>
  <c r="AG210" i="6"/>
  <c r="AH210" i="6"/>
  <c r="AI210" i="6"/>
  <c r="AJ210" i="6"/>
  <c r="AK210" i="6"/>
  <c r="AL210" i="6"/>
  <c r="AM210" i="6"/>
  <c r="AN210" i="6"/>
  <c r="AO210" i="6"/>
  <c r="AP210" i="6"/>
  <c r="AQ210" i="6"/>
  <c r="AR210" i="6"/>
  <c r="B210" i="6"/>
  <c r="A210" i="6"/>
  <c r="U14" i="6"/>
  <c r="V14" i="6"/>
  <c r="W14" i="6"/>
  <c r="X14" i="6"/>
  <c r="Y14" i="6"/>
  <c r="Z14" i="6"/>
  <c r="AA14" i="6"/>
  <c r="AB14" i="6"/>
  <c r="AC14" i="6"/>
  <c r="AD14" i="6"/>
  <c r="AE14" i="6"/>
  <c r="AF14" i="6"/>
  <c r="AG14" i="6"/>
  <c r="AH14" i="6"/>
  <c r="AI14" i="6"/>
  <c r="AJ14" i="6"/>
  <c r="AK14" i="6"/>
  <c r="AL14" i="6"/>
  <c r="AM14" i="6"/>
  <c r="AN14" i="6"/>
  <c r="AO14" i="6"/>
  <c r="AP14" i="6"/>
  <c r="AQ14" i="6"/>
  <c r="AR14" i="6"/>
  <c r="Y15" i="5"/>
  <c r="Z15" i="5"/>
  <c r="AA15" i="5"/>
  <c r="AB15" i="5"/>
  <c r="AC15" i="5"/>
  <c r="AD15" i="5"/>
  <c r="AE15" i="5"/>
  <c r="AF15" i="5"/>
  <c r="AG15" i="5"/>
  <c r="AH15" i="5"/>
  <c r="AI15" i="5"/>
  <c r="AJ15" i="5"/>
  <c r="AK15" i="5"/>
  <c r="AL15" i="5"/>
  <c r="AM15" i="5"/>
  <c r="AN15" i="5"/>
  <c r="AO15" i="5"/>
  <c r="AP15" i="5"/>
  <c r="AQ15" i="5"/>
  <c r="AR15" i="5"/>
  <c r="AR17" i="5"/>
  <c r="AR15" i="6"/>
  <c r="AR207" i="6"/>
  <c r="AQ17" i="5"/>
  <c r="AQ15" i="6"/>
  <c r="AQ207" i="6"/>
  <c r="AP17" i="5"/>
  <c r="AP15" i="6"/>
  <c r="AP207" i="6"/>
  <c r="AO17" i="5"/>
  <c r="AO15" i="6"/>
  <c r="AO207" i="6"/>
  <c r="AN17" i="5"/>
  <c r="AN15" i="6"/>
  <c r="AN207" i="6"/>
  <c r="AM17" i="5"/>
  <c r="AM15" i="6"/>
  <c r="AM207" i="6"/>
  <c r="AL17" i="5"/>
  <c r="AL15" i="6"/>
  <c r="AL207" i="6"/>
  <c r="AK17" i="5"/>
  <c r="AK15" i="6"/>
  <c r="AK207" i="6"/>
  <c r="AJ17" i="5"/>
  <c r="AJ15" i="6"/>
  <c r="AJ207" i="6"/>
  <c r="AI17" i="5"/>
  <c r="AI15" i="6"/>
  <c r="AI207" i="6"/>
  <c r="AH17" i="5"/>
  <c r="AH15" i="6"/>
  <c r="AH207" i="6"/>
  <c r="AG17" i="5"/>
  <c r="AG15" i="6"/>
  <c r="AG207" i="6"/>
  <c r="AF17" i="5"/>
  <c r="AF15" i="6"/>
  <c r="AF207" i="6"/>
  <c r="AE17" i="5"/>
  <c r="AE15" i="6"/>
  <c r="AE207" i="6"/>
  <c r="AD17" i="5"/>
  <c r="AD15" i="6"/>
  <c r="AD207" i="6"/>
  <c r="AC17" i="5"/>
  <c r="AC15" i="6"/>
  <c r="AC207" i="6"/>
  <c r="AB17" i="5"/>
  <c r="AB15" i="6"/>
  <c r="AB207" i="6"/>
  <c r="AA17" i="5"/>
  <c r="AA15" i="6"/>
  <c r="AA207" i="6"/>
  <c r="Z17" i="5"/>
  <c r="Z15" i="6"/>
  <c r="Z207" i="6"/>
  <c r="Y17" i="5"/>
  <c r="Y15" i="6"/>
  <c r="Y207" i="6"/>
  <c r="X15" i="6"/>
  <c r="X207" i="6"/>
  <c r="W15" i="6"/>
  <c r="W207" i="6"/>
  <c r="V15" i="6"/>
  <c r="V207" i="6"/>
  <c r="U15" i="6"/>
  <c r="U207" i="6"/>
  <c r="T207" i="6"/>
  <c r="S15" i="6"/>
  <c r="S207" i="6"/>
  <c r="R15" i="6"/>
  <c r="R207" i="6"/>
  <c r="Q15" i="6"/>
  <c r="Q207" i="6"/>
  <c r="P15" i="6"/>
  <c r="P207" i="6"/>
  <c r="O207" i="6"/>
  <c r="N15" i="6"/>
  <c r="N207" i="6"/>
  <c r="M15" i="6"/>
  <c r="M207" i="6"/>
  <c r="L15" i="6"/>
  <c r="L207" i="6"/>
  <c r="K15" i="6"/>
  <c r="K207" i="6"/>
  <c r="J207" i="6"/>
  <c r="I15" i="6"/>
  <c r="I207" i="6"/>
  <c r="H15" i="6"/>
  <c r="H207" i="6"/>
  <c r="G15" i="6"/>
  <c r="G207" i="6"/>
  <c r="F15" i="6"/>
  <c r="F207" i="6"/>
  <c r="E15" i="6"/>
  <c r="E207" i="6"/>
  <c r="D15" i="6"/>
  <c r="D207" i="6"/>
  <c r="U4" i="6"/>
  <c r="V4" i="6"/>
  <c r="W4" i="6"/>
  <c r="X4" i="6"/>
  <c r="Y4" i="6"/>
  <c r="Z4" i="6"/>
  <c r="AA4" i="6"/>
  <c r="AB4" i="6"/>
  <c r="AC4" i="6"/>
  <c r="AD4" i="6"/>
  <c r="AE4" i="6"/>
  <c r="AF4" i="6"/>
  <c r="AG4" i="6"/>
  <c r="AH4" i="6"/>
  <c r="AI4" i="6"/>
  <c r="AJ4" i="6"/>
  <c r="AK4" i="6"/>
  <c r="AL4" i="6"/>
  <c r="AM4" i="6"/>
  <c r="AN4" i="6"/>
  <c r="AO4" i="6"/>
  <c r="AP4" i="6"/>
  <c r="AQ4" i="6"/>
  <c r="AR4" i="6"/>
  <c r="AR206" i="6"/>
  <c r="AQ206" i="6"/>
  <c r="AP206" i="6"/>
  <c r="AO206" i="6"/>
  <c r="AN206" i="6"/>
  <c r="AM206" i="6"/>
  <c r="AL206" i="6"/>
  <c r="AK206" i="6"/>
  <c r="AJ206" i="6"/>
  <c r="AI206" i="6"/>
  <c r="AH206" i="6"/>
  <c r="AG206" i="6"/>
  <c r="AF206" i="6"/>
  <c r="AE206" i="6"/>
  <c r="AD206" i="6"/>
  <c r="AC206" i="6"/>
  <c r="AB206" i="6"/>
  <c r="AA206" i="6"/>
  <c r="Z206" i="6"/>
  <c r="Y206" i="6"/>
  <c r="X206" i="6"/>
  <c r="W206" i="6"/>
  <c r="V206" i="6"/>
  <c r="U206" i="6"/>
  <c r="T206" i="6"/>
  <c r="S206" i="6"/>
  <c r="R206" i="6"/>
  <c r="Q206" i="6"/>
  <c r="P206" i="6"/>
  <c r="O206" i="6"/>
  <c r="N206" i="6"/>
  <c r="M206" i="6"/>
  <c r="L206" i="6"/>
  <c r="K206" i="6"/>
  <c r="J206" i="6"/>
  <c r="I206" i="6"/>
  <c r="H206" i="6"/>
  <c r="G206" i="6"/>
  <c r="F206" i="6"/>
  <c r="E206" i="6"/>
  <c r="D206" i="6"/>
  <c r="U8" i="6"/>
  <c r="V8" i="6"/>
  <c r="W8" i="6"/>
  <c r="X8" i="6"/>
  <c r="Y8" i="6"/>
  <c r="Z8" i="6"/>
  <c r="AA8" i="6"/>
  <c r="AB8" i="6"/>
  <c r="AC8" i="6"/>
  <c r="AD8" i="6"/>
  <c r="AE8" i="6"/>
  <c r="AF8" i="6"/>
  <c r="AG8" i="6"/>
  <c r="AH8" i="6"/>
  <c r="AI8" i="6"/>
  <c r="AJ8" i="6"/>
  <c r="AK8" i="6"/>
  <c r="AL8" i="6"/>
  <c r="AM8" i="6"/>
  <c r="AN8" i="6"/>
  <c r="AO8" i="6"/>
  <c r="AP8" i="6"/>
  <c r="AQ8" i="6"/>
  <c r="AR8" i="6"/>
  <c r="AR205" i="6"/>
  <c r="AQ205" i="6"/>
  <c r="AP205" i="6"/>
  <c r="AO205" i="6"/>
  <c r="AN205" i="6"/>
  <c r="AM205" i="6"/>
  <c r="AL205" i="6"/>
  <c r="AK205" i="6"/>
  <c r="AJ205" i="6"/>
  <c r="AI205" i="6"/>
  <c r="AH205" i="6"/>
  <c r="AG205" i="6"/>
  <c r="AF205" i="6"/>
  <c r="AE205" i="6"/>
  <c r="AD205" i="6"/>
  <c r="AC205" i="6"/>
  <c r="AB205" i="6"/>
  <c r="AA205" i="6"/>
  <c r="Z205" i="6"/>
  <c r="Y205" i="6"/>
  <c r="X205" i="6"/>
  <c r="W205" i="6"/>
  <c r="V205" i="6"/>
  <c r="U205" i="6"/>
  <c r="T205" i="6"/>
  <c r="S205" i="6"/>
  <c r="R205" i="6"/>
  <c r="Q205" i="6"/>
  <c r="P205" i="6"/>
  <c r="O205" i="6"/>
  <c r="N205" i="6"/>
  <c r="M205" i="6"/>
  <c r="L205" i="6"/>
  <c r="K205" i="6"/>
  <c r="J205" i="6"/>
  <c r="I205" i="6"/>
  <c r="H205" i="6"/>
  <c r="G205" i="6"/>
  <c r="F205" i="6"/>
  <c r="E205" i="6"/>
  <c r="D205" i="6"/>
  <c r="AA204" i="6"/>
  <c r="AB204" i="6"/>
  <c r="AC204" i="6"/>
  <c r="AD204" i="6"/>
  <c r="AE204" i="6"/>
  <c r="AF204" i="6"/>
  <c r="AG204" i="6"/>
  <c r="AH204" i="6"/>
  <c r="AI204" i="6"/>
  <c r="AJ204" i="6"/>
  <c r="AK204" i="6"/>
  <c r="AL204" i="6"/>
  <c r="AM204" i="6"/>
  <c r="AN204" i="6"/>
  <c r="AO204" i="6"/>
  <c r="AP204" i="6"/>
  <c r="AQ204" i="6"/>
  <c r="AR204" i="6"/>
  <c r="Y20" i="5"/>
  <c r="Z20" i="5"/>
  <c r="AA20" i="5"/>
  <c r="AB20" i="5"/>
  <c r="AC20" i="5"/>
  <c r="AD20" i="5"/>
  <c r="AE20" i="5"/>
  <c r="AF20" i="5"/>
  <c r="AG20" i="5"/>
  <c r="AH20" i="5"/>
  <c r="AI20" i="5"/>
  <c r="AJ20" i="5"/>
  <c r="AK20" i="5"/>
  <c r="AL20" i="5"/>
  <c r="AM20" i="5"/>
  <c r="AN20" i="5"/>
  <c r="AO20" i="5"/>
  <c r="AP20" i="5"/>
  <c r="AQ20" i="5"/>
  <c r="AR20" i="5"/>
  <c r="AR21" i="5"/>
  <c r="AR203" i="6"/>
  <c r="AQ21" i="5"/>
  <c r="AQ203" i="6"/>
  <c r="AP21" i="5"/>
  <c r="AP203" i="6"/>
  <c r="AO21" i="5"/>
  <c r="AO203" i="6"/>
  <c r="AN21" i="5"/>
  <c r="AN203" i="6"/>
  <c r="AM21" i="5"/>
  <c r="AM203" i="6"/>
  <c r="AL21" i="5"/>
  <c r="AL203" i="6"/>
  <c r="AK21" i="5"/>
  <c r="AK203" i="6"/>
  <c r="AJ21" i="5"/>
  <c r="AJ203" i="6"/>
  <c r="AI21" i="5"/>
  <c r="AI203" i="6"/>
  <c r="AH21" i="5"/>
  <c r="AH203" i="6"/>
  <c r="AG21" i="5"/>
  <c r="AG203" i="6"/>
  <c r="AF21" i="5"/>
  <c r="AF203" i="6"/>
  <c r="AE21" i="5"/>
  <c r="AE203" i="6"/>
  <c r="AD21" i="5"/>
  <c r="AD203" i="6"/>
  <c r="AC21" i="5"/>
  <c r="AC203" i="6"/>
  <c r="AB21" i="5"/>
  <c r="AB203" i="6"/>
  <c r="AA21" i="5"/>
  <c r="AA203" i="6"/>
  <c r="Z21" i="5"/>
  <c r="Z203" i="6"/>
  <c r="Y21" i="5"/>
  <c r="Y203" i="6"/>
  <c r="X203" i="6"/>
  <c r="W203" i="6"/>
  <c r="V203" i="6"/>
  <c r="U203" i="6"/>
  <c r="T203" i="6"/>
  <c r="S203" i="6"/>
  <c r="R203" i="6"/>
  <c r="Q203" i="6"/>
  <c r="P203" i="6"/>
  <c r="O203" i="6"/>
  <c r="N203" i="6"/>
  <c r="M203" i="6"/>
  <c r="L203" i="6"/>
  <c r="K203" i="6"/>
  <c r="J203" i="6"/>
  <c r="I203" i="6"/>
  <c r="H203" i="6"/>
  <c r="G203" i="6"/>
  <c r="F203" i="6"/>
  <c r="E203" i="6"/>
  <c r="D21" i="5"/>
  <c r="D203" i="6"/>
  <c r="Y4" i="5"/>
  <c r="Z4" i="5"/>
  <c r="AA4" i="5"/>
  <c r="AB4" i="5"/>
  <c r="AC4" i="5"/>
  <c r="AD4" i="5"/>
  <c r="AE4" i="5"/>
  <c r="AF4" i="5"/>
  <c r="AG4" i="5"/>
  <c r="AH4" i="5"/>
  <c r="AI4" i="5"/>
  <c r="AJ4" i="5"/>
  <c r="AK4" i="5"/>
  <c r="AL4" i="5"/>
  <c r="AM4" i="5"/>
  <c r="AN4" i="5"/>
  <c r="AO4" i="5"/>
  <c r="AP4" i="5"/>
  <c r="AQ4" i="5"/>
  <c r="AR4" i="5"/>
  <c r="AR202" i="6"/>
  <c r="AQ202" i="6"/>
  <c r="AP202" i="6"/>
  <c r="AO202" i="6"/>
  <c r="AN202" i="6"/>
  <c r="AM202" i="6"/>
  <c r="AL202" i="6"/>
  <c r="AK202" i="6"/>
  <c r="AJ202" i="6"/>
  <c r="AI202" i="6"/>
  <c r="AH202" i="6"/>
  <c r="AG202" i="6"/>
  <c r="AF202" i="6"/>
  <c r="AE202" i="6"/>
  <c r="AD202" i="6"/>
  <c r="AC202" i="6"/>
  <c r="AB202" i="6"/>
  <c r="AA202" i="6"/>
  <c r="Z202" i="6"/>
  <c r="Y202" i="6"/>
  <c r="X202" i="6"/>
  <c r="W202" i="6"/>
  <c r="V202" i="6"/>
  <c r="U202" i="6"/>
  <c r="T202" i="6"/>
  <c r="S202" i="6"/>
  <c r="R202" i="6"/>
  <c r="Q202" i="6"/>
  <c r="P202" i="6"/>
  <c r="O202" i="6"/>
  <c r="N202" i="6"/>
  <c r="M202" i="6"/>
  <c r="L202" i="6"/>
  <c r="K202" i="6"/>
  <c r="J202" i="6"/>
  <c r="I202" i="6"/>
  <c r="H202" i="6"/>
  <c r="G202" i="6"/>
  <c r="F202" i="6"/>
  <c r="E202" i="6"/>
  <c r="D202" i="6"/>
  <c r="Y8" i="5"/>
  <c r="Z8" i="5"/>
  <c r="AA8" i="5"/>
  <c r="AB8" i="5"/>
  <c r="AC8" i="5"/>
  <c r="AD8" i="5"/>
  <c r="AE8" i="5"/>
  <c r="AF8" i="5"/>
  <c r="AG8" i="5"/>
  <c r="AH8" i="5"/>
  <c r="AI8" i="5"/>
  <c r="AJ8" i="5"/>
  <c r="AK8" i="5"/>
  <c r="AL8" i="5"/>
  <c r="AM8" i="5"/>
  <c r="AN8" i="5"/>
  <c r="AO8" i="5"/>
  <c r="AP8" i="5"/>
  <c r="AQ8" i="5"/>
  <c r="AR8" i="5"/>
  <c r="AR201" i="6"/>
  <c r="AQ201" i="6"/>
  <c r="AP201" i="6"/>
  <c r="AO201" i="6"/>
  <c r="AN201" i="6"/>
  <c r="AM201" i="6"/>
  <c r="AL201" i="6"/>
  <c r="AK201" i="6"/>
  <c r="AJ201" i="6"/>
  <c r="AI201" i="6"/>
  <c r="AH201" i="6"/>
  <c r="AG201" i="6"/>
  <c r="AF201" i="6"/>
  <c r="AE201" i="6"/>
  <c r="AD201" i="6"/>
  <c r="AC201" i="6"/>
  <c r="AB201" i="6"/>
  <c r="AA201" i="6"/>
  <c r="Z201" i="6"/>
  <c r="Y201" i="6"/>
  <c r="X201" i="6"/>
  <c r="W201" i="6"/>
  <c r="V201" i="6"/>
  <c r="U201" i="6"/>
  <c r="T201" i="6"/>
  <c r="S201" i="6"/>
  <c r="R201" i="6"/>
  <c r="Q201" i="6"/>
  <c r="P201" i="6"/>
  <c r="O201" i="6"/>
  <c r="N201" i="6"/>
  <c r="M201" i="6"/>
  <c r="L201" i="6"/>
  <c r="K201" i="6"/>
  <c r="J201" i="6"/>
  <c r="I201" i="6"/>
  <c r="H201" i="6"/>
  <c r="G201" i="6"/>
  <c r="F201" i="6"/>
  <c r="E201" i="6"/>
  <c r="D201" i="6"/>
  <c r="AA200" i="6"/>
  <c r="AB200" i="6"/>
  <c r="AC200" i="6"/>
  <c r="AD200" i="6"/>
  <c r="AE200" i="6"/>
  <c r="AF200" i="6"/>
  <c r="AG200" i="6"/>
  <c r="AH200" i="6"/>
  <c r="AI200" i="6"/>
  <c r="AJ200" i="6"/>
  <c r="AK200" i="6"/>
  <c r="AL200" i="6"/>
  <c r="AM200" i="6"/>
  <c r="AN200" i="6"/>
  <c r="AO200" i="6"/>
  <c r="AP200" i="6"/>
  <c r="AQ200" i="6"/>
  <c r="AR200" i="6"/>
  <c r="AR198" i="6"/>
  <c r="AQ198" i="6"/>
  <c r="AP198" i="6"/>
  <c r="AO198" i="6"/>
  <c r="AN198" i="6"/>
  <c r="AM198" i="6"/>
  <c r="AL198" i="6"/>
  <c r="AK198" i="6"/>
  <c r="AJ198" i="6"/>
  <c r="AI198" i="6"/>
  <c r="AH198" i="6"/>
  <c r="AG198" i="6"/>
  <c r="AF198" i="6"/>
  <c r="AE198" i="6"/>
  <c r="AD198" i="6"/>
  <c r="AC198" i="6"/>
  <c r="AB198" i="6"/>
  <c r="AA198" i="6"/>
  <c r="Z198" i="6"/>
  <c r="Y198" i="6"/>
  <c r="X198" i="6"/>
  <c r="W198" i="6"/>
  <c r="V198" i="6"/>
  <c r="U198" i="6"/>
  <c r="T198" i="6"/>
  <c r="S198" i="6"/>
  <c r="R198" i="6"/>
  <c r="Q198" i="6"/>
  <c r="P198" i="6"/>
  <c r="O198" i="6"/>
  <c r="N198" i="6"/>
  <c r="M198" i="6"/>
  <c r="L198" i="6"/>
  <c r="K198" i="6"/>
  <c r="J198" i="6"/>
  <c r="I198" i="6"/>
  <c r="H198" i="6"/>
  <c r="G198" i="6"/>
  <c r="F198" i="6"/>
  <c r="E198" i="6"/>
  <c r="D198" i="6"/>
  <c r="AR197" i="6"/>
  <c r="AQ197" i="6"/>
  <c r="AP197" i="6"/>
  <c r="AO197" i="6"/>
  <c r="AN197" i="6"/>
  <c r="AM197" i="6"/>
  <c r="AL197" i="6"/>
  <c r="AK197" i="6"/>
  <c r="AJ197" i="6"/>
  <c r="AI197" i="6"/>
  <c r="AH197" i="6"/>
  <c r="AG197" i="6"/>
  <c r="AF197" i="6"/>
  <c r="AE197" i="6"/>
  <c r="AD197" i="6"/>
  <c r="AC197" i="6"/>
  <c r="AB197" i="6"/>
  <c r="AA197" i="6"/>
  <c r="Z197" i="6"/>
  <c r="Y197" i="6"/>
  <c r="X197" i="6"/>
  <c r="W197" i="6"/>
  <c r="V197" i="6"/>
  <c r="U197" i="6"/>
  <c r="T197" i="6"/>
  <c r="S197" i="6"/>
  <c r="R197" i="6"/>
  <c r="Q197" i="6"/>
  <c r="P197" i="6"/>
  <c r="O197" i="6"/>
  <c r="N197" i="6"/>
  <c r="M197" i="6"/>
  <c r="L197" i="6"/>
  <c r="K197" i="6"/>
  <c r="J197" i="6"/>
  <c r="I197" i="6"/>
  <c r="H197" i="6"/>
  <c r="G197" i="6"/>
  <c r="F197" i="6"/>
  <c r="E197" i="6"/>
  <c r="D197" i="6"/>
  <c r="AA196" i="6"/>
  <c r="AB196" i="6"/>
  <c r="AC196" i="6"/>
  <c r="AD196" i="6"/>
  <c r="AE196" i="6"/>
  <c r="AF196" i="6"/>
  <c r="AG196" i="6"/>
  <c r="AH196" i="6"/>
  <c r="AI196" i="6"/>
  <c r="AJ196" i="6"/>
  <c r="AK196" i="6"/>
  <c r="AL196" i="6"/>
  <c r="AM196" i="6"/>
  <c r="AN196" i="6"/>
  <c r="AO196" i="6"/>
  <c r="AP196" i="6"/>
  <c r="AQ196" i="6"/>
  <c r="AR196" i="6"/>
  <c r="B196" i="6"/>
  <c r="A196" i="6"/>
  <c r="AR191" i="6"/>
  <c r="AQ191" i="6"/>
  <c r="AP191" i="6"/>
  <c r="AO191" i="6"/>
  <c r="AN191" i="6"/>
  <c r="AM191" i="6"/>
  <c r="AL191" i="6"/>
  <c r="AK191" i="6"/>
  <c r="AJ191" i="6"/>
  <c r="AI191" i="6"/>
  <c r="AH191" i="6"/>
  <c r="AG191" i="6"/>
  <c r="AF191" i="6"/>
  <c r="AE191" i="6"/>
  <c r="AD191" i="6"/>
  <c r="AC191" i="6"/>
  <c r="AB191" i="6"/>
  <c r="AA191" i="6"/>
  <c r="Z191" i="6"/>
  <c r="Y191" i="6"/>
  <c r="E6" i="6"/>
  <c r="E29" i="6"/>
  <c r="E30" i="6"/>
  <c r="D33" i="6"/>
  <c r="E75" i="6"/>
  <c r="C33" i="6"/>
  <c r="E33" i="6"/>
  <c r="C34" i="6"/>
  <c r="E34" i="6"/>
  <c r="C35" i="6"/>
  <c r="E35" i="6"/>
  <c r="C36" i="6"/>
  <c r="E36" i="6"/>
  <c r="C37" i="6"/>
  <c r="E37" i="6"/>
  <c r="C38" i="6"/>
  <c r="E38" i="6"/>
  <c r="C39" i="6"/>
  <c r="E39" i="6"/>
  <c r="C40" i="6"/>
  <c r="E40" i="6"/>
  <c r="C41" i="6"/>
  <c r="E41" i="6"/>
  <c r="C42" i="6"/>
  <c r="E42" i="6"/>
  <c r="C43" i="6"/>
  <c r="E43" i="6"/>
  <c r="C44" i="6"/>
  <c r="E44" i="6"/>
  <c r="C45" i="6"/>
  <c r="E45" i="6"/>
  <c r="C46" i="6"/>
  <c r="E46" i="6"/>
  <c r="C47" i="6"/>
  <c r="E47" i="6"/>
  <c r="C48" i="6"/>
  <c r="E48" i="6"/>
  <c r="C49" i="6"/>
  <c r="E49" i="6"/>
  <c r="C50" i="6"/>
  <c r="E50" i="6"/>
  <c r="C51" i="6"/>
  <c r="E51" i="6"/>
  <c r="C52" i="6"/>
  <c r="E52" i="6"/>
  <c r="C53" i="6"/>
  <c r="E53" i="6"/>
  <c r="C54" i="6"/>
  <c r="E54" i="6"/>
  <c r="C55" i="6"/>
  <c r="E55" i="6"/>
  <c r="C56" i="6"/>
  <c r="E56" i="6"/>
  <c r="C57" i="6"/>
  <c r="E57" i="6"/>
  <c r="C58" i="6"/>
  <c r="E58" i="6"/>
  <c r="C59" i="6"/>
  <c r="E59" i="6"/>
  <c r="C60" i="6"/>
  <c r="E60" i="6"/>
  <c r="C61" i="6"/>
  <c r="E61" i="6"/>
  <c r="C62" i="6"/>
  <c r="E62" i="6"/>
  <c r="C63" i="6"/>
  <c r="E63" i="6"/>
  <c r="C64" i="6"/>
  <c r="E64" i="6"/>
  <c r="C65" i="6"/>
  <c r="E65" i="6"/>
  <c r="C66" i="6"/>
  <c r="E66" i="6"/>
  <c r="C67" i="6"/>
  <c r="E67" i="6"/>
  <c r="C68" i="6"/>
  <c r="E68" i="6"/>
  <c r="C69" i="6"/>
  <c r="E69" i="6"/>
  <c r="C70" i="6"/>
  <c r="E70" i="6"/>
  <c r="C71" i="6"/>
  <c r="E71" i="6"/>
  <c r="C72" i="6"/>
  <c r="E72" i="6"/>
  <c r="E73" i="6"/>
  <c r="E76" i="6"/>
  <c r="F6" i="6"/>
  <c r="F29" i="6"/>
  <c r="F30" i="6"/>
  <c r="D34" i="6"/>
  <c r="F75"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6" i="6"/>
  <c r="G6" i="6"/>
  <c r="G29" i="6"/>
  <c r="G30" i="6"/>
  <c r="D35" i="6"/>
  <c r="G75"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6" i="6"/>
  <c r="H6" i="6"/>
  <c r="H29" i="6"/>
  <c r="H30" i="6"/>
  <c r="D36" i="6"/>
  <c r="H75"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6" i="6"/>
  <c r="I6" i="6"/>
  <c r="I29" i="6"/>
  <c r="I30" i="6"/>
  <c r="D37" i="6"/>
  <c r="I75"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6" i="6"/>
  <c r="J6" i="6"/>
  <c r="J29" i="6"/>
  <c r="J30" i="6"/>
  <c r="D38" i="6"/>
  <c r="J75"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6" i="6"/>
  <c r="K6" i="6"/>
  <c r="K29" i="6"/>
  <c r="K30" i="6"/>
  <c r="D39" i="6"/>
  <c r="K75"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6" i="6"/>
  <c r="L6" i="6"/>
  <c r="L29" i="6"/>
  <c r="L30" i="6"/>
  <c r="D40" i="6"/>
  <c r="L75"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6" i="6"/>
  <c r="M6" i="6"/>
  <c r="M29" i="6"/>
  <c r="M30" i="6"/>
  <c r="D41" i="6"/>
  <c r="M75"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6" i="6"/>
  <c r="N6" i="6"/>
  <c r="N29" i="6"/>
  <c r="N30" i="6"/>
  <c r="D42" i="6"/>
  <c r="N75"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69" i="6"/>
  <c r="N70" i="6"/>
  <c r="N71" i="6"/>
  <c r="N72" i="6"/>
  <c r="N73" i="6"/>
  <c r="N76" i="6"/>
  <c r="O6" i="6"/>
  <c r="O29" i="6"/>
  <c r="O30" i="6"/>
  <c r="D43" i="6"/>
  <c r="O75" i="6"/>
  <c r="O33" i="6"/>
  <c r="O34" i="6"/>
  <c r="O35" i="6"/>
  <c r="O36" i="6"/>
  <c r="O37" i="6"/>
  <c r="O38" i="6"/>
  <c r="O39" i="6"/>
  <c r="O40" i="6"/>
  <c r="O41" i="6"/>
  <c r="O42" i="6"/>
  <c r="O43" i="6"/>
  <c r="O44" i="6"/>
  <c r="O45" i="6"/>
  <c r="O46" i="6"/>
  <c r="O47" i="6"/>
  <c r="O48" i="6"/>
  <c r="O49" i="6"/>
  <c r="O50" i="6"/>
  <c r="O51" i="6"/>
  <c r="O52" i="6"/>
  <c r="O53" i="6"/>
  <c r="O54" i="6"/>
  <c r="O55" i="6"/>
  <c r="O56" i="6"/>
  <c r="O57" i="6"/>
  <c r="O58" i="6"/>
  <c r="O59" i="6"/>
  <c r="O60" i="6"/>
  <c r="O61" i="6"/>
  <c r="O62" i="6"/>
  <c r="O63" i="6"/>
  <c r="O64" i="6"/>
  <c r="O65" i="6"/>
  <c r="O66" i="6"/>
  <c r="O67" i="6"/>
  <c r="O68" i="6"/>
  <c r="O69" i="6"/>
  <c r="O70" i="6"/>
  <c r="O71" i="6"/>
  <c r="O72" i="6"/>
  <c r="O73" i="6"/>
  <c r="O76" i="6"/>
  <c r="P6" i="6"/>
  <c r="P29" i="6"/>
  <c r="P30" i="6"/>
  <c r="D44" i="6"/>
  <c r="P75" i="6"/>
  <c r="P33" i="6"/>
  <c r="P34" i="6"/>
  <c r="P35" i="6"/>
  <c r="P36" i="6"/>
  <c r="P37" i="6"/>
  <c r="P38" i="6"/>
  <c r="P39" i="6"/>
  <c r="P40" i="6"/>
  <c r="P41" i="6"/>
  <c r="P42" i="6"/>
  <c r="P43" i="6"/>
  <c r="P44" i="6"/>
  <c r="P45" i="6"/>
  <c r="P46" i="6"/>
  <c r="P47" i="6"/>
  <c r="P48" i="6"/>
  <c r="P49" i="6"/>
  <c r="P50" i="6"/>
  <c r="P51" i="6"/>
  <c r="P52" i="6"/>
  <c r="P53" i="6"/>
  <c r="P54" i="6"/>
  <c r="P55" i="6"/>
  <c r="P56" i="6"/>
  <c r="P57" i="6"/>
  <c r="P58" i="6"/>
  <c r="P59" i="6"/>
  <c r="P60" i="6"/>
  <c r="P61" i="6"/>
  <c r="P62" i="6"/>
  <c r="P63" i="6"/>
  <c r="P64" i="6"/>
  <c r="P65" i="6"/>
  <c r="P66" i="6"/>
  <c r="P67" i="6"/>
  <c r="P68" i="6"/>
  <c r="P69" i="6"/>
  <c r="P70" i="6"/>
  <c r="P71" i="6"/>
  <c r="P72" i="6"/>
  <c r="P73" i="6"/>
  <c r="P76" i="6"/>
  <c r="Q6" i="6"/>
  <c r="Q29" i="6"/>
  <c r="Q30" i="6"/>
  <c r="D45" i="6"/>
  <c r="Q75" i="6"/>
  <c r="Q33" i="6"/>
  <c r="Q34" i="6"/>
  <c r="Q35" i="6"/>
  <c r="Q36" i="6"/>
  <c r="Q37" i="6"/>
  <c r="Q38" i="6"/>
  <c r="Q39" i="6"/>
  <c r="Q40" i="6"/>
  <c r="Q41" i="6"/>
  <c r="Q42" i="6"/>
  <c r="Q43" i="6"/>
  <c r="Q44" i="6"/>
  <c r="Q45" i="6"/>
  <c r="Q46" i="6"/>
  <c r="Q47" i="6"/>
  <c r="Q48" i="6"/>
  <c r="Q49" i="6"/>
  <c r="Q50" i="6"/>
  <c r="Q51" i="6"/>
  <c r="Q52" i="6"/>
  <c r="Q53" i="6"/>
  <c r="Q54" i="6"/>
  <c r="Q55" i="6"/>
  <c r="Q56" i="6"/>
  <c r="Q57" i="6"/>
  <c r="Q58" i="6"/>
  <c r="Q59" i="6"/>
  <c r="Q60" i="6"/>
  <c r="Q61" i="6"/>
  <c r="Q62" i="6"/>
  <c r="Q63" i="6"/>
  <c r="Q64" i="6"/>
  <c r="Q65" i="6"/>
  <c r="Q66" i="6"/>
  <c r="Q67" i="6"/>
  <c r="Q68" i="6"/>
  <c r="Q69" i="6"/>
  <c r="Q70" i="6"/>
  <c r="Q71" i="6"/>
  <c r="Q72" i="6"/>
  <c r="Q73" i="6"/>
  <c r="Q76" i="6"/>
  <c r="R6" i="6"/>
  <c r="R29" i="6"/>
  <c r="R30" i="6"/>
  <c r="D46" i="6"/>
  <c r="R75" i="6"/>
  <c r="R33" i="6"/>
  <c r="R34" i="6"/>
  <c r="R35" i="6"/>
  <c r="R36" i="6"/>
  <c r="R37" i="6"/>
  <c r="R38" i="6"/>
  <c r="R39" i="6"/>
  <c r="R40" i="6"/>
  <c r="R41" i="6"/>
  <c r="R42" i="6"/>
  <c r="R43" i="6"/>
  <c r="R44" i="6"/>
  <c r="R45" i="6"/>
  <c r="R46" i="6"/>
  <c r="R47" i="6"/>
  <c r="R48" i="6"/>
  <c r="R49" i="6"/>
  <c r="R50" i="6"/>
  <c r="R51" i="6"/>
  <c r="R52" i="6"/>
  <c r="R53" i="6"/>
  <c r="R54" i="6"/>
  <c r="R55" i="6"/>
  <c r="R56" i="6"/>
  <c r="R57" i="6"/>
  <c r="R58" i="6"/>
  <c r="R59" i="6"/>
  <c r="R60" i="6"/>
  <c r="R61" i="6"/>
  <c r="R62" i="6"/>
  <c r="R63" i="6"/>
  <c r="R64" i="6"/>
  <c r="R65" i="6"/>
  <c r="R66" i="6"/>
  <c r="R67" i="6"/>
  <c r="R68" i="6"/>
  <c r="R69" i="6"/>
  <c r="R70" i="6"/>
  <c r="R71" i="6"/>
  <c r="R72" i="6"/>
  <c r="R73" i="6"/>
  <c r="R76" i="6"/>
  <c r="S6" i="6"/>
  <c r="S29" i="6"/>
  <c r="S30" i="6"/>
  <c r="D47" i="6"/>
  <c r="S75" i="6"/>
  <c r="S77" i="6"/>
  <c r="X83" i="6"/>
  <c r="T6" i="6"/>
  <c r="U6" i="6"/>
  <c r="V6" i="6"/>
  <c r="W6" i="6"/>
  <c r="X6" i="6"/>
  <c r="X149" i="6"/>
  <c r="X155" i="6"/>
  <c r="X24" i="5"/>
  <c r="X29" i="6"/>
  <c r="X30" i="6"/>
  <c r="X164" i="6"/>
  <c r="X165" i="6"/>
  <c r="S33" i="6"/>
  <c r="S34" i="6"/>
  <c r="S35" i="6"/>
  <c r="S36" i="6"/>
  <c r="S37" i="6"/>
  <c r="S38" i="6"/>
  <c r="S39" i="6"/>
  <c r="S40" i="6"/>
  <c r="S41" i="6"/>
  <c r="S42" i="6"/>
  <c r="S43" i="6"/>
  <c r="S44" i="6"/>
  <c r="S45" i="6"/>
  <c r="S46" i="6"/>
  <c r="S47" i="6"/>
  <c r="S48" i="6"/>
  <c r="S49" i="6"/>
  <c r="S50" i="6"/>
  <c r="S51" i="6"/>
  <c r="S52" i="6"/>
  <c r="S53" i="6"/>
  <c r="S54" i="6"/>
  <c r="S55" i="6"/>
  <c r="S56" i="6"/>
  <c r="S57" i="6"/>
  <c r="S58" i="6"/>
  <c r="S59" i="6"/>
  <c r="S60" i="6"/>
  <c r="S61" i="6"/>
  <c r="S62" i="6"/>
  <c r="S63" i="6"/>
  <c r="S64" i="6"/>
  <c r="S65" i="6"/>
  <c r="S66" i="6"/>
  <c r="S67" i="6"/>
  <c r="S68" i="6"/>
  <c r="S69" i="6"/>
  <c r="S70" i="6"/>
  <c r="S71" i="6"/>
  <c r="S72" i="6"/>
  <c r="S73" i="6"/>
  <c r="S76" i="6"/>
  <c r="X82" i="6"/>
  <c r="X188" i="6"/>
  <c r="X191" i="6"/>
  <c r="R77" i="6"/>
  <c r="W83" i="6"/>
  <c r="W149" i="6"/>
  <c r="W155" i="6"/>
  <c r="W24" i="5"/>
  <c r="W29" i="6"/>
  <c r="W30" i="6"/>
  <c r="W164" i="6"/>
  <c r="W165" i="6"/>
  <c r="W82" i="6"/>
  <c r="W188" i="6"/>
  <c r="W191" i="6"/>
  <c r="Q77" i="6"/>
  <c r="V83" i="6"/>
  <c r="V149" i="6"/>
  <c r="V155" i="6"/>
  <c r="V24" i="5"/>
  <c r="V29" i="6"/>
  <c r="V30" i="6"/>
  <c r="V164" i="6"/>
  <c r="V165" i="6"/>
  <c r="V82" i="6"/>
  <c r="V188" i="6"/>
  <c r="V191" i="6"/>
  <c r="P77" i="6"/>
  <c r="U83" i="6"/>
  <c r="U149" i="6"/>
  <c r="U155" i="6"/>
  <c r="U24" i="5"/>
  <c r="U29" i="6"/>
  <c r="U30" i="6"/>
  <c r="U164" i="6"/>
  <c r="U165" i="6"/>
  <c r="U82" i="6"/>
  <c r="U188" i="6"/>
  <c r="U191" i="6"/>
  <c r="O77" i="6"/>
  <c r="T83" i="6"/>
  <c r="T149" i="6"/>
  <c r="T155" i="6"/>
  <c r="T24" i="5"/>
  <c r="T29" i="6"/>
  <c r="T30" i="6"/>
  <c r="T164" i="6"/>
  <c r="T165" i="6"/>
  <c r="T82" i="6"/>
  <c r="T188" i="6"/>
  <c r="T191" i="6"/>
  <c r="N77" i="6"/>
  <c r="S83" i="6"/>
  <c r="S149" i="6"/>
  <c r="S155" i="6"/>
  <c r="S24" i="5"/>
  <c r="S164" i="6"/>
  <c r="S165" i="6"/>
  <c r="S82" i="6"/>
  <c r="S188" i="6"/>
  <c r="S191" i="6"/>
  <c r="M77" i="6"/>
  <c r="R83" i="6"/>
  <c r="R149" i="6"/>
  <c r="R155" i="6"/>
  <c r="R24" i="5"/>
  <c r="R164" i="6"/>
  <c r="R165" i="6"/>
  <c r="R82" i="6"/>
  <c r="R188" i="6"/>
  <c r="R191" i="6"/>
  <c r="L77" i="6"/>
  <c r="Q83" i="6"/>
  <c r="Q149" i="6"/>
  <c r="Q155" i="6"/>
  <c r="Q24" i="5"/>
  <c r="Q164" i="6"/>
  <c r="Q165" i="6"/>
  <c r="Q82" i="6"/>
  <c r="Q188" i="6"/>
  <c r="Q191" i="6"/>
  <c r="K77" i="6"/>
  <c r="P83" i="6"/>
  <c r="P149" i="6"/>
  <c r="P155" i="6"/>
  <c r="P24" i="5"/>
  <c r="P164" i="6"/>
  <c r="P165" i="6"/>
  <c r="P82" i="6"/>
  <c r="P188" i="6"/>
  <c r="P191" i="6"/>
  <c r="J77" i="6"/>
  <c r="O83" i="6"/>
  <c r="O149" i="6"/>
  <c r="O155" i="6"/>
  <c r="O24" i="5"/>
  <c r="O164" i="6"/>
  <c r="O165" i="6"/>
  <c r="O82" i="6"/>
  <c r="O188" i="6"/>
  <c r="O191" i="6"/>
  <c r="I77" i="6"/>
  <c r="N83" i="6"/>
  <c r="N149" i="6"/>
  <c r="N155" i="6"/>
  <c r="N24" i="5"/>
  <c r="N164" i="6"/>
  <c r="N165" i="6"/>
  <c r="N82" i="6"/>
  <c r="N188" i="6"/>
  <c r="N191" i="6"/>
  <c r="H77" i="6"/>
  <c r="M83" i="6"/>
  <c r="M149" i="6"/>
  <c r="M155" i="6"/>
  <c r="M24" i="5"/>
  <c r="M164" i="6"/>
  <c r="M165" i="6"/>
  <c r="M82" i="6"/>
  <c r="M188" i="6"/>
  <c r="M191" i="6"/>
  <c r="G77" i="6"/>
  <c r="L83" i="6"/>
  <c r="L149" i="6"/>
  <c r="L155" i="6"/>
  <c r="L24" i="5"/>
  <c r="L164" i="6"/>
  <c r="L165" i="6"/>
  <c r="L82" i="6"/>
  <c r="L188" i="6"/>
  <c r="L191" i="6"/>
  <c r="F77" i="6"/>
  <c r="K83" i="6"/>
  <c r="K149" i="6"/>
  <c r="K155" i="6"/>
  <c r="K24" i="5"/>
  <c r="K164" i="6"/>
  <c r="K165" i="6"/>
  <c r="K82" i="6"/>
  <c r="K188" i="6"/>
  <c r="K191" i="6"/>
  <c r="E77" i="6"/>
  <c r="J83" i="6"/>
  <c r="J149" i="6"/>
  <c r="J155" i="6"/>
  <c r="J24" i="5"/>
  <c r="J164" i="6"/>
  <c r="J165" i="6"/>
  <c r="J82" i="6"/>
  <c r="J188" i="6"/>
  <c r="J191" i="6"/>
  <c r="I83" i="6"/>
  <c r="I191" i="6"/>
  <c r="H83" i="6"/>
  <c r="H191" i="6"/>
  <c r="G83" i="6"/>
  <c r="G191" i="6"/>
  <c r="F83" i="6"/>
  <c r="F191" i="6"/>
  <c r="E83" i="6"/>
  <c r="E191" i="6"/>
  <c r="C191" i="6"/>
  <c r="AR190" i="6"/>
  <c r="AQ190" i="6"/>
  <c r="AP190" i="6"/>
  <c r="AO190" i="6"/>
  <c r="AN190" i="6"/>
  <c r="AM190" i="6"/>
  <c r="AL190" i="6"/>
  <c r="AK190" i="6"/>
  <c r="AJ190" i="6"/>
  <c r="AI190" i="6"/>
  <c r="AH190" i="6"/>
  <c r="AG190" i="6"/>
  <c r="AF190" i="6"/>
  <c r="AE190" i="6"/>
  <c r="AD190" i="6"/>
  <c r="AC190" i="6"/>
  <c r="AB190" i="6"/>
  <c r="AA190" i="6"/>
  <c r="Z190" i="6"/>
  <c r="Y190" i="6"/>
  <c r="Y107" i="6"/>
  <c r="Y11" i="5"/>
  <c r="Y109" i="6"/>
  <c r="Z107" i="6"/>
  <c r="Z11" i="5"/>
  <c r="Z109" i="6"/>
  <c r="AA107" i="6"/>
  <c r="AA11" i="5"/>
  <c r="AA109" i="6"/>
  <c r="AB107" i="6"/>
  <c r="AB11" i="5"/>
  <c r="AB109" i="6"/>
  <c r="AC107" i="6"/>
  <c r="AC11" i="5"/>
  <c r="AC109" i="6"/>
  <c r="AD107" i="6"/>
  <c r="AD11" i="5"/>
  <c r="AD109" i="6"/>
  <c r="AE107" i="6"/>
  <c r="AE11" i="5"/>
  <c r="AE109" i="6"/>
  <c r="AF107" i="6"/>
  <c r="AF11" i="5"/>
  <c r="AF109" i="6"/>
  <c r="AG107" i="6"/>
  <c r="AG11" i="5"/>
  <c r="AG109" i="6"/>
  <c r="AH107" i="6"/>
  <c r="AH11" i="5"/>
  <c r="AH109" i="6"/>
  <c r="AI107" i="6"/>
  <c r="AI11" i="5"/>
  <c r="AI109" i="6"/>
  <c r="AJ107" i="6"/>
  <c r="AJ11" i="5"/>
  <c r="AJ109" i="6"/>
  <c r="AK107" i="6"/>
  <c r="AK11" i="5"/>
  <c r="AK109" i="6"/>
  <c r="AL107" i="6"/>
  <c r="AL11" i="5"/>
  <c r="AL109" i="6"/>
  <c r="AM107" i="6"/>
  <c r="AM11" i="5"/>
  <c r="AM109" i="6"/>
  <c r="AN107" i="6"/>
  <c r="AN11" i="5"/>
  <c r="AN109" i="6"/>
  <c r="AO107" i="6"/>
  <c r="AO11" i="5"/>
  <c r="AO109" i="6"/>
  <c r="AP107" i="6"/>
  <c r="AP11" i="5"/>
  <c r="AP109" i="6"/>
  <c r="AQ107" i="6"/>
  <c r="AQ11" i="5"/>
  <c r="AQ109" i="6"/>
  <c r="AR107" i="6"/>
  <c r="AR11" i="5"/>
  <c r="AR109" i="6"/>
  <c r="Y132" i="6"/>
  <c r="Z132" i="6"/>
  <c r="AA132" i="6"/>
  <c r="AB132" i="6"/>
  <c r="AC132" i="6"/>
  <c r="AD132" i="6"/>
  <c r="AE132" i="6"/>
  <c r="AF132" i="6"/>
  <c r="AG132" i="6"/>
  <c r="AH132" i="6"/>
  <c r="AI132" i="6"/>
  <c r="AJ132" i="6"/>
  <c r="AK132" i="6"/>
  <c r="AL132" i="6"/>
  <c r="AM132" i="6"/>
  <c r="AN132" i="6"/>
  <c r="AO132" i="6"/>
  <c r="AP132" i="6"/>
  <c r="AQ132" i="6"/>
  <c r="AR132" i="6"/>
  <c r="X142" i="6"/>
  <c r="X152" i="6"/>
  <c r="X187" i="6"/>
  <c r="X190" i="6"/>
  <c r="W142" i="6"/>
  <c r="W152" i="6"/>
  <c r="W187" i="6"/>
  <c r="W190" i="6"/>
  <c r="V142" i="6"/>
  <c r="V152" i="6"/>
  <c r="V187" i="6"/>
  <c r="V190" i="6"/>
  <c r="U142" i="6"/>
  <c r="U152" i="6"/>
  <c r="U187" i="6"/>
  <c r="U190" i="6"/>
  <c r="T142" i="6"/>
  <c r="T152" i="6"/>
  <c r="T187" i="6"/>
  <c r="T190" i="6"/>
  <c r="S142" i="6"/>
  <c r="S152" i="6"/>
  <c r="S187" i="6"/>
  <c r="S190" i="6"/>
  <c r="R142" i="6"/>
  <c r="R152" i="6"/>
  <c r="R187" i="6"/>
  <c r="R190" i="6"/>
  <c r="Q142" i="6"/>
  <c r="Q152" i="6"/>
  <c r="Q187" i="6"/>
  <c r="Q190" i="6"/>
  <c r="P142" i="6"/>
  <c r="P152" i="6"/>
  <c r="P187" i="6"/>
  <c r="P190" i="6"/>
  <c r="O142" i="6"/>
  <c r="O152" i="6"/>
  <c r="O187" i="6"/>
  <c r="O190" i="6"/>
  <c r="N142" i="6"/>
  <c r="N152" i="6"/>
  <c r="N187" i="6"/>
  <c r="N190" i="6"/>
  <c r="M142" i="6"/>
  <c r="M152" i="6"/>
  <c r="M187" i="6"/>
  <c r="M190" i="6"/>
  <c r="L142" i="6"/>
  <c r="L152" i="6"/>
  <c r="L187" i="6"/>
  <c r="L190" i="6"/>
  <c r="K142" i="6"/>
  <c r="K152" i="6"/>
  <c r="K187" i="6"/>
  <c r="K190" i="6"/>
  <c r="J142" i="6"/>
  <c r="J152" i="6"/>
  <c r="J187" i="6"/>
  <c r="J190" i="6"/>
  <c r="I190" i="6"/>
  <c r="H190" i="6"/>
  <c r="G190" i="6"/>
  <c r="F190" i="6"/>
  <c r="E190" i="6"/>
  <c r="AR188" i="6"/>
  <c r="AQ188" i="6"/>
  <c r="AP188" i="6"/>
  <c r="AO188" i="6"/>
  <c r="AN188" i="6"/>
  <c r="AM188" i="6"/>
  <c r="AL188" i="6"/>
  <c r="AK188" i="6"/>
  <c r="AJ188" i="6"/>
  <c r="AI188" i="6"/>
  <c r="AH188" i="6"/>
  <c r="AG188" i="6"/>
  <c r="AF188" i="6"/>
  <c r="AE188" i="6"/>
  <c r="AD188" i="6"/>
  <c r="AC188" i="6"/>
  <c r="AB188" i="6"/>
  <c r="AA188" i="6"/>
  <c r="Z188" i="6"/>
  <c r="Y188" i="6"/>
  <c r="I149" i="6"/>
  <c r="I155" i="6"/>
  <c r="I24" i="5"/>
  <c r="I164" i="6"/>
  <c r="I165" i="6"/>
  <c r="I82" i="6"/>
  <c r="I188" i="6"/>
  <c r="H149" i="6"/>
  <c r="H155" i="6"/>
  <c r="H24" i="5"/>
  <c r="H164" i="6"/>
  <c r="H165" i="6"/>
  <c r="H82" i="6"/>
  <c r="H188" i="6"/>
  <c r="G149" i="6"/>
  <c r="G155" i="6"/>
  <c r="G24" i="5"/>
  <c r="G164" i="6"/>
  <c r="G165" i="6"/>
  <c r="G82" i="6"/>
  <c r="G188" i="6"/>
  <c r="F149" i="6"/>
  <c r="F155" i="6"/>
  <c r="F24" i="5"/>
  <c r="F164" i="6"/>
  <c r="F165" i="6"/>
  <c r="F82" i="6"/>
  <c r="F188" i="6"/>
  <c r="E149" i="6"/>
  <c r="E155" i="6"/>
  <c r="E24" i="5"/>
  <c r="E164" i="6"/>
  <c r="E165" i="6"/>
  <c r="E82" i="6"/>
  <c r="E188" i="6"/>
  <c r="C188" i="6"/>
  <c r="AR187" i="6"/>
  <c r="AQ187" i="6"/>
  <c r="AP187" i="6"/>
  <c r="AO187" i="6"/>
  <c r="AN187" i="6"/>
  <c r="AM187" i="6"/>
  <c r="AL187" i="6"/>
  <c r="AK187" i="6"/>
  <c r="AJ187" i="6"/>
  <c r="AI187" i="6"/>
  <c r="AH187" i="6"/>
  <c r="AG187" i="6"/>
  <c r="AF187" i="6"/>
  <c r="AE187" i="6"/>
  <c r="AD187" i="6"/>
  <c r="AC187" i="6"/>
  <c r="AB187" i="6"/>
  <c r="AA187" i="6"/>
  <c r="Z187" i="6"/>
  <c r="Y187" i="6"/>
  <c r="I142" i="6"/>
  <c r="I152" i="6"/>
  <c r="I187" i="6"/>
  <c r="H142" i="6"/>
  <c r="H152" i="6"/>
  <c r="H187" i="6"/>
  <c r="G142" i="6"/>
  <c r="G152" i="6"/>
  <c r="G187" i="6"/>
  <c r="F142" i="6"/>
  <c r="F152" i="6"/>
  <c r="F187" i="6"/>
  <c r="E142" i="6"/>
  <c r="E152" i="6"/>
  <c r="E187" i="6"/>
  <c r="AR182" i="6"/>
  <c r="AQ182" i="6"/>
  <c r="AP182" i="6"/>
  <c r="AO182" i="6"/>
  <c r="AN182" i="6"/>
  <c r="AM182" i="6"/>
  <c r="AL182" i="6"/>
  <c r="AK182" i="6"/>
  <c r="AJ182" i="6"/>
  <c r="AI182" i="6"/>
  <c r="AH182" i="6"/>
  <c r="AG182" i="6"/>
  <c r="AF182" i="6"/>
  <c r="AE182" i="6"/>
  <c r="AD182" i="6"/>
  <c r="AC182" i="6"/>
  <c r="AB182" i="6"/>
  <c r="AA182" i="6"/>
  <c r="Z182" i="6"/>
  <c r="Y182" i="6"/>
  <c r="X182" i="6"/>
  <c r="W182" i="6"/>
  <c r="V182" i="6"/>
  <c r="U182" i="6"/>
  <c r="T182" i="6"/>
  <c r="S182" i="6"/>
  <c r="R182" i="6"/>
  <c r="Q182" i="6"/>
  <c r="P182" i="6"/>
  <c r="O182" i="6"/>
  <c r="N182" i="6"/>
  <c r="M182" i="6"/>
  <c r="L182" i="6"/>
  <c r="K182" i="6"/>
  <c r="J182" i="6"/>
  <c r="I182" i="6"/>
  <c r="H182" i="6"/>
  <c r="G182" i="6"/>
  <c r="F182" i="6"/>
  <c r="E182" i="6"/>
  <c r="AR181" i="6"/>
  <c r="AQ181" i="6"/>
  <c r="AP181" i="6"/>
  <c r="AO181" i="6"/>
  <c r="AN181" i="6"/>
  <c r="AM181" i="6"/>
  <c r="AL181" i="6"/>
  <c r="AK181" i="6"/>
  <c r="AJ181" i="6"/>
  <c r="AI181" i="6"/>
  <c r="AH181" i="6"/>
  <c r="AG181" i="6"/>
  <c r="AF181" i="6"/>
  <c r="AE181" i="6"/>
  <c r="AD181" i="6"/>
  <c r="AC181" i="6"/>
  <c r="AB181" i="6"/>
  <c r="AA181" i="6"/>
  <c r="Z181" i="6"/>
  <c r="Y181" i="6"/>
  <c r="X154" i="6"/>
  <c r="X86" i="6"/>
  <c r="X87" i="6"/>
  <c r="X181" i="6"/>
  <c r="W154" i="6"/>
  <c r="W86" i="6"/>
  <c r="W87" i="6"/>
  <c r="W181" i="6"/>
  <c r="V154" i="6"/>
  <c r="V86" i="6"/>
  <c r="V87" i="6"/>
  <c r="V181" i="6"/>
  <c r="U154" i="6"/>
  <c r="U86" i="6"/>
  <c r="U87" i="6"/>
  <c r="U181" i="6"/>
  <c r="T154" i="6"/>
  <c r="T86" i="6"/>
  <c r="T87" i="6"/>
  <c r="T181" i="6"/>
  <c r="S154" i="6"/>
  <c r="S86" i="6"/>
  <c r="S87" i="6"/>
  <c r="S181" i="6"/>
  <c r="R154" i="6"/>
  <c r="R86" i="6"/>
  <c r="R87" i="6"/>
  <c r="R181" i="6"/>
  <c r="Q154" i="6"/>
  <c r="Q86" i="6"/>
  <c r="Q87" i="6"/>
  <c r="Q181" i="6"/>
  <c r="P154" i="6"/>
  <c r="P86" i="6"/>
  <c r="P87" i="6"/>
  <c r="P181" i="6"/>
  <c r="O154" i="6"/>
  <c r="O86" i="6"/>
  <c r="O87" i="6"/>
  <c r="O181" i="6"/>
  <c r="N154" i="6"/>
  <c r="N86" i="6"/>
  <c r="N87" i="6"/>
  <c r="N181" i="6"/>
  <c r="M154" i="6"/>
  <c r="M86" i="6"/>
  <c r="M87" i="6"/>
  <c r="M181" i="6"/>
  <c r="L154" i="6"/>
  <c r="L86" i="6"/>
  <c r="L87" i="6"/>
  <c r="L181" i="6"/>
  <c r="K154" i="6"/>
  <c r="K86" i="6"/>
  <c r="K87" i="6"/>
  <c r="K181" i="6"/>
  <c r="J154" i="6"/>
  <c r="J86" i="6"/>
  <c r="J87" i="6"/>
  <c r="J181" i="6"/>
  <c r="I154" i="6"/>
  <c r="I86" i="6"/>
  <c r="I87" i="6"/>
  <c r="I181" i="6"/>
  <c r="H154" i="6"/>
  <c r="H86" i="6"/>
  <c r="H87" i="6"/>
  <c r="H181" i="6"/>
  <c r="G154" i="6"/>
  <c r="G86" i="6"/>
  <c r="G87" i="6"/>
  <c r="G181" i="6"/>
  <c r="F154" i="6"/>
  <c r="F86" i="6"/>
  <c r="F87" i="6"/>
  <c r="F181" i="6"/>
  <c r="E154" i="6"/>
  <c r="E86" i="6"/>
  <c r="E87" i="6"/>
  <c r="E181" i="6"/>
  <c r="B180" i="6"/>
  <c r="AR179" i="6"/>
  <c r="AQ179" i="6"/>
  <c r="AP179" i="6"/>
  <c r="AO179" i="6"/>
  <c r="AN179" i="6"/>
  <c r="AM179" i="6"/>
  <c r="AL179" i="6"/>
  <c r="AK179" i="6"/>
  <c r="AJ179" i="6"/>
  <c r="AI179" i="6"/>
  <c r="AH179" i="6"/>
  <c r="AG179" i="6"/>
  <c r="AF179" i="6"/>
  <c r="AE179" i="6"/>
  <c r="AD179" i="6"/>
  <c r="AC179" i="6"/>
  <c r="AB179" i="6"/>
  <c r="AA179" i="6"/>
  <c r="Z179" i="6"/>
  <c r="Y179" i="6"/>
  <c r="X179" i="6"/>
  <c r="W179" i="6"/>
  <c r="V179" i="6"/>
  <c r="U179" i="6"/>
  <c r="T179" i="6"/>
  <c r="S179" i="6"/>
  <c r="R179" i="6"/>
  <c r="Q179" i="6"/>
  <c r="P179" i="6"/>
  <c r="O179" i="6"/>
  <c r="N179" i="6"/>
  <c r="M179" i="6"/>
  <c r="L179" i="6"/>
  <c r="K179" i="6"/>
  <c r="J179" i="6"/>
  <c r="I179" i="6"/>
  <c r="H179" i="6"/>
  <c r="G179" i="6"/>
  <c r="F179" i="6"/>
  <c r="E179" i="6"/>
  <c r="AR178" i="6"/>
  <c r="AQ178" i="6"/>
  <c r="AP178" i="6"/>
  <c r="AO178" i="6"/>
  <c r="AN178" i="6"/>
  <c r="AM178" i="6"/>
  <c r="AL178" i="6"/>
  <c r="AK178" i="6"/>
  <c r="AJ178" i="6"/>
  <c r="AI178" i="6"/>
  <c r="AH178" i="6"/>
  <c r="AG178" i="6"/>
  <c r="AF178" i="6"/>
  <c r="AE178" i="6"/>
  <c r="AD178" i="6"/>
  <c r="AC178" i="6"/>
  <c r="AB178" i="6"/>
  <c r="AA178" i="6"/>
  <c r="Z178" i="6"/>
  <c r="Y178" i="6"/>
  <c r="Y128" i="6"/>
  <c r="Z128" i="6"/>
  <c r="AA128" i="6"/>
  <c r="AB128" i="6"/>
  <c r="AC128" i="6"/>
  <c r="AD128" i="6"/>
  <c r="AE128" i="6"/>
  <c r="AF128" i="6"/>
  <c r="AG128" i="6"/>
  <c r="AH128" i="6"/>
  <c r="AI128" i="6"/>
  <c r="AJ128" i="6"/>
  <c r="AK128" i="6"/>
  <c r="AL128" i="6"/>
  <c r="AM128" i="6"/>
  <c r="AN128" i="6"/>
  <c r="AO128" i="6"/>
  <c r="AP128" i="6"/>
  <c r="AQ128" i="6"/>
  <c r="AR128" i="6"/>
  <c r="X141" i="6"/>
  <c r="X151" i="6"/>
  <c r="X178" i="6"/>
  <c r="W141" i="6"/>
  <c r="W151" i="6"/>
  <c r="W178" i="6"/>
  <c r="V141" i="6"/>
  <c r="V151" i="6"/>
  <c r="V178" i="6"/>
  <c r="U141" i="6"/>
  <c r="U151" i="6"/>
  <c r="U178" i="6"/>
  <c r="T141" i="6"/>
  <c r="T151" i="6"/>
  <c r="T178" i="6"/>
  <c r="S141" i="6"/>
  <c r="S151" i="6"/>
  <c r="S178" i="6"/>
  <c r="R141" i="6"/>
  <c r="R151" i="6"/>
  <c r="R178" i="6"/>
  <c r="Q141" i="6"/>
  <c r="Q151" i="6"/>
  <c r="Q178" i="6"/>
  <c r="P141" i="6"/>
  <c r="P151" i="6"/>
  <c r="P178" i="6"/>
  <c r="O141" i="6"/>
  <c r="O151" i="6"/>
  <c r="O178" i="6"/>
  <c r="N141" i="6"/>
  <c r="N151" i="6"/>
  <c r="N178" i="6"/>
  <c r="M141" i="6"/>
  <c r="M151" i="6"/>
  <c r="M178" i="6"/>
  <c r="L141" i="6"/>
  <c r="L151" i="6"/>
  <c r="L178" i="6"/>
  <c r="K141" i="6"/>
  <c r="K151" i="6"/>
  <c r="K178" i="6"/>
  <c r="J141" i="6"/>
  <c r="J151" i="6"/>
  <c r="J178" i="6"/>
  <c r="I141" i="6"/>
  <c r="I151" i="6"/>
  <c r="I178" i="6"/>
  <c r="H141" i="6"/>
  <c r="H151" i="6"/>
  <c r="H178" i="6"/>
  <c r="G141" i="6"/>
  <c r="G151" i="6"/>
  <c r="G178" i="6"/>
  <c r="F141" i="6"/>
  <c r="F151" i="6"/>
  <c r="F178" i="6"/>
  <c r="E141" i="6"/>
  <c r="E151" i="6"/>
  <c r="E178" i="6"/>
  <c r="A176" i="6"/>
  <c r="AR161" i="6"/>
  <c r="AR164" i="6"/>
  <c r="AR165" i="6"/>
  <c r="AR166" i="6"/>
  <c r="AR167" i="6"/>
  <c r="AR168" i="6"/>
  <c r="AR169" i="6"/>
  <c r="Y6" i="6"/>
  <c r="Z6" i="6"/>
  <c r="AA6" i="6"/>
  <c r="AB6" i="6"/>
  <c r="AC6" i="6"/>
  <c r="AD6" i="6"/>
  <c r="AE6" i="6"/>
  <c r="AF6" i="6"/>
  <c r="AG6" i="6"/>
  <c r="AH6" i="6"/>
  <c r="AI6" i="6"/>
  <c r="AJ6" i="6"/>
  <c r="AK6" i="6"/>
  <c r="AL6" i="6"/>
  <c r="AM6" i="6"/>
  <c r="AN6" i="6"/>
  <c r="AO6" i="6"/>
  <c r="AP6" i="6"/>
  <c r="AQ6" i="6"/>
  <c r="AR6" i="6"/>
  <c r="AR173" i="6"/>
  <c r="AQ161" i="6"/>
  <c r="AQ164" i="6"/>
  <c r="AQ165" i="6"/>
  <c r="AQ166" i="6"/>
  <c r="AQ167" i="6"/>
  <c r="AQ168" i="6"/>
  <c r="AQ169" i="6"/>
  <c r="AQ173" i="6"/>
  <c r="AP161" i="6"/>
  <c r="AP164" i="6"/>
  <c r="AP165" i="6"/>
  <c r="AP166" i="6"/>
  <c r="AP167" i="6"/>
  <c r="AP168" i="6"/>
  <c r="AP169" i="6"/>
  <c r="AP173" i="6"/>
  <c r="AO161" i="6"/>
  <c r="AO164" i="6"/>
  <c r="AO165" i="6"/>
  <c r="AO166" i="6"/>
  <c r="AO167" i="6"/>
  <c r="AO168" i="6"/>
  <c r="AO169" i="6"/>
  <c r="AO173" i="6"/>
  <c r="AN161" i="6"/>
  <c r="AN164" i="6"/>
  <c r="AN165" i="6"/>
  <c r="AN166" i="6"/>
  <c r="AN167" i="6"/>
  <c r="AN168" i="6"/>
  <c r="AN169" i="6"/>
  <c r="AN173" i="6"/>
  <c r="AM161" i="6"/>
  <c r="AM164" i="6"/>
  <c r="AM165" i="6"/>
  <c r="AM166" i="6"/>
  <c r="AM167" i="6"/>
  <c r="AM168" i="6"/>
  <c r="AM169" i="6"/>
  <c r="AM173" i="6"/>
  <c r="AL161" i="6"/>
  <c r="AL164" i="6"/>
  <c r="AL165" i="6"/>
  <c r="AL166" i="6"/>
  <c r="AL167" i="6"/>
  <c r="AL168" i="6"/>
  <c r="AL169" i="6"/>
  <c r="AL173" i="6"/>
  <c r="AK161" i="6"/>
  <c r="AK164" i="6"/>
  <c r="AK165" i="6"/>
  <c r="AK166" i="6"/>
  <c r="AK167" i="6"/>
  <c r="AK168" i="6"/>
  <c r="AK169" i="6"/>
  <c r="AK173" i="6"/>
  <c r="AJ161" i="6"/>
  <c r="AJ164" i="6"/>
  <c r="AJ165" i="6"/>
  <c r="AJ166" i="6"/>
  <c r="AJ167" i="6"/>
  <c r="AJ168" i="6"/>
  <c r="AJ169" i="6"/>
  <c r="AJ173" i="6"/>
  <c r="AI161" i="6"/>
  <c r="AI164" i="6"/>
  <c r="AI165" i="6"/>
  <c r="AI166" i="6"/>
  <c r="AI167" i="6"/>
  <c r="AI168" i="6"/>
  <c r="AI169" i="6"/>
  <c r="AI173" i="6"/>
  <c r="AH161" i="6"/>
  <c r="AH164" i="6"/>
  <c r="AH165" i="6"/>
  <c r="AH166" i="6"/>
  <c r="AH167" i="6"/>
  <c r="AH168" i="6"/>
  <c r="AH169" i="6"/>
  <c r="AH173" i="6"/>
  <c r="AG161" i="6"/>
  <c r="AG164" i="6"/>
  <c r="AG165" i="6"/>
  <c r="AG166" i="6"/>
  <c r="AG167" i="6"/>
  <c r="AG168" i="6"/>
  <c r="AG169" i="6"/>
  <c r="AG173" i="6"/>
  <c r="AF161" i="6"/>
  <c r="AF164" i="6"/>
  <c r="AF165" i="6"/>
  <c r="AF166" i="6"/>
  <c r="AF167" i="6"/>
  <c r="AF168" i="6"/>
  <c r="AF169" i="6"/>
  <c r="AF173" i="6"/>
  <c r="AE161" i="6"/>
  <c r="AE164" i="6"/>
  <c r="AE165" i="6"/>
  <c r="AE166" i="6"/>
  <c r="AE167" i="6"/>
  <c r="AE168" i="6"/>
  <c r="AE169" i="6"/>
  <c r="AE173" i="6"/>
  <c r="AD161" i="6"/>
  <c r="AD164" i="6"/>
  <c r="AD165" i="6"/>
  <c r="AD166" i="6"/>
  <c r="AD167" i="6"/>
  <c r="AD168" i="6"/>
  <c r="AD169" i="6"/>
  <c r="AD173" i="6"/>
  <c r="AC161" i="6"/>
  <c r="AC164" i="6"/>
  <c r="AC165" i="6"/>
  <c r="AC166" i="6"/>
  <c r="AC167" i="6"/>
  <c r="AC168" i="6"/>
  <c r="AC169" i="6"/>
  <c r="AC173" i="6"/>
  <c r="AB161" i="6"/>
  <c r="AB164" i="6"/>
  <c r="AB165" i="6"/>
  <c r="AB166" i="6"/>
  <c r="AB167" i="6"/>
  <c r="AB168" i="6"/>
  <c r="AB169" i="6"/>
  <c r="AB173" i="6"/>
  <c r="AA161" i="6"/>
  <c r="AA164" i="6"/>
  <c r="AA165" i="6"/>
  <c r="AA166" i="6"/>
  <c r="AA167" i="6"/>
  <c r="AA168" i="6"/>
  <c r="AA169" i="6"/>
  <c r="AA173" i="6"/>
  <c r="Z161" i="6"/>
  <c r="Z164" i="6"/>
  <c r="Z165" i="6"/>
  <c r="Z166" i="6"/>
  <c r="Z167" i="6"/>
  <c r="Z168" i="6"/>
  <c r="Z169" i="6"/>
  <c r="Z173" i="6"/>
  <c r="Y161" i="6"/>
  <c r="Y164" i="6"/>
  <c r="Y165" i="6"/>
  <c r="Y166" i="6"/>
  <c r="Y167" i="6"/>
  <c r="Y168" i="6"/>
  <c r="Y169" i="6"/>
  <c r="Y173" i="6"/>
  <c r="X161" i="6"/>
  <c r="X166" i="6"/>
  <c r="X167" i="6"/>
  <c r="X168" i="6"/>
  <c r="X169" i="6"/>
  <c r="X173" i="6"/>
  <c r="W161" i="6"/>
  <c r="W166" i="6"/>
  <c r="W167" i="6"/>
  <c r="W168" i="6"/>
  <c r="W169" i="6"/>
  <c r="W173" i="6"/>
  <c r="V161" i="6"/>
  <c r="V166" i="6"/>
  <c r="V167" i="6"/>
  <c r="V168" i="6"/>
  <c r="V169" i="6"/>
  <c r="V173" i="6"/>
  <c r="U161" i="6"/>
  <c r="U166" i="6"/>
  <c r="U167" i="6"/>
  <c r="U168" i="6"/>
  <c r="U169" i="6"/>
  <c r="U173" i="6"/>
  <c r="T161" i="6"/>
  <c r="T166" i="6"/>
  <c r="T167" i="6"/>
  <c r="T168" i="6"/>
  <c r="T169" i="6"/>
  <c r="T173" i="6"/>
  <c r="S161" i="6"/>
  <c r="S166" i="6"/>
  <c r="S167" i="6"/>
  <c r="S168" i="6"/>
  <c r="S169" i="6"/>
  <c r="S173" i="6"/>
  <c r="R161" i="6"/>
  <c r="R166" i="6"/>
  <c r="R167" i="6"/>
  <c r="R168" i="6"/>
  <c r="R169" i="6"/>
  <c r="R173" i="6"/>
  <c r="Q161" i="6"/>
  <c r="Q166" i="6"/>
  <c r="Q167" i="6"/>
  <c r="Q168" i="6"/>
  <c r="Q169" i="6"/>
  <c r="Q173" i="6"/>
  <c r="P161" i="6"/>
  <c r="P166" i="6"/>
  <c r="P167" i="6"/>
  <c r="P168" i="6"/>
  <c r="P169" i="6"/>
  <c r="P173" i="6"/>
  <c r="O161" i="6"/>
  <c r="O166" i="6"/>
  <c r="O167" i="6"/>
  <c r="O168" i="6"/>
  <c r="O169" i="6"/>
  <c r="O173" i="6"/>
  <c r="N161" i="6"/>
  <c r="N166" i="6"/>
  <c r="N167" i="6"/>
  <c r="N168" i="6"/>
  <c r="N169" i="6"/>
  <c r="N173" i="6"/>
  <c r="M161" i="6"/>
  <c r="M166" i="6"/>
  <c r="M167" i="6"/>
  <c r="M168" i="6"/>
  <c r="M169" i="6"/>
  <c r="M173" i="6"/>
  <c r="L161" i="6"/>
  <c r="L166" i="6"/>
  <c r="L167" i="6"/>
  <c r="L168" i="6"/>
  <c r="L169" i="6"/>
  <c r="L173" i="6"/>
  <c r="K161" i="6"/>
  <c r="K166" i="6"/>
  <c r="K167" i="6"/>
  <c r="K168" i="6"/>
  <c r="K169" i="6"/>
  <c r="K173" i="6"/>
  <c r="J161" i="6"/>
  <c r="J166" i="6"/>
  <c r="J167" i="6"/>
  <c r="J168" i="6"/>
  <c r="J169" i="6"/>
  <c r="J173" i="6"/>
  <c r="I161" i="6"/>
  <c r="I166" i="6"/>
  <c r="I167" i="6"/>
  <c r="I168" i="6"/>
  <c r="I169" i="6"/>
  <c r="I173" i="6"/>
  <c r="H161" i="6"/>
  <c r="H166" i="6"/>
  <c r="H167" i="6"/>
  <c r="H168" i="6"/>
  <c r="H169" i="6"/>
  <c r="H173" i="6"/>
  <c r="G161" i="6"/>
  <c r="G166" i="6"/>
  <c r="G167" i="6"/>
  <c r="G168" i="6"/>
  <c r="G169" i="6"/>
  <c r="G173" i="6"/>
  <c r="F161" i="6"/>
  <c r="F166" i="6"/>
  <c r="F167" i="6"/>
  <c r="F168" i="6"/>
  <c r="F169" i="6"/>
  <c r="F173" i="6"/>
  <c r="E161" i="6"/>
  <c r="E166" i="6"/>
  <c r="E167" i="6"/>
  <c r="E168" i="6"/>
  <c r="E169" i="6"/>
  <c r="E173" i="6"/>
  <c r="C173" i="6"/>
  <c r="AR160" i="6"/>
  <c r="AR172" i="6"/>
  <c r="AQ160" i="6"/>
  <c r="AQ172" i="6"/>
  <c r="AP160" i="6"/>
  <c r="AP172" i="6"/>
  <c r="AO160" i="6"/>
  <c r="AO172" i="6"/>
  <c r="AN160" i="6"/>
  <c r="AN172" i="6"/>
  <c r="AM160" i="6"/>
  <c r="AM172" i="6"/>
  <c r="AL160" i="6"/>
  <c r="AL172" i="6"/>
  <c r="AK160" i="6"/>
  <c r="AK172" i="6"/>
  <c r="AJ160" i="6"/>
  <c r="AJ172" i="6"/>
  <c r="AI160" i="6"/>
  <c r="AI172" i="6"/>
  <c r="AH160" i="6"/>
  <c r="AH172" i="6"/>
  <c r="AG160" i="6"/>
  <c r="AG172" i="6"/>
  <c r="AF160" i="6"/>
  <c r="AF172" i="6"/>
  <c r="AE160" i="6"/>
  <c r="AE172" i="6"/>
  <c r="AD160" i="6"/>
  <c r="AD172" i="6"/>
  <c r="AC160" i="6"/>
  <c r="AC172" i="6"/>
  <c r="AB160" i="6"/>
  <c r="AB172" i="6"/>
  <c r="AA160" i="6"/>
  <c r="AA172" i="6"/>
  <c r="Z160" i="6"/>
  <c r="Z172" i="6"/>
  <c r="Y160" i="6"/>
  <c r="Y172" i="6"/>
  <c r="X160" i="6"/>
  <c r="X172" i="6"/>
  <c r="W160" i="6"/>
  <c r="W172" i="6"/>
  <c r="V160" i="6"/>
  <c r="V172" i="6"/>
  <c r="U160" i="6"/>
  <c r="U172" i="6"/>
  <c r="T160" i="6"/>
  <c r="T172" i="6"/>
  <c r="S160" i="6"/>
  <c r="S172" i="6"/>
  <c r="R160" i="6"/>
  <c r="R172" i="6"/>
  <c r="Q160" i="6"/>
  <c r="Q172" i="6"/>
  <c r="P160" i="6"/>
  <c r="P172" i="6"/>
  <c r="O160" i="6"/>
  <c r="O172" i="6"/>
  <c r="N160" i="6"/>
  <c r="N172" i="6"/>
  <c r="M160" i="6"/>
  <c r="M172" i="6"/>
  <c r="L160" i="6"/>
  <c r="L172" i="6"/>
  <c r="K160" i="6"/>
  <c r="K172" i="6"/>
  <c r="J160" i="6"/>
  <c r="J172" i="6"/>
  <c r="I160" i="6"/>
  <c r="I172" i="6"/>
  <c r="H160" i="6"/>
  <c r="H172" i="6"/>
  <c r="G160" i="6"/>
  <c r="G172" i="6"/>
  <c r="F160" i="6"/>
  <c r="F172" i="6"/>
  <c r="E160" i="6"/>
  <c r="E172" i="6"/>
  <c r="C161" i="6"/>
  <c r="A158" i="6"/>
  <c r="AR155" i="6"/>
  <c r="AQ155" i="6"/>
  <c r="AP155" i="6"/>
  <c r="AO155" i="6"/>
  <c r="AN155" i="6"/>
  <c r="AM155" i="6"/>
  <c r="AL155" i="6"/>
  <c r="AK155" i="6"/>
  <c r="AJ155" i="6"/>
  <c r="AI155" i="6"/>
  <c r="AH155" i="6"/>
  <c r="AG155" i="6"/>
  <c r="AF155" i="6"/>
  <c r="AE155" i="6"/>
  <c r="AD155" i="6"/>
  <c r="AC155" i="6"/>
  <c r="AB155" i="6"/>
  <c r="AA155" i="6"/>
  <c r="Z155" i="6"/>
  <c r="Y155" i="6"/>
  <c r="AR154" i="6"/>
  <c r="AQ154" i="6"/>
  <c r="AP154" i="6"/>
  <c r="AO154" i="6"/>
  <c r="AN154" i="6"/>
  <c r="AM154" i="6"/>
  <c r="AL154" i="6"/>
  <c r="AK154" i="6"/>
  <c r="AJ154" i="6"/>
  <c r="AI154" i="6"/>
  <c r="AH154" i="6"/>
  <c r="AG154" i="6"/>
  <c r="AF154" i="6"/>
  <c r="AE154" i="6"/>
  <c r="AD154" i="6"/>
  <c r="AC154" i="6"/>
  <c r="AB154" i="6"/>
  <c r="AA154" i="6"/>
  <c r="Z154" i="6"/>
  <c r="Y154" i="6"/>
  <c r="B153" i="6"/>
  <c r="AR152" i="6"/>
  <c r="AQ152" i="6"/>
  <c r="AP152" i="6"/>
  <c r="AO152" i="6"/>
  <c r="AN152" i="6"/>
  <c r="AM152" i="6"/>
  <c r="AL152" i="6"/>
  <c r="AK152" i="6"/>
  <c r="AJ152" i="6"/>
  <c r="AI152" i="6"/>
  <c r="AH152" i="6"/>
  <c r="AG152" i="6"/>
  <c r="AF152" i="6"/>
  <c r="AE152" i="6"/>
  <c r="AD152" i="6"/>
  <c r="AC152" i="6"/>
  <c r="AB152" i="6"/>
  <c r="AA152" i="6"/>
  <c r="Z152" i="6"/>
  <c r="Y152" i="6"/>
  <c r="AR151" i="6"/>
  <c r="AQ151" i="6"/>
  <c r="AP151" i="6"/>
  <c r="AO151" i="6"/>
  <c r="AN151" i="6"/>
  <c r="AM151" i="6"/>
  <c r="AL151" i="6"/>
  <c r="AK151" i="6"/>
  <c r="AJ151" i="6"/>
  <c r="AI151" i="6"/>
  <c r="AH151" i="6"/>
  <c r="AG151" i="6"/>
  <c r="AF151" i="6"/>
  <c r="AE151" i="6"/>
  <c r="AD151" i="6"/>
  <c r="AC151" i="6"/>
  <c r="AB151" i="6"/>
  <c r="AA151" i="6"/>
  <c r="Z151" i="6"/>
  <c r="Y151" i="6"/>
  <c r="AR149" i="6"/>
  <c r="AQ149" i="6"/>
  <c r="AP149" i="6"/>
  <c r="AO149" i="6"/>
  <c r="AN149" i="6"/>
  <c r="AM149" i="6"/>
  <c r="AL149" i="6"/>
  <c r="AK149" i="6"/>
  <c r="AJ149" i="6"/>
  <c r="AI149" i="6"/>
  <c r="AH149" i="6"/>
  <c r="AG149" i="6"/>
  <c r="AF149" i="6"/>
  <c r="AE149" i="6"/>
  <c r="AD149" i="6"/>
  <c r="AC149" i="6"/>
  <c r="AB149" i="6"/>
  <c r="AA149" i="6"/>
  <c r="Z149" i="6"/>
  <c r="Y149" i="6"/>
  <c r="AR145" i="6"/>
  <c r="AQ145" i="6"/>
  <c r="AP145" i="6"/>
  <c r="AO145" i="6"/>
  <c r="AN145" i="6"/>
  <c r="AM145" i="6"/>
  <c r="AL145" i="6"/>
  <c r="AK145" i="6"/>
  <c r="AJ145" i="6"/>
  <c r="AI145" i="6"/>
  <c r="AH145" i="6"/>
  <c r="AG145" i="6"/>
  <c r="AF145" i="6"/>
  <c r="AE145" i="6"/>
  <c r="AD145" i="6"/>
  <c r="AC145" i="6"/>
  <c r="AB145" i="6"/>
  <c r="AA145" i="6"/>
  <c r="Z145" i="6"/>
  <c r="Y145" i="6"/>
  <c r="AR144" i="6"/>
  <c r="AQ144" i="6"/>
  <c r="AP144" i="6"/>
  <c r="AO144" i="6"/>
  <c r="AN144" i="6"/>
  <c r="AM144" i="6"/>
  <c r="AL144" i="6"/>
  <c r="AK144" i="6"/>
  <c r="AJ144" i="6"/>
  <c r="AI144" i="6"/>
  <c r="AH144" i="6"/>
  <c r="AG144" i="6"/>
  <c r="AF144" i="6"/>
  <c r="AE144" i="6"/>
  <c r="AD144" i="6"/>
  <c r="AC144" i="6"/>
  <c r="AB144" i="6"/>
  <c r="AA144" i="6"/>
  <c r="Z144" i="6"/>
  <c r="Y144" i="6"/>
  <c r="B143" i="6"/>
  <c r="AR142" i="6"/>
  <c r="AQ142" i="6"/>
  <c r="AP142" i="6"/>
  <c r="AO142" i="6"/>
  <c r="AN142" i="6"/>
  <c r="AM142" i="6"/>
  <c r="AL142" i="6"/>
  <c r="AK142" i="6"/>
  <c r="AJ142" i="6"/>
  <c r="AI142" i="6"/>
  <c r="AH142" i="6"/>
  <c r="AG142" i="6"/>
  <c r="AF142" i="6"/>
  <c r="AE142" i="6"/>
  <c r="AD142" i="6"/>
  <c r="AC142" i="6"/>
  <c r="AB142" i="6"/>
  <c r="AA142" i="6"/>
  <c r="Z142" i="6"/>
  <c r="Y142" i="6"/>
  <c r="AR141" i="6"/>
  <c r="AQ141" i="6"/>
  <c r="AP141" i="6"/>
  <c r="AO141" i="6"/>
  <c r="AN141" i="6"/>
  <c r="AM141" i="6"/>
  <c r="AL141" i="6"/>
  <c r="AK141" i="6"/>
  <c r="AJ141" i="6"/>
  <c r="AI141" i="6"/>
  <c r="AH141" i="6"/>
  <c r="AG141" i="6"/>
  <c r="AF141" i="6"/>
  <c r="AE141" i="6"/>
  <c r="AD141" i="6"/>
  <c r="AC141" i="6"/>
  <c r="AB141" i="6"/>
  <c r="AA141" i="6"/>
  <c r="Z141" i="6"/>
  <c r="Y141" i="6"/>
  <c r="AR137" i="6"/>
  <c r="AQ137" i="6"/>
  <c r="AP137" i="6"/>
  <c r="AO137" i="6"/>
  <c r="AN137" i="6"/>
  <c r="AM137" i="6"/>
  <c r="AL137" i="6"/>
  <c r="AK137" i="6"/>
  <c r="AJ137" i="6"/>
  <c r="AI137" i="6"/>
  <c r="AH137" i="6"/>
  <c r="AG137" i="6"/>
  <c r="AF137" i="6"/>
  <c r="AE137" i="6"/>
  <c r="AD137" i="6"/>
  <c r="AC137" i="6"/>
  <c r="AB137" i="6"/>
  <c r="AA137" i="6"/>
  <c r="Z137" i="6"/>
  <c r="Y137" i="6"/>
  <c r="X137" i="6"/>
  <c r="W137" i="6"/>
  <c r="V137" i="6"/>
  <c r="U137" i="6"/>
  <c r="T137" i="6"/>
  <c r="R137" i="6"/>
  <c r="Q137" i="6"/>
  <c r="P137" i="6"/>
  <c r="O137" i="6"/>
  <c r="M137" i="6"/>
  <c r="L137" i="6"/>
  <c r="K137" i="6"/>
  <c r="J137" i="6"/>
  <c r="H137" i="6"/>
  <c r="G137" i="6"/>
  <c r="F137" i="6"/>
  <c r="E137" i="6"/>
  <c r="AR136" i="6"/>
  <c r="AQ136" i="6"/>
  <c r="AP136" i="6"/>
  <c r="AO136" i="6"/>
  <c r="AN136" i="6"/>
  <c r="AM136" i="6"/>
  <c r="AL136" i="6"/>
  <c r="AK136" i="6"/>
  <c r="AJ136" i="6"/>
  <c r="AI136" i="6"/>
  <c r="AH136" i="6"/>
  <c r="AG136" i="6"/>
  <c r="AF136" i="6"/>
  <c r="AE136" i="6"/>
  <c r="AD136" i="6"/>
  <c r="AC136" i="6"/>
  <c r="AB136" i="6"/>
  <c r="AA136" i="6"/>
  <c r="Z136" i="6"/>
  <c r="Y136" i="6"/>
  <c r="X136" i="6"/>
  <c r="W136" i="6"/>
  <c r="V136" i="6"/>
  <c r="U136" i="6"/>
  <c r="T136" i="6"/>
  <c r="R136" i="6"/>
  <c r="Q136" i="6"/>
  <c r="P136" i="6"/>
  <c r="O136" i="6"/>
  <c r="M136" i="6"/>
  <c r="L136" i="6"/>
  <c r="K136" i="6"/>
  <c r="J136" i="6"/>
  <c r="H136" i="6"/>
  <c r="G136" i="6"/>
  <c r="F136" i="6"/>
  <c r="E136" i="6"/>
  <c r="AR133" i="6"/>
  <c r="AQ133" i="6"/>
  <c r="AP133" i="6"/>
  <c r="AO133" i="6"/>
  <c r="AN133" i="6"/>
  <c r="AM133" i="6"/>
  <c r="AL133" i="6"/>
  <c r="AK133" i="6"/>
  <c r="AJ133" i="6"/>
  <c r="AI133" i="6"/>
  <c r="AH133" i="6"/>
  <c r="AG133" i="6"/>
  <c r="AF133" i="6"/>
  <c r="AE133" i="6"/>
  <c r="AD133" i="6"/>
  <c r="AC133" i="6"/>
  <c r="AB133" i="6"/>
  <c r="AA133" i="6"/>
  <c r="Z133" i="6"/>
  <c r="Y133" i="6"/>
  <c r="AR131" i="6"/>
  <c r="AQ131" i="6"/>
  <c r="AP131" i="6"/>
  <c r="AO131" i="6"/>
  <c r="AN131" i="6"/>
  <c r="AM131" i="6"/>
  <c r="AL131" i="6"/>
  <c r="AK131" i="6"/>
  <c r="AJ131" i="6"/>
  <c r="AI131" i="6"/>
  <c r="AH131" i="6"/>
  <c r="AG131" i="6"/>
  <c r="AF131" i="6"/>
  <c r="AE131" i="6"/>
  <c r="AD131" i="6"/>
  <c r="AC131" i="6"/>
  <c r="AB131" i="6"/>
  <c r="AA131" i="6"/>
  <c r="Z131" i="6"/>
  <c r="Y131" i="6"/>
  <c r="AR129" i="6"/>
  <c r="AQ129" i="6"/>
  <c r="AP129" i="6"/>
  <c r="AO129" i="6"/>
  <c r="AN129" i="6"/>
  <c r="AM129" i="6"/>
  <c r="AL129" i="6"/>
  <c r="AK129" i="6"/>
  <c r="AJ129" i="6"/>
  <c r="AI129" i="6"/>
  <c r="AH129" i="6"/>
  <c r="AG129" i="6"/>
  <c r="AF129" i="6"/>
  <c r="AE129" i="6"/>
  <c r="AD129" i="6"/>
  <c r="AC129" i="6"/>
  <c r="AB129" i="6"/>
  <c r="AA129" i="6"/>
  <c r="Z129" i="6"/>
  <c r="Y129" i="6"/>
  <c r="AR127" i="6"/>
  <c r="AQ127" i="6"/>
  <c r="AP127" i="6"/>
  <c r="AO127" i="6"/>
  <c r="AN127" i="6"/>
  <c r="AM127" i="6"/>
  <c r="AL127" i="6"/>
  <c r="AK127" i="6"/>
  <c r="AJ127" i="6"/>
  <c r="AI127" i="6"/>
  <c r="AH127" i="6"/>
  <c r="AG127" i="6"/>
  <c r="AF127" i="6"/>
  <c r="AE127" i="6"/>
  <c r="AD127" i="6"/>
  <c r="AC127" i="6"/>
  <c r="AB127" i="6"/>
  <c r="AA127" i="6"/>
  <c r="Z127" i="6"/>
  <c r="Y127" i="6"/>
  <c r="AR123" i="6"/>
  <c r="AQ123" i="6"/>
  <c r="AP123" i="6"/>
  <c r="AO123" i="6"/>
  <c r="AN123" i="6"/>
  <c r="AM123" i="6"/>
  <c r="AL123" i="6"/>
  <c r="AK123" i="6"/>
  <c r="AJ123" i="6"/>
  <c r="AI123" i="6"/>
  <c r="AH123" i="6"/>
  <c r="AG123" i="6"/>
  <c r="AF123" i="6"/>
  <c r="AE123" i="6"/>
  <c r="AD123" i="6"/>
  <c r="AC123" i="6"/>
  <c r="AB123" i="6"/>
  <c r="AA123" i="6"/>
  <c r="Z123" i="6"/>
  <c r="Y123" i="6"/>
  <c r="AR122" i="6"/>
  <c r="AQ122" i="6"/>
  <c r="AP122" i="6"/>
  <c r="AO122" i="6"/>
  <c r="AN122" i="6"/>
  <c r="AM122" i="6"/>
  <c r="AL122" i="6"/>
  <c r="AK122" i="6"/>
  <c r="AJ122" i="6"/>
  <c r="AI122" i="6"/>
  <c r="AH122" i="6"/>
  <c r="AG122" i="6"/>
  <c r="AF122" i="6"/>
  <c r="AE122" i="6"/>
  <c r="AD122" i="6"/>
  <c r="AC122" i="6"/>
  <c r="AB122" i="6"/>
  <c r="AA122" i="6"/>
  <c r="Z122" i="6"/>
  <c r="Y122" i="6"/>
  <c r="C122" i="6"/>
  <c r="AR121" i="6"/>
  <c r="AQ121" i="6"/>
  <c r="AP121" i="6"/>
  <c r="AO121" i="6"/>
  <c r="AN121" i="6"/>
  <c r="AM121" i="6"/>
  <c r="AL121" i="6"/>
  <c r="AK121" i="6"/>
  <c r="AJ121" i="6"/>
  <c r="AI121" i="6"/>
  <c r="AH121" i="6"/>
  <c r="AG121" i="6"/>
  <c r="AF121" i="6"/>
  <c r="AE121" i="6"/>
  <c r="AD121" i="6"/>
  <c r="AC121" i="6"/>
  <c r="AB121" i="6"/>
  <c r="AA121" i="6"/>
  <c r="Z121" i="6"/>
  <c r="Y121" i="6"/>
  <c r="E121" i="6"/>
  <c r="F121" i="6"/>
  <c r="G121" i="6"/>
  <c r="H121" i="6"/>
  <c r="I121" i="6"/>
  <c r="J121" i="6"/>
  <c r="K121" i="6"/>
  <c r="L121" i="6"/>
  <c r="M121" i="6"/>
  <c r="N121" i="6"/>
  <c r="O121" i="6"/>
  <c r="P121" i="6"/>
  <c r="Q121" i="6"/>
  <c r="R121" i="6"/>
  <c r="S121" i="6"/>
  <c r="T121" i="6"/>
  <c r="U121" i="6"/>
  <c r="V121" i="6"/>
  <c r="W121" i="6"/>
  <c r="X121" i="6"/>
  <c r="C121" i="6"/>
  <c r="AR119" i="6"/>
  <c r="AQ119" i="6"/>
  <c r="AP119" i="6"/>
  <c r="AO119" i="6"/>
  <c r="AN119" i="6"/>
  <c r="AM119" i="6"/>
  <c r="AL119" i="6"/>
  <c r="AK119" i="6"/>
  <c r="AJ119" i="6"/>
  <c r="AI119" i="6"/>
  <c r="AH119" i="6"/>
  <c r="AG119" i="6"/>
  <c r="AF119" i="6"/>
  <c r="AE119" i="6"/>
  <c r="AD119" i="6"/>
  <c r="AC119" i="6"/>
  <c r="AB119" i="6"/>
  <c r="AA119" i="6"/>
  <c r="Z119" i="6"/>
  <c r="Y119" i="6"/>
  <c r="AR118" i="6"/>
  <c r="AQ118" i="6"/>
  <c r="AP118" i="6"/>
  <c r="AO118" i="6"/>
  <c r="AN118" i="6"/>
  <c r="AM118" i="6"/>
  <c r="AL118" i="6"/>
  <c r="AK118" i="6"/>
  <c r="AJ118" i="6"/>
  <c r="AI118" i="6"/>
  <c r="AH118" i="6"/>
  <c r="AG118" i="6"/>
  <c r="AF118" i="6"/>
  <c r="AE118" i="6"/>
  <c r="AD118" i="6"/>
  <c r="AC118" i="6"/>
  <c r="AB118" i="6"/>
  <c r="AA118" i="6"/>
  <c r="Z118" i="6"/>
  <c r="Y118" i="6"/>
  <c r="AR117" i="6"/>
  <c r="AQ117" i="6"/>
  <c r="AP117" i="6"/>
  <c r="AO117" i="6"/>
  <c r="AN117" i="6"/>
  <c r="AM117" i="6"/>
  <c r="AL117" i="6"/>
  <c r="AK117" i="6"/>
  <c r="AJ117" i="6"/>
  <c r="AI117" i="6"/>
  <c r="AH117" i="6"/>
  <c r="AG117" i="6"/>
  <c r="AF117" i="6"/>
  <c r="AE117" i="6"/>
  <c r="AD117" i="6"/>
  <c r="AC117" i="6"/>
  <c r="AB117" i="6"/>
  <c r="AA117" i="6"/>
  <c r="Z117" i="6"/>
  <c r="Y117" i="6"/>
  <c r="AR115" i="6"/>
  <c r="AQ115" i="6"/>
  <c r="AP115" i="6"/>
  <c r="AO115" i="6"/>
  <c r="AN115" i="6"/>
  <c r="AM115" i="6"/>
  <c r="AL115" i="6"/>
  <c r="AK115" i="6"/>
  <c r="AJ115" i="6"/>
  <c r="AI115" i="6"/>
  <c r="AH115" i="6"/>
  <c r="AG115" i="6"/>
  <c r="AF115" i="6"/>
  <c r="AE115" i="6"/>
  <c r="AD115" i="6"/>
  <c r="AC115" i="6"/>
  <c r="AB115" i="6"/>
  <c r="AA115" i="6"/>
  <c r="Z115" i="6"/>
  <c r="Y115" i="6"/>
  <c r="AR114" i="6"/>
  <c r="AQ114" i="6"/>
  <c r="AP114" i="6"/>
  <c r="AO114" i="6"/>
  <c r="AN114" i="6"/>
  <c r="AM114" i="6"/>
  <c r="AL114" i="6"/>
  <c r="AK114" i="6"/>
  <c r="AJ114" i="6"/>
  <c r="AI114" i="6"/>
  <c r="AH114" i="6"/>
  <c r="AG114" i="6"/>
  <c r="AF114" i="6"/>
  <c r="AE114" i="6"/>
  <c r="AD114" i="6"/>
  <c r="AC114" i="6"/>
  <c r="AB114" i="6"/>
  <c r="AA114" i="6"/>
  <c r="Z114" i="6"/>
  <c r="Y114" i="6"/>
  <c r="AR111" i="6"/>
  <c r="AQ111" i="6"/>
  <c r="AP111" i="6"/>
  <c r="AO111" i="6"/>
  <c r="AN111" i="6"/>
  <c r="AM111" i="6"/>
  <c r="AL111" i="6"/>
  <c r="AK111" i="6"/>
  <c r="AJ111" i="6"/>
  <c r="AI111" i="6"/>
  <c r="AH111" i="6"/>
  <c r="AG111" i="6"/>
  <c r="AF111" i="6"/>
  <c r="AE111" i="6"/>
  <c r="AD111" i="6"/>
  <c r="AC111" i="6"/>
  <c r="AB111" i="6"/>
  <c r="AA111" i="6"/>
  <c r="Z111" i="6"/>
  <c r="Y111" i="6"/>
  <c r="X111" i="6"/>
  <c r="W111" i="6"/>
  <c r="V111" i="6"/>
  <c r="U111" i="6"/>
  <c r="T111" i="6"/>
  <c r="R111" i="6"/>
  <c r="Q111" i="6"/>
  <c r="P111" i="6"/>
  <c r="O111" i="6"/>
  <c r="M111" i="6"/>
  <c r="L111" i="6"/>
  <c r="K111" i="6"/>
  <c r="J111" i="6"/>
  <c r="H111" i="6"/>
  <c r="G111" i="6"/>
  <c r="F111" i="6"/>
  <c r="E111" i="6"/>
  <c r="C111" i="6"/>
  <c r="AR110" i="6"/>
  <c r="AQ110" i="6"/>
  <c r="AP110" i="6"/>
  <c r="AO110" i="6"/>
  <c r="AN110" i="6"/>
  <c r="AM110" i="6"/>
  <c r="AL110" i="6"/>
  <c r="AK110" i="6"/>
  <c r="AJ110" i="6"/>
  <c r="AI110" i="6"/>
  <c r="AH110" i="6"/>
  <c r="AG110" i="6"/>
  <c r="AF110" i="6"/>
  <c r="AE110" i="6"/>
  <c r="AD110" i="6"/>
  <c r="AC110" i="6"/>
  <c r="AB110" i="6"/>
  <c r="AA110" i="6"/>
  <c r="Z110" i="6"/>
  <c r="Y110" i="6"/>
  <c r="C107" i="6"/>
  <c r="AR106" i="6"/>
  <c r="AQ106" i="6"/>
  <c r="AP106" i="6"/>
  <c r="AO106" i="6"/>
  <c r="AN106" i="6"/>
  <c r="AM106" i="6"/>
  <c r="AL106" i="6"/>
  <c r="AK106" i="6"/>
  <c r="AJ106" i="6"/>
  <c r="AI106" i="6"/>
  <c r="AH106" i="6"/>
  <c r="AG106" i="6"/>
  <c r="AF106" i="6"/>
  <c r="AE106" i="6"/>
  <c r="AD106" i="6"/>
  <c r="AC106" i="6"/>
  <c r="AB106" i="6"/>
  <c r="AA106" i="6"/>
  <c r="Z106" i="6"/>
  <c r="Y106" i="6"/>
  <c r="E106" i="6"/>
  <c r="F106" i="6"/>
  <c r="G106" i="6"/>
  <c r="H106" i="6"/>
  <c r="I106" i="6"/>
  <c r="J106" i="6"/>
  <c r="K106" i="6"/>
  <c r="L106" i="6"/>
  <c r="M106" i="6"/>
  <c r="N106" i="6"/>
  <c r="O106" i="6"/>
  <c r="P106" i="6"/>
  <c r="Q106" i="6"/>
  <c r="R106" i="6"/>
  <c r="S106" i="6"/>
  <c r="T106" i="6"/>
  <c r="U106" i="6"/>
  <c r="V106" i="6"/>
  <c r="W106" i="6"/>
  <c r="X106" i="6"/>
  <c r="C106" i="6"/>
  <c r="X104" i="6"/>
  <c r="Y101" i="6"/>
  <c r="Y18" i="5"/>
  <c r="Y92" i="6"/>
  <c r="Y93" i="6"/>
  <c r="Y102" i="6"/>
  <c r="Y103" i="6"/>
  <c r="Y104" i="6"/>
  <c r="Z101" i="6"/>
  <c r="Z18" i="5"/>
  <c r="Z92" i="6"/>
  <c r="Z93" i="6"/>
  <c r="Z102" i="6"/>
  <c r="Z103" i="6"/>
  <c r="Z104" i="6"/>
  <c r="AA101" i="6"/>
  <c r="AA18" i="5"/>
  <c r="AA92" i="6"/>
  <c r="AA93" i="6"/>
  <c r="AA102" i="6"/>
  <c r="AA103" i="6"/>
  <c r="AA104" i="6"/>
  <c r="AB101" i="6"/>
  <c r="AB18" i="5"/>
  <c r="AB92" i="6"/>
  <c r="AB93" i="6"/>
  <c r="AB102" i="6"/>
  <c r="AB103" i="6"/>
  <c r="AB104" i="6"/>
  <c r="AC101" i="6"/>
  <c r="AC18" i="5"/>
  <c r="AC92" i="6"/>
  <c r="AC93" i="6"/>
  <c r="AC102" i="6"/>
  <c r="AC103" i="6"/>
  <c r="AC104" i="6"/>
  <c r="AD101" i="6"/>
  <c r="AD18" i="5"/>
  <c r="AD92" i="6"/>
  <c r="AD93" i="6"/>
  <c r="AD102" i="6"/>
  <c r="AD103" i="6"/>
  <c r="AD104" i="6"/>
  <c r="AE101" i="6"/>
  <c r="AE18" i="5"/>
  <c r="AE92" i="6"/>
  <c r="AE93" i="6"/>
  <c r="AE102" i="6"/>
  <c r="AE103" i="6"/>
  <c r="AE104" i="6"/>
  <c r="AF101" i="6"/>
  <c r="AF18" i="5"/>
  <c r="AF92" i="6"/>
  <c r="AF93" i="6"/>
  <c r="AF102" i="6"/>
  <c r="AF103" i="6"/>
  <c r="AF104" i="6"/>
  <c r="AG101" i="6"/>
  <c r="AG18" i="5"/>
  <c r="AG92" i="6"/>
  <c r="AG93" i="6"/>
  <c r="AG102" i="6"/>
  <c r="AG103" i="6"/>
  <c r="AG104" i="6"/>
  <c r="AH101" i="6"/>
  <c r="AH18" i="5"/>
  <c r="AH92" i="6"/>
  <c r="AH93" i="6"/>
  <c r="AH102" i="6"/>
  <c r="AH103" i="6"/>
  <c r="AH104" i="6"/>
  <c r="AI101" i="6"/>
  <c r="AI18" i="5"/>
  <c r="AI92" i="6"/>
  <c r="AI93" i="6"/>
  <c r="AI102" i="6"/>
  <c r="AI103" i="6"/>
  <c r="AI104" i="6"/>
  <c r="AJ101" i="6"/>
  <c r="AJ18" i="5"/>
  <c r="AJ92" i="6"/>
  <c r="AJ93" i="6"/>
  <c r="AJ102" i="6"/>
  <c r="AJ103" i="6"/>
  <c r="AJ104" i="6"/>
  <c r="AK101" i="6"/>
  <c r="AK18" i="5"/>
  <c r="AK92" i="6"/>
  <c r="AK93" i="6"/>
  <c r="AK102" i="6"/>
  <c r="AK103" i="6"/>
  <c r="AK104" i="6"/>
  <c r="AL101" i="6"/>
  <c r="AL18" i="5"/>
  <c r="AL92" i="6"/>
  <c r="AL93" i="6"/>
  <c r="AL102" i="6"/>
  <c r="AL103" i="6"/>
  <c r="AL104" i="6"/>
  <c r="AM101" i="6"/>
  <c r="AM18" i="5"/>
  <c r="AM92" i="6"/>
  <c r="AM93" i="6"/>
  <c r="AM102" i="6"/>
  <c r="AM103" i="6"/>
  <c r="AM104" i="6"/>
  <c r="AN101" i="6"/>
  <c r="AN18" i="5"/>
  <c r="AN92" i="6"/>
  <c r="AN93" i="6"/>
  <c r="AN102" i="6"/>
  <c r="AN103" i="6"/>
  <c r="AN104" i="6"/>
  <c r="AO101" i="6"/>
  <c r="AO18" i="5"/>
  <c r="AO92" i="6"/>
  <c r="AO93" i="6"/>
  <c r="AO102" i="6"/>
  <c r="AO103" i="6"/>
  <c r="AO104" i="6"/>
  <c r="AP101" i="6"/>
  <c r="AP18" i="5"/>
  <c r="AP92" i="6"/>
  <c r="AP93" i="6"/>
  <c r="AP102" i="6"/>
  <c r="AP103" i="6"/>
  <c r="AP104" i="6"/>
  <c r="AQ101" i="6"/>
  <c r="AQ18" i="5"/>
  <c r="AQ92" i="6"/>
  <c r="AQ93" i="6"/>
  <c r="AQ102" i="6"/>
  <c r="AQ103" i="6"/>
  <c r="AQ104" i="6"/>
  <c r="AR101" i="6"/>
  <c r="AR18" i="5"/>
  <c r="AR92" i="6"/>
  <c r="AR93" i="6"/>
  <c r="AR102" i="6"/>
  <c r="AR103" i="6"/>
  <c r="AR104" i="6"/>
  <c r="AR99" i="6"/>
  <c r="AQ99" i="6"/>
  <c r="AP99" i="6"/>
  <c r="AO99" i="6"/>
  <c r="AN99" i="6"/>
  <c r="AM99" i="6"/>
  <c r="AL99" i="6"/>
  <c r="AK99" i="6"/>
  <c r="AJ99" i="6"/>
  <c r="AI99" i="6"/>
  <c r="AH99" i="6"/>
  <c r="AG99" i="6"/>
  <c r="AF99" i="6"/>
  <c r="AE99" i="6"/>
  <c r="AD99" i="6"/>
  <c r="AC99" i="6"/>
  <c r="AB99" i="6"/>
  <c r="AA99" i="6"/>
  <c r="Z99" i="6"/>
  <c r="Y99" i="6"/>
  <c r="AR96" i="6"/>
  <c r="AR97" i="6"/>
  <c r="AR98" i="6"/>
  <c r="AQ96" i="6"/>
  <c r="AQ97" i="6"/>
  <c r="AQ98" i="6"/>
  <c r="AP96" i="6"/>
  <c r="AP97" i="6"/>
  <c r="AP98" i="6"/>
  <c r="AO96" i="6"/>
  <c r="AO97" i="6"/>
  <c r="AO98" i="6"/>
  <c r="AN96" i="6"/>
  <c r="AN97" i="6"/>
  <c r="AN98" i="6"/>
  <c r="AM96" i="6"/>
  <c r="AM97" i="6"/>
  <c r="AM98" i="6"/>
  <c r="AL96" i="6"/>
  <c r="AL97" i="6"/>
  <c r="AL98" i="6"/>
  <c r="AK96" i="6"/>
  <c r="AK97" i="6"/>
  <c r="AK98" i="6"/>
  <c r="AJ96" i="6"/>
  <c r="AJ97" i="6"/>
  <c r="AJ98" i="6"/>
  <c r="AI96" i="6"/>
  <c r="AI97" i="6"/>
  <c r="AI98" i="6"/>
  <c r="AH96" i="6"/>
  <c r="AH97" i="6"/>
  <c r="AH98" i="6"/>
  <c r="AG96" i="6"/>
  <c r="AG97" i="6"/>
  <c r="AG98" i="6"/>
  <c r="AF96" i="6"/>
  <c r="AF97" i="6"/>
  <c r="AF98" i="6"/>
  <c r="AE96" i="6"/>
  <c r="AE97" i="6"/>
  <c r="AE98" i="6"/>
  <c r="AD96" i="6"/>
  <c r="AD97" i="6"/>
  <c r="AD98" i="6"/>
  <c r="AC96" i="6"/>
  <c r="AC97" i="6"/>
  <c r="AC98" i="6"/>
  <c r="AB96" i="6"/>
  <c r="AB97" i="6"/>
  <c r="AB98" i="6"/>
  <c r="AA96" i="6"/>
  <c r="AA97" i="6"/>
  <c r="AA98" i="6"/>
  <c r="Z96" i="6"/>
  <c r="Z97" i="6"/>
  <c r="Z98" i="6"/>
  <c r="Y96" i="6"/>
  <c r="Y97" i="6"/>
  <c r="Y98" i="6"/>
  <c r="AM75" i="6"/>
  <c r="AM77" i="6"/>
  <c r="AR87" i="6"/>
  <c r="AL75" i="6"/>
  <c r="AL77" i="6"/>
  <c r="AQ87" i="6"/>
  <c r="AK75" i="6"/>
  <c r="AK77" i="6"/>
  <c r="AP87" i="6"/>
  <c r="AJ75" i="6"/>
  <c r="AJ77" i="6"/>
  <c r="AO87" i="6"/>
  <c r="AI75" i="6"/>
  <c r="AI77" i="6"/>
  <c r="AN87" i="6"/>
  <c r="AH75" i="6"/>
  <c r="AH77" i="6"/>
  <c r="AM87" i="6"/>
  <c r="AG75" i="6"/>
  <c r="AG77" i="6"/>
  <c r="AL87" i="6"/>
  <c r="AF75" i="6"/>
  <c r="AF77" i="6"/>
  <c r="AK87" i="6"/>
  <c r="AE75" i="6"/>
  <c r="AE77" i="6"/>
  <c r="AJ87" i="6"/>
  <c r="AD75" i="6"/>
  <c r="AD77" i="6"/>
  <c r="AI87" i="6"/>
  <c r="AC75" i="6"/>
  <c r="AC77" i="6"/>
  <c r="AH87" i="6"/>
  <c r="AB75" i="6"/>
  <c r="AB77" i="6"/>
  <c r="AG87" i="6"/>
  <c r="AA75" i="6"/>
  <c r="AA77" i="6"/>
  <c r="AF87" i="6"/>
  <c r="Z75" i="6"/>
  <c r="Z77" i="6"/>
  <c r="AE87" i="6"/>
  <c r="Y75" i="6"/>
  <c r="Y77" i="6"/>
  <c r="AD87" i="6"/>
  <c r="D48" i="6"/>
  <c r="T75" i="6"/>
  <c r="T33" i="6"/>
  <c r="T34" i="6"/>
  <c r="T35" i="6"/>
  <c r="T36" i="6"/>
  <c r="T37" i="6"/>
  <c r="T38" i="6"/>
  <c r="T39" i="6"/>
  <c r="T40" i="6"/>
  <c r="T41" i="6"/>
  <c r="T42" i="6"/>
  <c r="T43" i="6"/>
  <c r="T44" i="6"/>
  <c r="T45" i="6"/>
  <c r="T46" i="6"/>
  <c r="T47" i="6"/>
  <c r="T48" i="6"/>
  <c r="T49" i="6"/>
  <c r="T50" i="6"/>
  <c r="T51" i="6"/>
  <c r="T52" i="6"/>
  <c r="T53" i="6"/>
  <c r="T54" i="6"/>
  <c r="T55" i="6"/>
  <c r="T56" i="6"/>
  <c r="T57" i="6"/>
  <c r="T58" i="6"/>
  <c r="T59" i="6"/>
  <c r="T60" i="6"/>
  <c r="T61" i="6"/>
  <c r="T62" i="6"/>
  <c r="T63" i="6"/>
  <c r="T64" i="6"/>
  <c r="T65" i="6"/>
  <c r="T66" i="6"/>
  <c r="T67" i="6"/>
  <c r="T68" i="6"/>
  <c r="T69" i="6"/>
  <c r="T70" i="6"/>
  <c r="T71" i="6"/>
  <c r="T72" i="6"/>
  <c r="T73" i="6"/>
  <c r="T76" i="6"/>
  <c r="D49" i="6"/>
  <c r="U75" i="6"/>
  <c r="U33" i="6"/>
  <c r="U34" i="6"/>
  <c r="U35" i="6"/>
  <c r="U36" i="6"/>
  <c r="U37" i="6"/>
  <c r="U38" i="6"/>
  <c r="U39" i="6"/>
  <c r="U40" i="6"/>
  <c r="U41" i="6"/>
  <c r="U42" i="6"/>
  <c r="U43" i="6"/>
  <c r="U44" i="6"/>
  <c r="U45" i="6"/>
  <c r="U46" i="6"/>
  <c r="U47" i="6"/>
  <c r="U48" i="6"/>
  <c r="U49" i="6"/>
  <c r="U50" i="6"/>
  <c r="U51" i="6"/>
  <c r="U52" i="6"/>
  <c r="U53" i="6"/>
  <c r="U54" i="6"/>
  <c r="U55" i="6"/>
  <c r="U56" i="6"/>
  <c r="U57" i="6"/>
  <c r="U58" i="6"/>
  <c r="U59" i="6"/>
  <c r="U60" i="6"/>
  <c r="U61" i="6"/>
  <c r="U62" i="6"/>
  <c r="U63" i="6"/>
  <c r="U64" i="6"/>
  <c r="U65" i="6"/>
  <c r="U66" i="6"/>
  <c r="U67" i="6"/>
  <c r="U68" i="6"/>
  <c r="U69" i="6"/>
  <c r="U70" i="6"/>
  <c r="U71" i="6"/>
  <c r="U72" i="6"/>
  <c r="U73" i="6"/>
  <c r="U76" i="6"/>
  <c r="D50" i="6"/>
  <c r="V75" i="6"/>
  <c r="V33" i="6"/>
  <c r="V34" i="6"/>
  <c r="V35" i="6"/>
  <c r="V36" i="6"/>
  <c r="V37" i="6"/>
  <c r="V38" i="6"/>
  <c r="V39" i="6"/>
  <c r="V40" i="6"/>
  <c r="V41" i="6"/>
  <c r="V42" i="6"/>
  <c r="V43" i="6"/>
  <c r="V44" i="6"/>
  <c r="V45" i="6"/>
  <c r="V46" i="6"/>
  <c r="V47" i="6"/>
  <c r="V48" i="6"/>
  <c r="V49" i="6"/>
  <c r="V50" i="6"/>
  <c r="V51" i="6"/>
  <c r="V52" i="6"/>
  <c r="V53" i="6"/>
  <c r="V54" i="6"/>
  <c r="V55" i="6"/>
  <c r="V56" i="6"/>
  <c r="V57" i="6"/>
  <c r="V58" i="6"/>
  <c r="V59" i="6"/>
  <c r="V60" i="6"/>
  <c r="V61" i="6"/>
  <c r="V62" i="6"/>
  <c r="V63" i="6"/>
  <c r="V64" i="6"/>
  <c r="V65" i="6"/>
  <c r="V66" i="6"/>
  <c r="V67" i="6"/>
  <c r="V68" i="6"/>
  <c r="V69" i="6"/>
  <c r="V70" i="6"/>
  <c r="V71" i="6"/>
  <c r="V72" i="6"/>
  <c r="V73" i="6"/>
  <c r="V76" i="6"/>
  <c r="D51" i="6"/>
  <c r="W75"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6" i="6"/>
  <c r="D52" i="6"/>
  <c r="X75" i="6"/>
  <c r="X77" i="6"/>
  <c r="AC87" i="6"/>
  <c r="W77" i="6"/>
  <c r="AB87" i="6"/>
  <c r="V77" i="6"/>
  <c r="AA87" i="6"/>
  <c r="U77" i="6"/>
  <c r="Z87" i="6"/>
  <c r="T77" i="6"/>
  <c r="Y87" i="6"/>
  <c r="AM33" i="6"/>
  <c r="AM34" i="6"/>
  <c r="AM35" i="6"/>
  <c r="AM36" i="6"/>
  <c r="AM37" i="6"/>
  <c r="AM38" i="6"/>
  <c r="AM39" i="6"/>
  <c r="AM40" i="6"/>
  <c r="AM41" i="6"/>
  <c r="AM42" i="6"/>
  <c r="AM43" i="6"/>
  <c r="AM44" i="6"/>
  <c r="AM45" i="6"/>
  <c r="AM46" i="6"/>
  <c r="AM47" i="6"/>
  <c r="AM48" i="6"/>
  <c r="AM49" i="6"/>
  <c r="AM50" i="6"/>
  <c r="AM51" i="6"/>
  <c r="AM52" i="6"/>
  <c r="AM53" i="6"/>
  <c r="AM54" i="6"/>
  <c r="AM55" i="6"/>
  <c r="AM56" i="6"/>
  <c r="AM57" i="6"/>
  <c r="AM58" i="6"/>
  <c r="AM59" i="6"/>
  <c r="AM60" i="6"/>
  <c r="AM61" i="6"/>
  <c r="AM62" i="6"/>
  <c r="AM63" i="6"/>
  <c r="AM64" i="6"/>
  <c r="AM65" i="6"/>
  <c r="AM66" i="6"/>
  <c r="AM67" i="6"/>
  <c r="AM68" i="6"/>
  <c r="AM69" i="6"/>
  <c r="AM70" i="6"/>
  <c r="AM71" i="6"/>
  <c r="AM72" i="6"/>
  <c r="AM73" i="6"/>
  <c r="AM76" i="6"/>
  <c r="AR86" i="6"/>
  <c r="AL33" i="6"/>
  <c r="AL34" i="6"/>
  <c r="AL35" i="6"/>
  <c r="AL36" i="6"/>
  <c r="AL37" i="6"/>
  <c r="AL38" i="6"/>
  <c r="AL39" i="6"/>
  <c r="AL40" i="6"/>
  <c r="AL41" i="6"/>
  <c r="AL42" i="6"/>
  <c r="AL43" i="6"/>
  <c r="AL44" i="6"/>
  <c r="AL45" i="6"/>
  <c r="AL46" i="6"/>
  <c r="AL47" i="6"/>
  <c r="AL48" i="6"/>
  <c r="AL49" i="6"/>
  <c r="AL50" i="6"/>
  <c r="AL51" i="6"/>
  <c r="AL52" i="6"/>
  <c r="AL53" i="6"/>
  <c r="AL54" i="6"/>
  <c r="AL55" i="6"/>
  <c r="AL56" i="6"/>
  <c r="AL57" i="6"/>
  <c r="AL58" i="6"/>
  <c r="AL59" i="6"/>
  <c r="AL60" i="6"/>
  <c r="AL61" i="6"/>
  <c r="AL62" i="6"/>
  <c r="AL63" i="6"/>
  <c r="AL64" i="6"/>
  <c r="AL65" i="6"/>
  <c r="AL66" i="6"/>
  <c r="AL67" i="6"/>
  <c r="AL68" i="6"/>
  <c r="AL69" i="6"/>
  <c r="AL70" i="6"/>
  <c r="AL71" i="6"/>
  <c r="AL72" i="6"/>
  <c r="AL73" i="6"/>
  <c r="AL76" i="6"/>
  <c r="AQ86" i="6"/>
  <c r="AK33" i="6"/>
  <c r="AK34" i="6"/>
  <c r="AK35" i="6"/>
  <c r="AK36" i="6"/>
  <c r="AK37" i="6"/>
  <c r="AK38" i="6"/>
  <c r="AK39" i="6"/>
  <c r="AK40" i="6"/>
  <c r="AK41" i="6"/>
  <c r="AK42" i="6"/>
  <c r="AK43" i="6"/>
  <c r="AK44" i="6"/>
  <c r="AK45" i="6"/>
  <c r="AK46" i="6"/>
  <c r="AK47" i="6"/>
  <c r="AK48" i="6"/>
  <c r="AK49" i="6"/>
  <c r="AK50" i="6"/>
  <c r="AK51" i="6"/>
  <c r="AK52" i="6"/>
  <c r="AK53" i="6"/>
  <c r="AK54" i="6"/>
  <c r="AK55" i="6"/>
  <c r="AK56" i="6"/>
  <c r="AK57" i="6"/>
  <c r="AK58" i="6"/>
  <c r="AK59" i="6"/>
  <c r="AK60" i="6"/>
  <c r="AK61" i="6"/>
  <c r="AK62" i="6"/>
  <c r="AK63" i="6"/>
  <c r="AK64" i="6"/>
  <c r="AK65" i="6"/>
  <c r="AK66" i="6"/>
  <c r="AK67" i="6"/>
  <c r="AK68" i="6"/>
  <c r="AK69" i="6"/>
  <c r="AK70" i="6"/>
  <c r="AK71" i="6"/>
  <c r="AK72" i="6"/>
  <c r="AK73" i="6"/>
  <c r="AK76" i="6"/>
  <c r="AP86" i="6"/>
  <c r="AJ33" i="6"/>
  <c r="AJ34" i="6"/>
  <c r="AJ35" i="6"/>
  <c r="AJ36" i="6"/>
  <c r="AJ37" i="6"/>
  <c r="AJ38" i="6"/>
  <c r="AJ39" i="6"/>
  <c r="AJ40" i="6"/>
  <c r="AJ41" i="6"/>
  <c r="AJ42" i="6"/>
  <c r="AJ43" i="6"/>
  <c r="AJ44" i="6"/>
  <c r="AJ45" i="6"/>
  <c r="AJ46" i="6"/>
  <c r="AJ47" i="6"/>
  <c r="AJ48" i="6"/>
  <c r="AJ49" i="6"/>
  <c r="AJ50" i="6"/>
  <c r="AJ51" i="6"/>
  <c r="AJ52" i="6"/>
  <c r="AJ53" i="6"/>
  <c r="AJ54" i="6"/>
  <c r="AJ55" i="6"/>
  <c r="AJ56" i="6"/>
  <c r="AJ57" i="6"/>
  <c r="AJ58" i="6"/>
  <c r="AJ59" i="6"/>
  <c r="AJ60" i="6"/>
  <c r="AJ61" i="6"/>
  <c r="AJ62" i="6"/>
  <c r="AJ63" i="6"/>
  <c r="AJ64" i="6"/>
  <c r="AJ65" i="6"/>
  <c r="AJ66" i="6"/>
  <c r="AJ67" i="6"/>
  <c r="AJ68" i="6"/>
  <c r="AJ69" i="6"/>
  <c r="AJ70" i="6"/>
  <c r="AJ71" i="6"/>
  <c r="AJ72" i="6"/>
  <c r="AJ73" i="6"/>
  <c r="AJ76" i="6"/>
  <c r="AO86" i="6"/>
  <c r="AI33" i="6"/>
  <c r="AI34" i="6"/>
  <c r="AI35" i="6"/>
  <c r="AI36" i="6"/>
  <c r="AI37" i="6"/>
  <c r="AI38" i="6"/>
  <c r="AI39" i="6"/>
  <c r="AI40" i="6"/>
  <c r="AI41" i="6"/>
  <c r="AI42" i="6"/>
  <c r="AI43" i="6"/>
  <c r="AI44" i="6"/>
  <c r="AI45" i="6"/>
  <c r="AI46" i="6"/>
  <c r="AI47" i="6"/>
  <c r="AI48" i="6"/>
  <c r="AI49" i="6"/>
  <c r="AI50" i="6"/>
  <c r="AI51" i="6"/>
  <c r="AI52" i="6"/>
  <c r="AI53" i="6"/>
  <c r="AI54" i="6"/>
  <c r="AI55" i="6"/>
  <c r="AI56" i="6"/>
  <c r="AI57" i="6"/>
  <c r="AI58" i="6"/>
  <c r="AI59" i="6"/>
  <c r="AI60" i="6"/>
  <c r="AI61" i="6"/>
  <c r="AI62" i="6"/>
  <c r="AI63" i="6"/>
  <c r="AI64" i="6"/>
  <c r="AI65" i="6"/>
  <c r="AI66" i="6"/>
  <c r="AI67" i="6"/>
  <c r="AI68" i="6"/>
  <c r="AI69" i="6"/>
  <c r="AI70" i="6"/>
  <c r="AI71" i="6"/>
  <c r="AI72" i="6"/>
  <c r="AI73" i="6"/>
  <c r="AI76" i="6"/>
  <c r="AN86" i="6"/>
  <c r="AH33" i="6"/>
  <c r="AH34" i="6"/>
  <c r="AH35" i="6"/>
  <c r="AH36" i="6"/>
  <c r="AH37" i="6"/>
  <c r="AH38" i="6"/>
  <c r="AH39" i="6"/>
  <c r="AH40" i="6"/>
  <c r="AH41" i="6"/>
  <c r="AH42" i="6"/>
  <c r="AH43" i="6"/>
  <c r="AH44" i="6"/>
  <c r="AH45" i="6"/>
  <c r="AH46" i="6"/>
  <c r="AH47" i="6"/>
  <c r="AH48" i="6"/>
  <c r="AH49" i="6"/>
  <c r="AH50" i="6"/>
  <c r="AH51" i="6"/>
  <c r="AH52" i="6"/>
  <c r="AH53" i="6"/>
  <c r="AH54" i="6"/>
  <c r="AH55" i="6"/>
  <c r="AH56" i="6"/>
  <c r="AH57" i="6"/>
  <c r="AH58" i="6"/>
  <c r="AH59" i="6"/>
  <c r="AH60" i="6"/>
  <c r="AH61" i="6"/>
  <c r="AH62" i="6"/>
  <c r="AH63" i="6"/>
  <c r="AH64" i="6"/>
  <c r="AH65" i="6"/>
  <c r="AH66" i="6"/>
  <c r="AH67" i="6"/>
  <c r="AH68" i="6"/>
  <c r="AH69" i="6"/>
  <c r="AH70" i="6"/>
  <c r="AH71" i="6"/>
  <c r="AH72" i="6"/>
  <c r="AH73" i="6"/>
  <c r="AH76" i="6"/>
  <c r="AM86" i="6"/>
  <c r="AG33" i="6"/>
  <c r="AG34" i="6"/>
  <c r="AG35" i="6"/>
  <c r="AG36" i="6"/>
  <c r="AG37" i="6"/>
  <c r="AG38" i="6"/>
  <c r="AG39" i="6"/>
  <c r="AG40" i="6"/>
  <c r="AG41" i="6"/>
  <c r="AG42" i="6"/>
  <c r="AG43" i="6"/>
  <c r="AG44" i="6"/>
  <c r="AG45" i="6"/>
  <c r="AG46" i="6"/>
  <c r="AG47" i="6"/>
  <c r="AG48" i="6"/>
  <c r="AG49" i="6"/>
  <c r="AG50" i="6"/>
  <c r="AG51" i="6"/>
  <c r="AG52" i="6"/>
  <c r="AG53" i="6"/>
  <c r="AG54" i="6"/>
  <c r="AG55" i="6"/>
  <c r="AG56" i="6"/>
  <c r="AG57" i="6"/>
  <c r="AG58" i="6"/>
  <c r="AG59" i="6"/>
  <c r="AG60" i="6"/>
  <c r="AG61" i="6"/>
  <c r="AG62" i="6"/>
  <c r="AG63" i="6"/>
  <c r="AG64" i="6"/>
  <c r="AG65" i="6"/>
  <c r="AG66" i="6"/>
  <c r="AG67" i="6"/>
  <c r="AG68" i="6"/>
  <c r="AG69" i="6"/>
  <c r="AG70" i="6"/>
  <c r="AG71" i="6"/>
  <c r="AG72" i="6"/>
  <c r="AG73" i="6"/>
  <c r="AG76" i="6"/>
  <c r="AL86" i="6"/>
  <c r="AF33" i="6"/>
  <c r="AF34" i="6"/>
  <c r="AF35" i="6"/>
  <c r="AF36" i="6"/>
  <c r="AF37" i="6"/>
  <c r="AF38" i="6"/>
  <c r="AF39" i="6"/>
  <c r="AF40" i="6"/>
  <c r="AF41" i="6"/>
  <c r="AF42" i="6"/>
  <c r="AF43" i="6"/>
  <c r="AF44" i="6"/>
  <c r="AF45" i="6"/>
  <c r="AF46" i="6"/>
  <c r="AF47" i="6"/>
  <c r="AF48" i="6"/>
  <c r="AF49" i="6"/>
  <c r="AF50" i="6"/>
  <c r="AF51" i="6"/>
  <c r="AF52" i="6"/>
  <c r="AF53" i="6"/>
  <c r="AF54" i="6"/>
  <c r="AF55" i="6"/>
  <c r="AF56" i="6"/>
  <c r="AF57" i="6"/>
  <c r="AF58" i="6"/>
  <c r="AF59" i="6"/>
  <c r="AF60" i="6"/>
  <c r="AF61" i="6"/>
  <c r="AF62" i="6"/>
  <c r="AF63" i="6"/>
  <c r="AF64" i="6"/>
  <c r="AF65" i="6"/>
  <c r="AF66" i="6"/>
  <c r="AF67" i="6"/>
  <c r="AF68" i="6"/>
  <c r="AF69" i="6"/>
  <c r="AF70" i="6"/>
  <c r="AF71" i="6"/>
  <c r="AF72" i="6"/>
  <c r="AF73" i="6"/>
  <c r="AF76" i="6"/>
  <c r="AK86" i="6"/>
  <c r="AE33" i="6"/>
  <c r="AE34" i="6"/>
  <c r="AE35" i="6"/>
  <c r="AE36" i="6"/>
  <c r="AE37" i="6"/>
  <c r="AE38" i="6"/>
  <c r="AE39" i="6"/>
  <c r="AE40" i="6"/>
  <c r="AE41" i="6"/>
  <c r="AE42" i="6"/>
  <c r="AE43" i="6"/>
  <c r="AE44" i="6"/>
  <c r="AE45" i="6"/>
  <c r="AE46" i="6"/>
  <c r="AE47" i="6"/>
  <c r="AE48" i="6"/>
  <c r="AE49" i="6"/>
  <c r="AE50" i="6"/>
  <c r="AE51" i="6"/>
  <c r="AE52" i="6"/>
  <c r="AE53" i="6"/>
  <c r="AE54" i="6"/>
  <c r="AE55" i="6"/>
  <c r="AE56" i="6"/>
  <c r="AE57" i="6"/>
  <c r="AE58" i="6"/>
  <c r="AE59" i="6"/>
  <c r="AE60" i="6"/>
  <c r="AE61" i="6"/>
  <c r="AE62" i="6"/>
  <c r="AE63" i="6"/>
  <c r="AE64" i="6"/>
  <c r="AE65" i="6"/>
  <c r="AE66" i="6"/>
  <c r="AE67" i="6"/>
  <c r="AE68" i="6"/>
  <c r="AE69" i="6"/>
  <c r="AE70" i="6"/>
  <c r="AE71" i="6"/>
  <c r="AE72" i="6"/>
  <c r="AE73" i="6"/>
  <c r="AE76" i="6"/>
  <c r="AJ86" i="6"/>
  <c r="AD33" i="6"/>
  <c r="AD34" i="6"/>
  <c r="AD35" i="6"/>
  <c r="AD36" i="6"/>
  <c r="AD37" i="6"/>
  <c r="AD38" i="6"/>
  <c r="AD39" i="6"/>
  <c r="AD40" i="6"/>
  <c r="AD41" i="6"/>
  <c r="AD42" i="6"/>
  <c r="AD43" i="6"/>
  <c r="AD44" i="6"/>
  <c r="AD45" i="6"/>
  <c r="AD46" i="6"/>
  <c r="AD47" i="6"/>
  <c r="AD48" i="6"/>
  <c r="AD49" i="6"/>
  <c r="AD50" i="6"/>
  <c r="AD51" i="6"/>
  <c r="AD52" i="6"/>
  <c r="AD53" i="6"/>
  <c r="AD54" i="6"/>
  <c r="AD55" i="6"/>
  <c r="AD56" i="6"/>
  <c r="AD57" i="6"/>
  <c r="AD58" i="6"/>
  <c r="AD59" i="6"/>
  <c r="AD60" i="6"/>
  <c r="AD61" i="6"/>
  <c r="AD62" i="6"/>
  <c r="AD63" i="6"/>
  <c r="AD64" i="6"/>
  <c r="AD65" i="6"/>
  <c r="AD66" i="6"/>
  <c r="AD67" i="6"/>
  <c r="AD68" i="6"/>
  <c r="AD69" i="6"/>
  <c r="AD70" i="6"/>
  <c r="AD71" i="6"/>
  <c r="AD72" i="6"/>
  <c r="AD73" i="6"/>
  <c r="AD76" i="6"/>
  <c r="AI86" i="6"/>
  <c r="AC33" i="6"/>
  <c r="AC34" i="6"/>
  <c r="AC35" i="6"/>
  <c r="AC36" i="6"/>
  <c r="AC37" i="6"/>
  <c r="AC38" i="6"/>
  <c r="AC39" i="6"/>
  <c r="AC40" i="6"/>
  <c r="AC41" i="6"/>
  <c r="AC42" i="6"/>
  <c r="AC43" i="6"/>
  <c r="AC44" i="6"/>
  <c r="AC45" i="6"/>
  <c r="AC46" i="6"/>
  <c r="AC47" i="6"/>
  <c r="AC48" i="6"/>
  <c r="AC49" i="6"/>
  <c r="AC50" i="6"/>
  <c r="AC51" i="6"/>
  <c r="AC52" i="6"/>
  <c r="AC53" i="6"/>
  <c r="AC54" i="6"/>
  <c r="AC55" i="6"/>
  <c r="AC56" i="6"/>
  <c r="AC57" i="6"/>
  <c r="AC58" i="6"/>
  <c r="AC59" i="6"/>
  <c r="AC60" i="6"/>
  <c r="AC61" i="6"/>
  <c r="AC62" i="6"/>
  <c r="AC63" i="6"/>
  <c r="AC64" i="6"/>
  <c r="AC65" i="6"/>
  <c r="AC66" i="6"/>
  <c r="AC67" i="6"/>
  <c r="AC68" i="6"/>
  <c r="AC69" i="6"/>
  <c r="AC70" i="6"/>
  <c r="AC71" i="6"/>
  <c r="AC72" i="6"/>
  <c r="AC73" i="6"/>
  <c r="AC76" i="6"/>
  <c r="AH86" i="6"/>
  <c r="AB33" i="6"/>
  <c r="AB34" i="6"/>
  <c r="AB35" i="6"/>
  <c r="AB36" i="6"/>
  <c r="AB37" i="6"/>
  <c r="AB38" i="6"/>
  <c r="AB39" i="6"/>
  <c r="AB40" i="6"/>
  <c r="AB41" i="6"/>
  <c r="AB42" i="6"/>
  <c r="AB43" i="6"/>
  <c r="AB44" i="6"/>
  <c r="AB45" i="6"/>
  <c r="AB46" i="6"/>
  <c r="AB47" i="6"/>
  <c r="AB48" i="6"/>
  <c r="AB49" i="6"/>
  <c r="AB50" i="6"/>
  <c r="AB51" i="6"/>
  <c r="AB52" i="6"/>
  <c r="AB53" i="6"/>
  <c r="AB54" i="6"/>
  <c r="AB55" i="6"/>
  <c r="AB56" i="6"/>
  <c r="AB57" i="6"/>
  <c r="AB58" i="6"/>
  <c r="AB59" i="6"/>
  <c r="AB60" i="6"/>
  <c r="AB61" i="6"/>
  <c r="AB62" i="6"/>
  <c r="AB63" i="6"/>
  <c r="AB64" i="6"/>
  <c r="AB65" i="6"/>
  <c r="AB66" i="6"/>
  <c r="AB67" i="6"/>
  <c r="AB68" i="6"/>
  <c r="AB69" i="6"/>
  <c r="AB70" i="6"/>
  <c r="AB71" i="6"/>
  <c r="AB72" i="6"/>
  <c r="AB73" i="6"/>
  <c r="AB76" i="6"/>
  <c r="AG86" i="6"/>
  <c r="AA33" i="6"/>
  <c r="AA34" i="6"/>
  <c r="AA35" i="6"/>
  <c r="AA36" i="6"/>
  <c r="AA37" i="6"/>
  <c r="AA38" i="6"/>
  <c r="AA39" i="6"/>
  <c r="AA40" i="6"/>
  <c r="AA41" i="6"/>
  <c r="AA42" i="6"/>
  <c r="AA43" i="6"/>
  <c r="AA44" i="6"/>
  <c r="AA45" i="6"/>
  <c r="AA46" i="6"/>
  <c r="AA47" i="6"/>
  <c r="AA48" i="6"/>
  <c r="AA49" i="6"/>
  <c r="AA50" i="6"/>
  <c r="AA51" i="6"/>
  <c r="AA52" i="6"/>
  <c r="AA53" i="6"/>
  <c r="AA54" i="6"/>
  <c r="AA55" i="6"/>
  <c r="AA56" i="6"/>
  <c r="AA57" i="6"/>
  <c r="AA58" i="6"/>
  <c r="AA59" i="6"/>
  <c r="AA60" i="6"/>
  <c r="AA61" i="6"/>
  <c r="AA62" i="6"/>
  <c r="AA63" i="6"/>
  <c r="AA64" i="6"/>
  <c r="AA65" i="6"/>
  <c r="AA66" i="6"/>
  <c r="AA67" i="6"/>
  <c r="AA68" i="6"/>
  <c r="AA69" i="6"/>
  <c r="AA70" i="6"/>
  <c r="AA71" i="6"/>
  <c r="AA72" i="6"/>
  <c r="AA73" i="6"/>
  <c r="AA76" i="6"/>
  <c r="AF86" i="6"/>
  <c r="Z33" i="6"/>
  <c r="Z34" i="6"/>
  <c r="Z35" i="6"/>
  <c r="Z36" i="6"/>
  <c r="Z37" i="6"/>
  <c r="Z38" i="6"/>
  <c r="Z39" i="6"/>
  <c r="Z40" i="6"/>
  <c r="Z41" i="6"/>
  <c r="Z42" i="6"/>
  <c r="Z43" i="6"/>
  <c r="Z44" i="6"/>
  <c r="Z45" i="6"/>
  <c r="Z46" i="6"/>
  <c r="Z47" i="6"/>
  <c r="Z48" i="6"/>
  <c r="Z49" i="6"/>
  <c r="Z50" i="6"/>
  <c r="Z51" i="6"/>
  <c r="Z52" i="6"/>
  <c r="Z53" i="6"/>
  <c r="Z54" i="6"/>
  <c r="Z55" i="6"/>
  <c r="Z56" i="6"/>
  <c r="Z57" i="6"/>
  <c r="Z58" i="6"/>
  <c r="Z59" i="6"/>
  <c r="Z60" i="6"/>
  <c r="Z61" i="6"/>
  <c r="Z62" i="6"/>
  <c r="Z63" i="6"/>
  <c r="Z64" i="6"/>
  <c r="Z65" i="6"/>
  <c r="Z66" i="6"/>
  <c r="Z67" i="6"/>
  <c r="Z68" i="6"/>
  <c r="Z69" i="6"/>
  <c r="Z70" i="6"/>
  <c r="Z71" i="6"/>
  <c r="Z72" i="6"/>
  <c r="Z73" i="6"/>
  <c r="Z76" i="6"/>
  <c r="AE86" i="6"/>
  <c r="Y33" i="6"/>
  <c r="Y34" i="6"/>
  <c r="Y35" i="6"/>
  <c r="Y36" i="6"/>
  <c r="Y37" i="6"/>
  <c r="Y38" i="6"/>
  <c r="Y39" i="6"/>
  <c r="Y40" i="6"/>
  <c r="Y41" i="6"/>
  <c r="Y42" i="6"/>
  <c r="Y43" i="6"/>
  <c r="Y44" i="6"/>
  <c r="Y45" i="6"/>
  <c r="Y46" i="6"/>
  <c r="Y47" i="6"/>
  <c r="Y48" i="6"/>
  <c r="Y49" i="6"/>
  <c r="Y50" i="6"/>
  <c r="Y51" i="6"/>
  <c r="Y52" i="6"/>
  <c r="Y53" i="6"/>
  <c r="Y54" i="6"/>
  <c r="Y55" i="6"/>
  <c r="Y56" i="6"/>
  <c r="Y57" i="6"/>
  <c r="Y58" i="6"/>
  <c r="Y59" i="6"/>
  <c r="Y60" i="6"/>
  <c r="Y61" i="6"/>
  <c r="Y62" i="6"/>
  <c r="Y63" i="6"/>
  <c r="Y64" i="6"/>
  <c r="Y65" i="6"/>
  <c r="Y66" i="6"/>
  <c r="Y67" i="6"/>
  <c r="Y68" i="6"/>
  <c r="Y69" i="6"/>
  <c r="Y70" i="6"/>
  <c r="Y71" i="6"/>
  <c r="Y72" i="6"/>
  <c r="Y73" i="6"/>
  <c r="Y76" i="6"/>
  <c r="AD86"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6" i="6"/>
  <c r="AC86" i="6"/>
  <c r="AB86" i="6"/>
  <c r="AA86" i="6"/>
  <c r="Z86" i="6"/>
  <c r="Y86" i="6"/>
  <c r="AR85" i="6"/>
  <c r="AQ85" i="6"/>
  <c r="AP85" i="6"/>
  <c r="AO85" i="6"/>
  <c r="AN85" i="6"/>
  <c r="AM85" i="6"/>
  <c r="AL85" i="6"/>
  <c r="AK85" i="6"/>
  <c r="AJ85" i="6"/>
  <c r="AI85" i="6"/>
  <c r="AH85" i="6"/>
  <c r="AG85" i="6"/>
  <c r="AF85" i="6"/>
  <c r="AE85" i="6"/>
  <c r="AD85" i="6"/>
  <c r="AC85" i="6"/>
  <c r="AB85" i="6"/>
  <c r="AA85" i="6"/>
  <c r="Z85" i="6"/>
  <c r="Y85" i="6"/>
  <c r="X85" i="6"/>
  <c r="W85" i="6"/>
  <c r="V85" i="6"/>
  <c r="U85" i="6"/>
  <c r="T85" i="6"/>
  <c r="S85" i="6"/>
  <c r="R85" i="6"/>
  <c r="Q85" i="6"/>
  <c r="P85" i="6"/>
  <c r="O85" i="6"/>
  <c r="N85" i="6"/>
  <c r="M85" i="6"/>
  <c r="L85" i="6"/>
  <c r="K85" i="6"/>
  <c r="J85" i="6"/>
  <c r="I85" i="6"/>
  <c r="H85" i="6"/>
  <c r="G85" i="6"/>
  <c r="F85" i="6"/>
  <c r="E85" i="6"/>
  <c r="AR83" i="6"/>
  <c r="AQ83" i="6"/>
  <c r="AP83" i="6"/>
  <c r="AO83" i="6"/>
  <c r="AN83" i="6"/>
  <c r="AM83" i="6"/>
  <c r="AL83" i="6"/>
  <c r="AK83" i="6"/>
  <c r="AJ83" i="6"/>
  <c r="AI83" i="6"/>
  <c r="AH83" i="6"/>
  <c r="AG83" i="6"/>
  <c r="AF83" i="6"/>
  <c r="AE83" i="6"/>
  <c r="AD83" i="6"/>
  <c r="AC83" i="6"/>
  <c r="AB83" i="6"/>
  <c r="AA83" i="6"/>
  <c r="Z83" i="6"/>
  <c r="Y83" i="6"/>
  <c r="AR82" i="6"/>
  <c r="AQ82" i="6"/>
  <c r="AP82" i="6"/>
  <c r="AO82" i="6"/>
  <c r="AN82" i="6"/>
  <c r="AM82" i="6"/>
  <c r="AL82" i="6"/>
  <c r="AK82" i="6"/>
  <c r="AJ82" i="6"/>
  <c r="AI82" i="6"/>
  <c r="AH82" i="6"/>
  <c r="AG82" i="6"/>
  <c r="AF82" i="6"/>
  <c r="AE82" i="6"/>
  <c r="AD82" i="6"/>
  <c r="AC82" i="6"/>
  <c r="AB82" i="6"/>
  <c r="AA82" i="6"/>
  <c r="Z82" i="6"/>
  <c r="Y82" i="6"/>
  <c r="AR81" i="6"/>
  <c r="AQ81" i="6"/>
  <c r="AP81" i="6"/>
  <c r="AO81" i="6"/>
  <c r="AN81" i="6"/>
  <c r="AM81" i="6"/>
  <c r="AL81" i="6"/>
  <c r="AK81" i="6"/>
  <c r="AJ81" i="6"/>
  <c r="AI81" i="6"/>
  <c r="AH81" i="6"/>
  <c r="AG81" i="6"/>
  <c r="AF81" i="6"/>
  <c r="AE81" i="6"/>
  <c r="AD81" i="6"/>
  <c r="AC81" i="6"/>
  <c r="AB81" i="6"/>
  <c r="AA81" i="6"/>
  <c r="Z81" i="6"/>
  <c r="Y81" i="6"/>
  <c r="X81" i="6"/>
  <c r="W81" i="6"/>
  <c r="V81" i="6"/>
  <c r="U81" i="6"/>
  <c r="T81" i="6"/>
  <c r="S81" i="6"/>
  <c r="R81" i="6"/>
  <c r="Q81" i="6"/>
  <c r="P81" i="6"/>
  <c r="O81" i="6"/>
  <c r="N81" i="6"/>
  <c r="M81" i="6"/>
  <c r="L81" i="6"/>
  <c r="K81" i="6"/>
  <c r="J81" i="6"/>
  <c r="I81" i="6"/>
  <c r="H81" i="6"/>
  <c r="G81" i="6"/>
  <c r="F81" i="6"/>
  <c r="E81" i="6"/>
  <c r="AR75" i="6"/>
  <c r="AR77" i="6"/>
  <c r="AQ75" i="6"/>
  <c r="AQ77" i="6"/>
  <c r="AP75" i="6"/>
  <c r="AP77" i="6"/>
  <c r="AO75" i="6"/>
  <c r="AO77" i="6"/>
  <c r="AN75" i="6"/>
  <c r="AN77" i="6"/>
  <c r="AR33" i="6"/>
  <c r="AR34" i="6"/>
  <c r="AR35" i="6"/>
  <c r="AR36" i="6"/>
  <c r="AR37" i="6"/>
  <c r="AR38" i="6"/>
  <c r="AR39" i="6"/>
  <c r="AR40" i="6"/>
  <c r="AR41" i="6"/>
  <c r="AR42" i="6"/>
  <c r="AR43" i="6"/>
  <c r="AR44" i="6"/>
  <c r="AR45" i="6"/>
  <c r="AR46" i="6"/>
  <c r="AR47" i="6"/>
  <c r="AR48" i="6"/>
  <c r="AR49" i="6"/>
  <c r="AR50" i="6"/>
  <c r="AR51" i="6"/>
  <c r="AR52" i="6"/>
  <c r="AR53" i="6"/>
  <c r="AR54" i="6"/>
  <c r="AR55" i="6"/>
  <c r="AR56" i="6"/>
  <c r="AR57" i="6"/>
  <c r="AR58" i="6"/>
  <c r="AR59" i="6"/>
  <c r="AR60" i="6"/>
  <c r="AR61" i="6"/>
  <c r="AR62" i="6"/>
  <c r="AR63" i="6"/>
  <c r="AR64" i="6"/>
  <c r="AR65" i="6"/>
  <c r="AR66" i="6"/>
  <c r="AR67" i="6"/>
  <c r="AR68" i="6"/>
  <c r="AR69" i="6"/>
  <c r="AR70" i="6"/>
  <c r="AR71" i="6"/>
  <c r="AR72" i="6"/>
  <c r="AR73" i="6"/>
  <c r="AR76" i="6"/>
  <c r="AQ33" i="6"/>
  <c r="AQ34" i="6"/>
  <c r="AQ35" i="6"/>
  <c r="AQ36" i="6"/>
  <c r="AQ37" i="6"/>
  <c r="AQ38" i="6"/>
  <c r="AQ39" i="6"/>
  <c r="AQ40" i="6"/>
  <c r="AQ41" i="6"/>
  <c r="AQ42" i="6"/>
  <c r="AQ43" i="6"/>
  <c r="AQ44" i="6"/>
  <c r="AQ45" i="6"/>
  <c r="AQ46" i="6"/>
  <c r="AQ47" i="6"/>
  <c r="AQ48" i="6"/>
  <c r="AQ49" i="6"/>
  <c r="AQ50" i="6"/>
  <c r="AQ51" i="6"/>
  <c r="AQ52" i="6"/>
  <c r="AQ53" i="6"/>
  <c r="AQ54" i="6"/>
  <c r="AQ55" i="6"/>
  <c r="AQ56" i="6"/>
  <c r="AQ57" i="6"/>
  <c r="AQ58" i="6"/>
  <c r="AQ59" i="6"/>
  <c r="AQ60" i="6"/>
  <c r="AQ61" i="6"/>
  <c r="AQ62" i="6"/>
  <c r="AQ63" i="6"/>
  <c r="AQ64" i="6"/>
  <c r="AQ65" i="6"/>
  <c r="AQ66" i="6"/>
  <c r="AQ67" i="6"/>
  <c r="AQ68" i="6"/>
  <c r="AQ69" i="6"/>
  <c r="AQ70" i="6"/>
  <c r="AQ71" i="6"/>
  <c r="AQ72" i="6"/>
  <c r="AQ73" i="6"/>
  <c r="AQ76" i="6"/>
  <c r="AP33" i="6"/>
  <c r="AP34" i="6"/>
  <c r="AP35" i="6"/>
  <c r="AP36" i="6"/>
  <c r="AP37" i="6"/>
  <c r="AP38" i="6"/>
  <c r="AP39" i="6"/>
  <c r="AP40" i="6"/>
  <c r="AP41" i="6"/>
  <c r="AP42" i="6"/>
  <c r="AP43" i="6"/>
  <c r="AP44" i="6"/>
  <c r="AP45" i="6"/>
  <c r="AP46" i="6"/>
  <c r="AP47" i="6"/>
  <c r="AP48" i="6"/>
  <c r="AP49" i="6"/>
  <c r="AP50" i="6"/>
  <c r="AP51" i="6"/>
  <c r="AP52" i="6"/>
  <c r="AP53" i="6"/>
  <c r="AP54" i="6"/>
  <c r="AP55" i="6"/>
  <c r="AP56" i="6"/>
  <c r="AP57" i="6"/>
  <c r="AP58" i="6"/>
  <c r="AP59" i="6"/>
  <c r="AP60" i="6"/>
  <c r="AP61" i="6"/>
  <c r="AP62" i="6"/>
  <c r="AP63" i="6"/>
  <c r="AP64" i="6"/>
  <c r="AP65" i="6"/>
  <c r="AP66" i="6"/>
  <c r="AP67" i="6"/>
  <c r="AP68" i="6"/>
  <c r="AP69" i="6"/>
  <c r="AP70" i="6"/>
  <c r="AP71" i="6"/>
  <c r="AP72" i="6"/>
  <c r="AP73" i="6"/>
  <c r="AP76" i="6"/>
  <c r="AO33" i="6"/>
  <c r="AO34" i="6"/>
  <c r="AO35" i="6"/>
  <c r="AO36" i="6"/>
  <c r="AO37" i="6"/>
  <c r="AO38" i="6"/>
  <c r="AO39" i="6"/>
  <c r="AO40" i="6"/>
  <c r="AO41" i="6"/>
  <c r="AO42" i="6"/>
  <c r="AO43" i="6"/>
  <c r="AO44" i="6"/>
  <c r="AO45" i="6"/>
  <c r="AO46" i="6"/>
  <c r="AO47" i="6"/>
  <c r="AO48" i="6"/>
  <c r="AO49" i="6"/>
  <c r="AO50" i="6"/>
  <c r="AO51" i="6"/>
  <c r="AO52" i="6"/>
  <c r="AO53" i="6"/>
  <c r="AO54" i="6"/>
  <c r="AO55" i="6"/>
  <c r="AO56" i="6"/>
  <c r="AO57" i="6"/>
  <c r="AO58" i="6"/>
  <c r="AO59" i="6"/>
  <c r="AO60" i="6"/>
  <c r="AO61" i="6"/>
  <c r="AO62" i="6"/>
  <c r="AO63" i="6"/>
  <c r="AO64" i="6"/>
  <c r="AO65" i="6"/>
  <c r="AO66" i="6"/>
  <c r="AO67" i="6"/>
  <c r="AO68" i="6"/>
  <c r="AO69" i="6"/>
  <c r="AO70" i="6"/>
  <c r="AO71" i="6"/>
  <c r="AO72" i="6"/>
  <c r="AO73" i="6"/>
  <c r="AO76" i="6"/>
  <c r="AN33" i="6"/>
  <c r="AN34" i="6"/>
  <c r="AN35" i="6"/>
  <c r="AN36" i="6"/>
  <c r="AN37" i="6"/>
  <c r="AN38" i="6"/>
  <c r="AN39" i="6"/>
  <c r="AN40" i="6"/>
  <c r="AN41" i="6"/>
  <c r="AN42" i="6"/>
  <c r="AN43" i="6"/>
  <c r="AN44" i="6"/>
  <c r="AN45" i="6"/>
  <c r="AN46" i="6"/>
  <c r="AN47" i="6"/>
  <c r="AN48" i="6"/>
  <c r="AN49" i="6"/>
  <c r="AN50" i="6"/>
  <c r="AN51" i="6"/>
  <c r="AN52" i="6"/>
  <c r="AN53" i="6"/>
  <c r="AN54" i="6"/>
  <c r="AN55" i="6"/>
  <c r="AN56" i="6"/>
  <c r="AN57" i="6"/>
  <c r="AN58" i="6"/>
  <c r="AN59" i="6"/>
  <c r="AN60" i="6"/>
  <c r="AN61" i="6"/>
  <c r="AN62" i="6"/>
  <c r="AN63" i="6"/>
  <c r="AN64" i="6"/>
  <c r="AN65" i="6"/>
  <c r="AN66" i="6"/>
  <c r="AN67" i="6"/>
  <c r="AN68" i="6"/>
  <c r="AN69" i="6"/>
  <c r="AN70" i="6"/>
  <c r="AN71" i="6"/>
  <c r="AN72" i="6"/>
  <c r="AN73" i="6"/>
  <c r="AN76" i="6"/>
  <c r="Y29" i="6"/>
  <c r="Y30" i="6"/>
  <c r="D53" i="6"/>
  <c r="Z29" i="6"/>
  <c r="Z30" i="6"/>
  <c r="D54" i="6"/>
  <c r="AA29" i="6"/>
  <c r="AA30" i="6"/>
  <c r="D55" i="6"/>
  <c r="AB29" i="6"/>
  <c r="AB30" i="6"/>
  <c r="D56" i="6"/>
  <c r="AC29" i="6"/>
  <c r="AC30" i="6"/>
  <c r="D57" i="6"/>
  <c r="AD29" i="6"/>
  <c r="AD30" i="6"/>
  <c r="D58" i="6"/>
  <c r="AE29" i="6"/>
  <c r="AE30" i="6"/>
  <c r="D59" i="6"/>
  <c r="AF29" i="6"/>
  <c r="AF30" i="6"/>
  <c r="D60" i="6"/>
  <c r="AG29" i="6"/>
  <c r="AG30" i="6"/>
  <c r="D61" i="6"/>
  <c r="AH29" i="6"/>
  <c r="AH30" i="6"/>
  <c r="D62" i="6"/>
  <c r="AI29" i="6"/>
  <c r="AI30" i="6"/>
  <c r="D63" i="6"/>
  <c r="AJ29" i="6"/>
  <c r="AJ30" i="6"/>
  <c r="D64" i="6"/>
  <c r="AK29" i="6"/>
  <c r="AK30" i="6"/>
  <c r="D65" i="6"/>
  <c r="AL29" i="6"/>
  <c r="AL30" i="6"/>
  <c r="D66" i="6"/>
  <c r="AM29" i="6"/>
  <c r="AM30" i="6"/>
  <c r="D67" i="6"/>
  <c r="AN29" i="6"/>
  <c r="AN30" i="6"/>
  <c r="D68" i="6"/>
  <c r="AO29" i="6"/>
  <c r="AO30" i="6"/>
  <c r="D69" i="6"/>
  <c r="AP29" i="6"/>
  <c r="AP30" i="6"/>
  <c r="D70" i="6"/>
  <c r="AQ29" i="6"/>
  <c r="AQ30" i="6"/>
  <c r="D71" i="6"/>
  <c r="AR29" i="6"/>
  <c r="AR30" i="6"/>
  <c r="D72" i="6"/>
  <c r="D73" i="6"/>
  <c r="B31" i="6"/>
  <c r="A28" i="6"/>
  <c r="Y25" i="6"/>
  <c r="Z25" i="6"/>
  <c r="AA25" i="6"/>
  <c r="AB25" i="6"/>
  <c r="AC25" i="6"/>
  <c r="AD25" i="6"/>
  <c r="AE25" i="6"/>
  <c r="AF25" i="6"/>
  <c r="AG25" i="6"/>
  <c r="AH25" i="6"/>
  <c r="AI25" i="6"/>
  <c r="AJ25" i="6"/>
  <c r="AK25" i="6"/>
  <c r="AL25" i="6"/>
  <c r="AM25" i="6"/>
  <c r="AN25" i="6"/>
  <c r="AO25" i="6"/>
  <c r="AP25" i="6"/>
  <c r="AQ25" i="6"/>
  <c r="AR25" i="6"/>
  <c r="Y24" i="6"/>
  <c r="Z24" i="6"/>
  <c r="AA24" i="6"/>
  <c r="AB24" i="6"/>
  <c r="AC24" i="6"/>
  <c r="AD24" i="6"/>
  <c r="AE24" i="6"/>
  <c r="AF24" i="6"/>
  <c r="AG24" i="6"/>
  <c r="AH24" i="6"/>
  <c r="AI24" i="6"/>
  <c r="AJ24" i="6"/>
  <c r="AK24" i="6"/>
  <c r="AL24" i="6"/>
  <c r="AM24" i="6"/>
  <c r="AN24" i="6"/>
  <c r="AO24" i="6"/>
  <c r="AP24" i="6"/>
  <c r="AQ24" i="6"/>
  <c r="AR24" i="6"/>
  <c r="Y22" i="6"/>
  <c r="Z22" i="6"/>
  <c r="AA22" i="6"/>
  <c r="AB22" i="6"/>
  <c r="AC22" i="6"/>
  <c r="AD22" i="6"/>
  <c r="AE22" i="6"/>
  <c r="AF22" i="6"/>
  <c r="AG22" i="6"/>
  <c r="AH22" i="6"/>
  <c r="AI22" i="6"/>
  <c r="AJ22" i="6"/>
  <c r="AK22" i="6"/>
  <c r="AL22" i="6"/>
  <c r="AM22" i="6"/>
  <c r="AN22" i="6"/>
  <c r="AO22" i="6"/>
  <c r="AP22" i="6"/>
  <c r="AQ22" i="6"/>
  <c r="AR22" i="6"/>
  <c r="Y21" i="6"/>
  <c r="Z21" i="6"/>
  <c r="AA21" i="6"/>
  <c r="AB21" i="6"/>
  <c r="AC21" i="6"/>
  <c r="AD21" i="6"/>
  <c r="AE21" i="6"/>
  <c r="AF21" i="6"/>
  <c r="AG21" i="6"/>
  <c r="AH21" i="6"/>
  <c r="AI21" i="6"/>
  <c r="AJ21" i="6"/>
  <c r="AK21" i="6"/>
  <c r="AL21" i="6"/>
  <c r="AM21" i="6"/>
  <c r="AN21" i="6"/>
  <c r="AO21" i="6"/>
  <c r="AP21" i="6"/>
  <c r="AQ21" i="6"/>
  <c r="AR21" i="6"/>
  <c r="A18" i="6"/>
  <c r="B15" i="6"/>
  <c r="AR11" i="6"/>
  <c r="AQ11" i="6"/>
  <c r="AP11" i="6"/>
  <c r="AO11" i="6"/>
  <c r="AN11" i="6"/>
  <c r="AM11" i="6"/>
  <c r="AL11" i="6"/>
  <c r="AK11" i="6"/>
  <c r="AJ11" i="6"/>
  <c r="AI11" i="6"/>
  <c r="AH11" i="6"/>
  <c r="AG11" i="6"/>
  <c r="AF11" i="6"/>
  <c r="AE11" i="6"/>
  <c r="AD11" i="6"/>
  <c r="AC11" i="6"/>
  <c r="AB11" i="6"/>
  <c r="AA11" i="6"/>
  <c r="Z11" i="6"/>
  <c r="Y11" i="6"/>
  <c r="X11" i="6"/>
  <c r="W11" i="6"/>
  <c r="V11" i="6"/>
  <c r="U11" i="6"/>
  <c r="T11" i="6"/>
  <c r="S11" i="6"/>
  <c r="R11" i="6"/>
  <c r="Q11" i="6"/>
  <c r="P11" i="6"/>
  <c r="O11" i="6"/>
  <c r="N11" i="6"/>
  <c r="M11" i="6"/>
  <c r="L11" i="6"/>
  <c r="K11" i="6"/>
  <c r="J11" i="6"/>
  <c r="I11" i="6"/>
  <c r="H11" i="6"/>
  <c r="G11" i="6"/>
  <c r="F11" i="6"/>
  <c r="E11" i="6"/>
  <c r="D11" i="6"/>
  <c r="AR9" i="6"/>
  <c r="AQ9" i="6"/>
  <c r="AP9" i="6"/>
  <c r="AO9" i="6"/>
  <c r="AN9" i="6"/>
  <c r="AM9" i="6"/>
  <c r="AL9" i="6"/>
  <c r="AK9" i="6"/>
  <c r="AJ9" i="6"/>
  <c r="AI9" i="6"/>
  <c r="AH9" i="6"/>
  <c r="AG9" i="6"/>
  <c r="AF9" i="6"/>
  <c r="AE9" i="6"/>
  <c r="AD9" i="6"/>
  <c r="AC9" i="6"/>
  <c r="AB9" i="6"/>
  <c r="AA9" i="6"/>
  <c r="Z9" i="6"/>
  <c r="Y9" i="6"/>
  <c r="X9" i="6"/>
  <c r="W9" i="6"/>
  <c r="V9" i="6"/>
  <c r="U9" i="6"/>
  <c r="T9" i="6"/>
  <c r="S9" i="6"/>
  <c r="R9" i="6"/>
  <c r="Q9" i="6"/>
  <c r="P9" i="6"/>
  <c r="O9" i="6"/>
  <c r="N9" i="6"/>
  <c r="M9" i="6"/>
  <c r="L9" i="6"/>
  <c r="K9" i="6"/>
  <c r="J9" i="6"/>
  <c r="I9" i="6"/>
  <c r="H9" i="6"/>
  <c r="G9" i="6"/>
  <c r="F9" i="6"/>
  <c r="E9" i="6"/>
  <c r="D9" i="6"/>
  <c r="E5" i="6"/>
  <c r="F5" i="6"/>
  <c r="G5" i="6"/>
  <c r="H5" i="6"/>
  <c r="I5" i="6"/>
  <c r="J5" i="6"/>
  <c r="K5" i="6"/>
  <c r="L5" i="6"/>
  <c r="M5" i="6"/>
  <c r="N5" i="6"/>
  <c r="O5" i="6"/>
  <c r="P5" i="6"/>
  <c r="Q5" i="6"/>
  <c r="R5" i="6"/>
  <c r="S5" i="6"/>
  <c r="T5" i="6"/>
  <c r="U5" i="6"/>
  <c r="V5" i="6"/>
  <c r="W5" i="6"/>
  <c r="X5" i="6"/>
  <c r="Y5" i="6"/>
  <c r="Z5" i="6"/>
  <c r="AA5" i="6"/>
  <c r="AB5" i="6"/>
  <c r="AC5" i="6"/>
  <c r="AD5" i="6"/>
  <c r="AE5" i="6"/>
  <c r="AF5" i="6"/>
  <c r="AG5" i="6"/>
  <c r="AH5" i="6"/>
  <c r="AI5" i="6"/>
  <c r="AJ5" i="6"/>
  <c r="AK5" i="6"/>
  <c r="AL5" i="6"/>
  <c r="AM5" i="6"/>
  <c r="AN5" i="6"/>
  <c r="AO5" i="6"/>
  <c r="AP5" i="6"/>
  <c r="AQ5" i="6"/>
  <c r="AR5" i="6"/>
  <c r="AR2" i="6"/>
  <c r="AQ2" i="6"/>
  <c r="AP2" i="6"/>
  <c r="AO2" i="6"/>
  <c r="AN2" i="6"/>
  <c r="AM2" i="6"/>
  <c r="AL2" i="6"/>
  <c r="AK2" i="6"/>
  <c r="AJ2" i="6"/>
  <c r="AI2" i="6"/>
  <c r="AH2" i="6"/>
  <c r="AG2" i="6"/>
  <c r="AF2" i="6"/>
  <c r="AE2" i="6"/>
  <c r="AD2" i="6"/>
  <c r="AC2" i="6"/>
  <c r="AB2" i="6"/>
  <c r="AA2" i="6"/>
  <c r="Z2" i="6"/>
  <c r="Y2" i="6"/>
  <c r="E2" i="6"/>
  <c r="F2" i="6"/>
  <c r="G2" i="6"/>
  <c r="H2" i="6"/>
  <c r="I2" i="6"/>
  <c r="J2" i="6"/>
  <c r="K2" i="6"/>
  <c r="L2" i="6"/>
  <c r="M2" i="6"/>
  <c r="N2" i="6"/>
  <c r="O2" i="6"/>
  <c r="P2" i="6"/>
  <c r="Q2" i="6"/>
  <c r="R2" i="6"/>
  <c r="S2" i="6"/>
  <c r="T2" i="6"/>
  <c r="U2" i="6"/>
  <c r="V2" i="6"/>
  <c r="W2" i="6"/>
  <c r="X2" i="6"/>
  <c r="AR207" i="5"/>
  <c r="AQ207" i="5"/>
  <c r="AP207" i="5"/>
  <c r="AO207" i="5"/>
  <c r="AN207" i="5"/>
  <c r="AM207" i="5"/>
  <c r="AL207" i="5"/>
  <c r="AK207" i="5"/>
  <c r="AJ207" i="5"/>
  <c r="AI207" i="5"/>
  <c r="AH207" i="5"/>
  <c r="AG207" i="5"/>
  <c r="AF207" i="5"/>
  <c r="AE207" i="5"/>
  <c r="AD207" i="5"/>
  <c r="AC207" i="5"/>
  <c r="AB207" i="5"/>
  <c r="AA207" i="5"/>
  <c r="Z207" i="5"/>
  <c r="Y207" i="5"/>
  <c r="AR206" i="5"/>
  <c r="AQ206" i="5"/>
  <c r="AP206" i="5"/>
  <c r="AO206" i="5"/>
  <c r="AN206" i="5"/>
  <c r="AM206" i="5"/>
  <c r="AL206" i="5"/>
  <c r="AK206" i="5"/>
  <c r="AJ206" i="5"/>
  <c r="AI206" i="5"/>
  <c r="AH206" i="5"/>
  <c r="AG206" i="5"/>
  <c r="AF206" i="5"/>
  <c r="AE206" i="5"/>
  <c r="AD206" i="5"/>
  <c r="AC206" i="5"/>
  <c r="AB206" i="5"/>
  <c r="AA206" i="5"/>
  <c r="Z206" i="5"/>
  <c r="Y206" i="5"/>
  <c r="AR204" i="5"/>
  <c r="AQ204" i="5"/>
  <c r="AP204" i="5"/>
  <c r="AO204" i="5"/>
  <c r="AN204" i="5"/>
  <c r="AM204" i="5"/>
  <c r="AL204" i="5"/>
  <c r="AK204" i="5"/>
  <c r="AJ204" i="5"/>
  <c r="AI204" i="5"/>
  <c r="AH204" i="5"/>
  <c r="AG204" i="5"/>
  <c r="AF204" i="5"/>
  <c r="AE204" i="5"/>
  <c r="AD204" i="5"/>
  <c r="AC204" i="5"/>
  <c r="AB204" i="5"/>
  <c r="AA204" i="5"/>
  <c r="Z204" i="5"/>
  <c r="Y204" i="5"/>
  <c r="AR202" i="5"/>
  <c r="AQ202" i="5"/>
  <c r="AP202" i="5"/>
  <c r="AO202" i="5"/>
  <c r="AN202" i="5"/>
  <c r="AM202" i="5"/>
  <c r="AL202" i="5"/>
  <c r="AK202" i="5"/>
  <c r="AJ202" i="5"/>
  <c r="AI202" i="5"/>
  <c r="AH202" i="5"/>
  <c r="AG202" i="5"/>
  <c r="AF202" i="5"/>
  <c r="AE202" i="5"/>
  <c r="AD202" i="5"/>
  <c r="AC202" i="5"/>
  <c r="AB202" i="5"/>
  <c r="AA202" i="5"/>
  <c r="Z202" i="5"/>
  <c r="Y202" i="5"/>
  <c r="AR200" i="5"/>
  <c r="AQ200" i="5"/>
  <c r="AP200" i="5"/>
  <c r="AO200" i="5"/>
  <c r="AN200" i="5"/>
  <c r="AM200" i="5"/>
  <c r="AL200" i="5"/>
  <c r="AK200" i="5"/>
  <c r="AJ200" i="5"/>
  <c r="AI200" i="5"/>
  <c r="AH200" i="5"/>
  <c r="AG200" i="5"/>
  <c r="AF200" i="5"/>
  <c r="AE200" i="5"/>
  <c r="AD200" i="5"/>
  <c r="AC200" i="5"/>
  <c r="AB200" i="5"/>
  <c r="AA200" i="5"/>
  <c r="Z200" i="5"/>
  <c r="Y200" i="5"/>
  <c r="AR199" i="5"/>
  <c r="AQ199" i="5"/>
  <c r="AP199" i="5"/>
  <c r="AO199" i="5"/>
  <c r="AN199" i="5"/>
  <c r="AM199" i="5"/>
  <c r="AL199" i="5"/>
  <c r="AK199" i="5"/>
  <c r="AJ199" i="5"/>
  <c r="AI199" i="5"/>
  <c r="AH199" i="5"/>
  <c r="AG199" i="5"/>
  <c r="AF199" i="5"/>
  <c r="AE199" i="5"/>
  <c r="AD199" i="5"/>
  <c r="AC199" i="5"/>
  <c r="AB199" i="5"/>
  <c r="AA199" i="5"/>
  <c r="Z199" i="5"/>
  <c r="Y199" i="5"/>
  <c r="AR198" i="5"/>
  <c r="AQ198" i="5"/>
  <c r="AP198" i="5"/>
  <c r="AO198" i="5"/>
  <c r="AN198" i="5"/>
  <c r="AM198" i="5"/>
  <c r="AL198" i="5"/>
  <c r="AK198" i="5"/>
  <c r="AJ198" i="5"/>
  <c r="AI198" i="5"/>
  <c r="AH198" i="5"/>
  <c r="AG198" i="5"/>
  <c r="AF198" i="5"/>
  <c r="AE198" i="5"/>
  <c r="AD198" i="5"/>
  <c r="AC198" i="5"/>
  <c r="AB198" i="5"/>
  <c r="AA198" i="5"/>
  <c r="Z198" i="5"/>
  <c r="Y198" i="5"/>
  <c r="C198" i="5"/>
  <c r="AR195" i="5"/>
  <c r="AQ195" i="5"/>
  <c r="AP195" i="5"/>
  <c r="AO195" i="5"/>
  <c r="AN195" i="5"/>
  <c r="AM195" i="5"/>
  <c r="AL195" i="5"/>
  <c r="AK195" i="5"/>
  <c r="AJ195" i="5"/>
  <c r="AI195" i="5"/>
  <c r="AH195" i="5"/>
  <c r="AG195" i="5"/>
  <c r="AF195" i="5"/>
  <c r="AE195" i="5"/>
  <c r="AD195" i="5"/>
  <c r="AC195" i="5"/>
  <c r="AB195" i="5"/>
  <c r="AA195" i="5"/>
  <c r="Z195" i="5"/>
  <c r="Y195" i="5"/>
  <c r="AR194" i="5"/>
  <c r="AQ194" i="5"/>
  <c r="AP194" i="5"/>
  <c r="AO194" i="5"/>
  <c r="AN194" i="5"/>
  <c r="AM194" i="5"/>
  <c r="AL194" i="5"/>
  <c r="AK194" i="5"/>
  <c r="AJ194" i="5"/>
  <c r="AI194" i="5"/>
  <c r="AH194" i="5"/>
  <c r="AG194" i="5"/>
  <c r="AF194" i="5"/>
  <c r="AE194" i="5"/>
  <c r="AD194" i="5"/>
  <c r="AC194" i="5"/>
  <c r="AB194" i="5"/>
  <c r="AA194" i="5"/>
  <c r="Z194" i="5"/>
  <c r="Y194" i="5"/>
  <c r="AR189" i="5"/>
  <c r="AQ189" i="5"/>
  <c r="AP189" i="5"/>
  <c r="AO189" i="5"/>
  <c r="AN189" i="5"/>
  <c r="AM189" i="5"/>
  <c r="AL189" i="5"/>
  <c r="AK189" i="5"/>
  <c r="AJ189" i="5"/>
  <c r="AI189" i="5"/>
  <c r="AH189" i="5"/>
  <c r="AG189" i="5"/>
  <c r="AF189" i="5"/>
  <c r="AE189" i="5"/>
  <c r="AD189" i="5"/>
  <c r="AC189" i="5"/>
  <c r="AB189" i="5"/>
  <c r="AA189" i="5"/>
  <c r="Z189" i="5"/>
  <c r="Y189" i="5"/>
  <c r="E39" i="5"/>
  <c r="D42" i="5"/>
  <c r="E84" i="5"/>
  <c r="C42" i="5"/>
  <c r="E42" i="5"/>
  <c r="C43" i="5"/>
  <c r="E43" i="5"/>
  <c r="C44" i="5"/>
  <c r="E44" i="5"/>
  <c r="C45" i="5"/>
  <c r="E45" i="5"/>
  <c r="C46" i="5"/>
  <c r="E46" i="5"/>
  <c r="C47" i="5"/>
  <c r="E47" i="5"/>
  <c r="C48" i="5"/>
  <c r="E48" i="5"/>
  <c r="C49" i="5"/>
  <c r="E49" i="5"/>
  <c r="C50" i="5"/>
  <c r="E50" i="5"/>
  <c r="C51" i="5"/>
  <c r="E51" i="5"/>
  <c r="C52" i="5"/>
  <c r="E52" i="5"/>
  <c r="C53" i="5"/>
  <c r="E53" i="5"/>
  <c r="C54" i="5"/>
  <c r="E54" i="5"/>
  <c r="C55" i="5"/>
  <c r="E55" i="5"/>
  <c r="C56" i="5"/>
  <c r="E56" i="5"/>
  <c r="C57" i="5"/>
  <c r="E57" i="5"/>
  <c r="C58" i="5"/>
  <c r="E58" i="5"/>
  <c r="C59" i="5"/>
  <c r="E59" i="5"/>
  <c r="C60" i="5"/>
  <c r="E60" i="5"/>
  <c r="C61" i="5"/>
  <c r="E61" i="5"/>
  <c r="C62" i="5"/>
  <c r="E62" i="5"/>
  <c r="C63" i="5"/>
  <c r="E63" i="5"/>
  <c r="C64" i="5"/>
  <c r="E64" i="5"/>
  <c r="C65" i="5"/>
  <c r="E65" i="5"/>
  <c r="C66" i="5"/>
  <c r="E66" i="5"/>
  <c r="C67" i="5"/>
  <c r="E67" i="5"/>
  <c r="C68" i="5"/>
  <c r="E68" i="5"/>
  <c r="C69" i="5"/>
  <c r="E69" i="5"/>
  <c r="C70" i="5"/>
  <c r="E70" i="5"/>
  <c r="C71" i="5"/>
  <c r="E71" i="5"/>
  <c r="C72" i="5"/>
  <c r="E72" i="5"/>
  <c r="C73" i="5"/>
  <c r="E73" i="5"/>
  <c r="C74" i="5"/>
  <c r="E74" i="5"/>
  <c r="C75" i="5"/>
  <c r="E75" i="5"/>
  <c r="C76" i="5"/>
  <c r="E76" i="5"/>
  <c r="C77" i="5"/>
  <c r="E77" i="5"/>
  <c r="C78" i="5"/>
  <c r="E78" i="5"/>
  <c r="C79" i="5"/>
  <c r="E79" i="5"/>
  <c r="C80" i="5"/>
  <c r="E80" i="5"/>
  <c r="C81" i="5"/>
  <c r="E81" i="5"/>
  <c r="E82" i="5"/>
  <c r="E85" i="5"/>
  <c r="F39" i="5"/>
  <c r="D43" i="5"/>
  <c r="F84"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5" i="5"/>
  <c r="G39" i="5"/>
  <c r="D44" i="5"/>
  <c r="G84"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5" i="5"/>
  <c r="H39" i="5"/>
  <c r="D45" i="5"/>
  <c r="H84"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5" i="5"/>
  <c r="I39" i="5"/>
  <c r="D46" i="5"/>
  <c r="I84"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5" i="5"/>
  <c r="J39" i="5"/>
  <c r="D47" i="5"/>
  <c r="J84"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5" i="5"/>
  <c r="K39" i="5"/>
  <c r="D48" i="5"/>
  <c r="K84"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5" i="5"/>
  <c r="L39" i="5"/>
  <c r="D49" i="5"/>
  <c r="L84"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5" i="5"/>
  <c r="M39" i="5"/>
  <c r="D50" i="5"/>
  <c r="M84"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5" i="5"/>
  <c r="N39" i="5"/>
  <c r="D51" i="5"/>
  <c r="N84"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5" i="5"/>
  <c r="O39" i="5"/>
  <c r="D52" i="5"/>
  <c r="O84"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5" i="5"/>
  <c r="P39" i="5"/>
  <c r="D53" i="5"/>
  <c r="P84"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5" i="5"/>
  <c r="Q39" i="5"/>
  <c r="D54" i="5"/>
  <c r="Q84" i="5"/>
  <c r="Q42" i="5"/>
  <c r="Q43" i="5"/>
  <c r="Q44" i="5"/>
  <c r="Q45" i="5"/>
  <c r="Q46" i="5"/>
  <c r="Q47" i="5"/>
  <c r="Q48" i="5"/>
  <c r="Q49" i="5"/>
  <c r="Q50" i="5"/>
  <c r="Q51" i="5"/>
  <c r="Q52" i="5"/>
  <c r="Q53" i="5"/>
  <c r="Q54" i="5"/>
  <c r="Q55" i="5"/>
  <c r="Q56" i="5"/>
  <c r="Q57" i="5"/>
  <c r="Q58" i="5"/>
  <c r="Q59" i="5"/>
  <c r="Q60" i="5"/>
  <c r="Q61" i="5"/>
  <c r="Q62" i="5"/>
  <c r="Q63" i="5"/>
  <c r="Q64" i="5"/>
  <c r="Q65" i="5"/>
  <c r="Q66" i="5"/>
  <c r="Q67" i="5"/>
  <c r="Q68" i="5"/>
  <c r="Q69" i="5"/>
  <c r="Q70" i="5"/>
  <c r="Q71" i="5"/>
  <c r="Q72" i="5"/>
  <c r="Q73" i="5"/>
  <c r="Q74" i="5"/>
  <c r="Q75" i="5"/>
  <c r="Q76" i="5"/>
  <c r="Q77" i="5"/>
  <c r="Q78" i="5"/>
  <c r="Q79" i="5"/>
  <c r="Q80" i="5"/>
  <c r="Q81" i="5"/>
  <c r="Q82" i="5"/>
  <c r="Q85" i="5"/>
  <c r="R39" i="5"/>
  <c r="D55" i="5"/>
  <c r="R84" i="5"/>
  <c r="R42" i="5"/>
  <c r="R43" i="5"/>
  <c r="R44" i="5"/>
  <c r="R45" i="5"/>
  <c r="R46" i="5"/>
  <c r="R47" i="5"/>
  <c r="R48" i="5"/>
  <c r="R49" i="5"/>
  <c r="R50" i="5"/>
  <c r="R51" i="5"/>
  <c r="R52" i="5"/>
  <c r="R53" i="5"/>
  <c r="R54" i="5"/>
  <c r="R55" i="5"/>
  <c r="R56" i="5"/>
  <c r="R57" i="5"/>
  <c r="R58" i="5"/>
  <c r="R59" i="5"/>
  <c r="R60" i="5"/>
  <c r="R61" i="5"/>
  <c r="R62" i="5"/>
  <c r="R63" i="5"/>
  <c r="R64" i="5"/>
  <c r="R65" i="5"/>
  <c r="R66" i="5"/>
  <c r="R67" i="5"/>
  <c r="R68" i="5"/>
  <c r="R69" i="5"/>
  <c r="R70" i="5"/>
  <c r="R71" i="5"/>
  <c r="R72" i="5"/>
  <c r="R73" i="5"/>
  <c r="R74" i="5"/>
  <c r="R75" i="5"/>
  <c r="R76" i="5"/>
  <c r="R77" i="5"/>
  <c r="R78" i="5"/>
  <c r="R79" i="5"/>
  <c r="R80" i="5"/>
  <c r="R81" i="5"/>
  <c r="R82" i="5"/>
  <c r="R85" i="5"/>
  <c r="S39" i="5"/>
  <c r="D56" i="5"/>
  <c r="S84" i="5"/>
  <c r="S86" i="5"/>
  <c r="X92" i="5"/>
  <c r="X39" i="5"/>
  <c r="X162" i="5"/>
  <c r="X163" i="5"/>
  <c r="S42" i="5"/>
  <c r="S43" i="5"/>
  <c r="S44" i="5"/>
  <c r="S45" i="5"/>
  <c r="S46" i="5"/>
  <c r="S47" i="5"/>
  <c r="S48" i="5"/>
  <c r="S49" i="5"/>
  <c r="S50" i="5"/>
  <c r="S51" i="5"/>
  <c r="S52" i="5"/>
  <c r="S53" i="5"/>
  <c r="S54" i="5"/>
  <c r="S55" i="5"/>
  <c r="S56" i="5"/>
  <c r="S57" i="5"/>
  <c r="S58" i="5"/>
  <c r="S59" i="5"/>
  <c r="S60" i="5"/>
  <c r="S61" i="5"/>
  <c r="S62" i="5"/>
  <c r="S63" i="5"/>
  <c r="S64" i="5"/>
  <c r="S65" i="5"/>
  <c r="S66" i="5"/>
  <c r="S67" i="5"/>
  <c r="S68" i="5"/>
  <c r="S69" i="5"/>
  <c r="S70" i="5"/>
  <c r="S71" i="5"/>
  <c r="S72" i="5"/>
  <c r="S73" i="5"/>
  <c r="S74" i="5"/>
  <c r="S75" i="5"/>
  <c r="S76" i="5"/>
  <c r="S77" i="5"/>
  <c r="S78" i="5"/>
  <c r="S79" i="5"/>
  <c r="S80" i="5"/>
  <c r="S81" i="5"/>
  <c r="S82" i="5"/>
  <c r="S85" i="5"/>
  <c r="X91" i="5"/>
  <c r="X186" i="5"/>
  <c r="X189" i="5"/>
  <c r="R86" i="5"/>
  <c r="W92" i="5"/>
  <c r="W39" i="5"/>
  <c r="W162" i="5"/>
  <c r="W163" i="5"/>
  <c r="W91" i="5"/>
  <c r="W186" i="5"/>
  <c r="W189" i="5"/>
  <c r="Q86" i="5"/>
  <c r="V92" i="5"/>
  <c r="V39" i="5"/>
  <c r="V162" i="5"/>
  <c r="V163" i="5"/>
  <c r="V91" i="5"/>
  <c r="V186" i="5"/>
  <c r="V189" i="5"/>
  <c r="P86" i="5"/>
  <c r="U92" i="5"/>
  <c r="U39" i="5"/>
  <c r="U162" i="5"/>
  <c r="U163" i="5"/>
  <c r="U91" i="5"/>
  <c r="U186" i="5"/>
  <c r="U189" i="5"/>
  <c r="O86" i="5"/>
  <c r="T92" i="5"/>
  <c r="T39" i="5"/>
  <c r="T162" i="5"/>
  <c r="T163" i="5"/>
  <c r="T91" i="5"/>
  <c r="T186" i="5"/>
  <c r="T189" i="5"/>
  <c r="N86" i="5"/>
  <c r="S92" i="5"/>
  <c r="S162" i="5"/>
  <c r="S163" i="5"/>
  <c r="S91" i="5"/>
  <c r="S186" i="5"/>
  <c r="S189" i="5"/>
  <c r="M86" i="5"/>
  <c r="R92" i="5"/>
  <c r="R162" i="5"/>
  <c r="R163" i="5"/>
  <c r="R91" i="5"/>
  <c r="R186" i="5"/>
  <c r="R189" i="5"/>
  <c r="L86" i="5"/>
  <c r="Q92" i="5"/>
  <c r="Q162" i="5"/>
  <c r="Q163" i="5"/>
  <c r="Q91" i="5"/>
  <c r="Q186" i="5"/>
  <c r="Q189" i="5"/>
  <c r="K86" i="5"/>
  <c r="P92" i="5"/>
  <c r="P162" i="5"/>
  <c r="P163" i="5"/>
  <c r="P91" i="5"/>
  <c r="P186" i="5"/>
  <c r="P189" i="5"/>
  <c r="J86" i="5"/>
  <c r="O92" i="5"/>
  <c r="O162" i="5"/>
  <c r="O163" i="5"/>
  <c r="O91" i="5"/>
  <c r="O186" i="5"/>
  <c r="O189" i="5"/>
  <c r="I86" i="5"/>
  <c r="N92" i="5"/>
  <c r="N162" i="5"/>
  <c r="N163" i="5"/>
  <c r="N91" i="5"/>
  <c r="N186" i="5"/>
  <c r="N189" i="5"/>
  <c r="H86" i="5"/>
  <c r="M92" i="5"/>
  <c r="M162" i="5"/>
  <c r="M163" i="5"/>
  <c r="M91" i="5"/>
  <c r="M186" i="5"/>
  <c r="M189" i="5"/>
  <c r="G86" i="5"/>
  <c r="L92" i="5"/>
  <c r="L162" i="5"/>
  <c r="L163" i="5"/>
  <c r="L91" i="5"/>
  <c r="L186" i="5"/>
  <c r="L189" i="5"/>
  <c r="F86" i="5"/>
  <c r="K92" i="5"/>
  <c r="K162" i="5"/>
  <c r="K163" i="5"/>
  <c r="K91" i="5"/>
  <c r="K186" i="5"/>
  <c r="K189" i="5"/>
  <c r="E86" i="5"/>
  <c r="J92" i="5"/>
  <c r="J162" i="5"/>
  <c r="J163" i="5"/>
  <c r="J91" i="5"/>
  <c r="J186" i="5"/>
  <c r="J189" i="5"/>
  <c r="I92" i="5"/>
  <c r="I189" i="5"/>
  <c r="H92" i="5"/>
  <c r="H189" i="5"/>
  <c r="G92" i="5"/>
  <c r="G189" i="5"/>
  <c r="F92" i="5"/>
  <c r="F189" i="5"/>
  <c r="E92" i="5"/>
  <c r="E189" i="5"/>
  <c r="C189" i="5"/>
  <c r="AR188" i="5"/>
  <c r="AQ188" i="5"/>
  <c r="AP188" i="5"/>
  <c r="AO188" i="5"/>
  <c r="AN188" i="5"/>
  <c r="AM188" i="5"/>
  <c r="AL188" i="5"/>
  <c r="AK188" i="5"/>
  <c r="AJ188" i="5"/>
  <c r="AI188" i="5"/>
  <c r="AH188" i="5"/>
  <c r="AG188" i="5"/>
  <c r="AF188" i="5"/>
  <c r="AE188" i="5"/>
  <c r="AD188" i="5"/>
  <c r="AC188" i="5"/>
  <c r="AB188" i="5"/>
  <c r="AA188" i="5"/>
  <c r="Z188" i="5"/>
  <c r="Y188" i="5"/>
  <c r="X151" i="5"/>
  <c r="X185" i="5"/>
  <c r="X188" i="5"/>
  <c r="W151" i="5"/>
  <c r="W185" i="5"/>
  <c r="W188" i="5"/>
  <c r="V151" i="5"/>
  <c r="V185" i="5"/>
  <c r="V188" i="5"/>
  <c r="U151" i="5"/>
  <c r="U185" i="5"/>
  <c r="U188" i="5"/>
  <c r="T151" i="5"/>
  <c r="T185" i="5"/>
  <c r="T188" i="5"/>
  <c r="S151" i="5"/>
  <c r="S185" i="5"/>
  <c r="S188" i="5"/>
  <c r="R151" i="5"/>
  <c r="R185" i="5"/>
  <c r="R188" i="5"/>
  <c r="Q151" i="5"/>
  <c r="Q185" i="5"/>
  <c r="Q188" i="5"/>
  <c r="P151" i="5"/>
  <c r="P185" i="5"/>
  <c r="P188" i="5"/>
  <c r="O151" i="5"/>
  <c r="O185" i="5"/>
  <c r="O188" i="5"/>
  <c r="N151" i="5"/>
  <c r="N185" i="5"/>
  <c r="N188" i="5"/>
  <c r="M151" i="5"/>
  <c r="M185" i="5"/>
  <c r="M188" i="5"/>
  <c r="L151" i="5"/>
  <c r="L185" i="5"/>
  <c r="L188" i="5"/>
  <c r="K151" i="5"/>
  <c r="K185" i="5"/>
  <c r="K188" i="5"/>
  <c r="J151" i="5"/>
  <c r="J185" i="5"/>
  <c r="J188" i="5"/>
  <c r="I188" i="5"/>
  <c r="H188" i="5"/>
  <c r="G188" i="5"/>
  <c r="F188" i="5"/>
  <c r="E188" i="5"/>
  <c r="AR186" i="5"/>
  <c r="AQ186" i="5"/>
  <c r="AP186" i="5"/>
  <c r="AO186" i="5"/>
  <c r="AN186" i="5"/>
  <c r="AM186" i="5"/>
  <c r="AL186" i="5"/>
  <c r="AK186" i="5"/>
  <c r="AJ186" i="5"/>
  <c r="AI186" i="5"/>
  <c r="AH186" i="5"/>
  <c r="AG186" i="5"/>
  <c r="AF186" i="5"/>
  <c r="AE186" i="5"/>
  <c r="AD186" i="5"/>
  <c r="AC186" i="5"/>
  <c r="AB186" i="5"/>
  <c r="AA186" i="5"/>
  <c r="Z186" i="5"/>
  <c r="Y186" i="5"/>
  <c r="I162" i="5"/>
  <c r="I163" i="5"/>
  <c r="I91" i="5"/>
  <c r="I186" i="5"/>
  <c r="H162" i="5"/>
  <c r="H163" i="5"/>
  <c r="H91" i="5"/>
  <c r="H186" i="5"/>
  <c r="G162" i="5"/>
  <c r="G163" i="5"/>
  <c r="G91" i="5"/>
  <c r="G186" i="5"/>
  <c r="F162" i="5"/>
  <c r="F163" i="5"/>
  <c r="F91" i="5"/>
  <c r="F186" i="5"/>
  <c r="E162" i="5"/>
  <c r="E163" i="5"/>
  <c r="E91" i="5"/>
  <c r="E186" i="5"/>
  <c r="C186" i="5"/>
  <c r="AR185" i="5"/>
  <c r="AQ185" i="5"/>
  <c r="AP185" i="5"/>
  <c r="AO185" i="5"/>
  <c r="AN185" i="5"/>
  <c r="AM185" i="5"/>
  <c r="AL185" i="5"/>
  <c r="AK185" i="5"/>
  <c r="AJ185" i="5"/>
  <c r="AI185" i="5"/>
  <c r="AH185" i="5"/>
  <c r="AG185" i="5"/>
  <c r="AF185" i="5"/>
  <c r="AE185" i="5"/>
  <c r="AD185" i="5"/>
  <c r="AC185" i="5"/>
  <c r="AB185" i="5"/>
  <c r="AA185" i="5"/>
  <c r="Z185" i="5"/>
  <c r="Y185" i="5"/>
  <c r="I151" i="5"/>
  <c r="I185" i="5"/>
  <c r="H151" i="5"/>
  <c r="H185" i="5"/>
  <c r="G151" i="5"/>
  <c r="G185" i="5"/>
  <c r="F151" i="5"/>
  <c r="F185" i="5"/>
  <c r="E151" i="5"/>
  <c r="E185" i="5"/>
  <c r="AR180" i="5"/>
  <c r="AQ180" i="5"/>
  <c r="AP180" i="5"/>
  <c r="AO180" i="5"/>
  <c r="AN180" i="5"/>
  <c r="AM180" i="5"/>
  <c r="AL180" i="5"/>
  <c r="AK180" i="5"/>
  <c r="AJ180" i="5"/>
  <c r="AI180" i="5"/>
  <c r="AH180" i="5"/>
  <c r="AG180" i="5"/>
  <c r="AF180" i="5"/>
  <c r="AE180" i="5"/>
  <c r="AD180" i="5"/>
  <c r="AC180" i="5"/>
  <c r="AB180" i="5"/>
  <c r="AA180" i="5"/>
  <c r="Z180" i="5"/>
  <c r="Y180" i="5"/>
  <c r="X180" i="5"/>
  <c r="W180" i="5"/>
  <c r="V180" i="5"/>
  <c r="U180" i="5"/>
  <c r="T180" i="5"/>
  <c r="S180" i="5"/>
  <c r="R180" i="5"/>
  <c r="Q180" i="5"/>
  <c r="P180" i="5"/>
  <c r="O180" i="5"/>
  <c r="N180" i="5"/>
  <c r="M180" i="5"/>
  <c r="L180" i="5"/>
  <c r="K180" i="5"/>
  <c r="J180" i="5"/>
  <c r="I180" i="5"/>
  <c r="H180" i="5"/>
  <c r="G180" i="5"/>
  <c r="F180" i="5"/>
  <c r="E180" i="5"/>
  <c r="AR179" i="5"/>
  <c r="AQ179" i="5"/>
  <c r="AP179" i="5"/>
  <c r="AO179" i="5"/>
  <c r="AN179" i="5"/>
  <c r="AM179" i="5"/>
  <c r="AL179" i="5"/>
  <c r="AK179" i="5"/>
  <c r="AJ179" i="5"/>
  <c r="AI179" i="5"/>
  <c r="AH179" i="5"/>
  <c r="AG179" i="5"/>
  <c r="AF179" i="5"/>
  <c r="AE179" i="5"/>
  <c r="AD179" i="5"/>
  <c r="AC179" i="5"/>
  <c r="AB179" i="5"/>
  <c r="AA179" i="5"/>
  <c r="Z179" i="5"/>
  <c r="Y179" i="5"/>
  <c r="X95" i="5"/>
  <c r="X96" i="5"/>
  <c r="X179" i="5"/>
  <c r="W95" i="5"/>
  <c r="W96" i="5"/>
  <c r="W179" i="5"/>
  <c r="V95" i="5"/>
  <c r="V96" i="5"/>
  <c r="V179" i="5"/>
  <c r="U95" i="5"/>
  <c r="U96" i="5"/>
  <c r="U179" i="5"/>
  <c r="T95" i="5"/>
  <c r="T96" i="5"/>
  <c r="T179" i="5"/>
  <c r="S95" i="5"/>
  <c r="S96" i="5"/>
  <c r="S179" i="5"/>
  <c r="R95" i="5"/>
  <c r="R96" i="5"/>
  <c r="R179" i="5"/>
  <c r="Q95" i="5"/>
  <c r="Q96" i="5"/>
  <c r="Q179" i="5"/>
  <c r="P95" i="5"/>
  <c r="P96" i="5"/>
  <c r="P179" i="5"/>
  <c r="O95" i="5"/>
  <c r="O96" i="5"/>
  <c r="O179" i="5"/>
  <c r="N95" i="5"/>
  <c r="N96" i="5"/>
  <c r="N179" i="5"/>
  <c r="M95" i="5"/>
  <c r="M96" i="5"/>
  <c r="M179" i="5"/>
  <c r="L95" i="5"/>
  <c r="L96" i="5"/>
  <c r="L179" i="5"/>
  <c r="K95" i="5"/>
  <c r="K96" i="5"/>
  <c r="K179" i="5"/>
  <c r="J95" i="5"/>
  <c r="J96" i="5"/>
  <c r="J179" i="5"/>
  <c r="I95" i="5"/>
  <c r="I96" i="5"/>
  <c r="I179" i="5"/>
  <c r="H95" i="5"/>
  <c r="H96" i="5"/>
  <c r="H179" i="5"/>
  <c r="G95" i="5"/>
  <c r="G96" i="5"/>
  <c r="G179" i="5"/>
  <c r="F95" i="5"/>
  <c r="F96" i="5"/>
  <c r="F179" i="5"/>
  <c r="E95" i="5"/>
  <c r="E96" i="5"/>
  <c r="E179" i="5"/>
  <c r="B178" i="5"/>
  <c r="AR177" i="5"/>
  <c r="AQ177" i="5"/>
  <c r="AP177" i="5"/>
  <c r="AO177" i="5"/>
  <c r="AN177" i="5"/>
  <c r="AM177" i="5"/>
  <c r="AL177" i="5"/>
  <c r="AK177" i="5"/>
  <c r="AJ177" i="5"/>
  <c r="AI177" i="5"/>
  <c r="AH177" i="5"/>
  <c r="AG177" i="5"/>
  <c r="AF177" i="5"/>
  <c r="AE177" i="5"/>
  <c r="AD177" i="5"/>
  <c r="AC177" i="5"/>
  <c r="AB177" i="5"/>
  <c r="AA177" i="5"/>
  <c r="Z177" i="5"/>
  <c r="Y177" i="5"/>
  <c r="X177" i="5"/>
  <c r="W177" i="5"/>
  <c r="V177" i="5"/>
  <c r="U177" i="5"/>
  <c r="T177" i="5"/>
  <c r="S177" i="5"/>
  <c r="R177" i="5"/>
  <c r="Q177" i="5"/>
  <c r="P177" i="5"/>
  <c r="O177" i="5"/>
  <c r="N177" i="5"/>
  <c r="M177" i="5"/>
  <c r="L177" i="5"/>
  <c r="K177" i="5"/>
  <c r="J177" i="5"/>
  <c r="I177" i="5"/>
  <c r="H177" i="5"/>
  <c r="G177" i="5"/>
  <c r="F177" i="5"/>
  <c r="E177" i="5"/>
  <c r="AR176" i="5"/>
  <c r="AQ176" i="5"/>
  <c r="AP176" i="5"/>
  <c r="AO176" i="5"/>
  <c r="AN176" i="5"/>
  <c r="AM176" i="5"/>
  <c r="AL176" i="5"/>
  <c r="AK176" i="5"/>
  <c r="AJ176" i="5"/>
  <c r="AI176" i="5"/>
  <c r="AH176" i="5"/>
  <c r="AG176" i="5"/>
  <c r="AF176" i="5"/>
  <c r="AE176" i="5"/>
  <c r="AD176" i="5"/>
  <c r="AC176" i="5"/>
  <c r="AB176" i="5"/>
  <c r="AA176" i="5"/>
  <c r="Z176" i="5"/>
  <c r="Y176" i="5"/>
  <c r="X150" i="5"/>
  <c r="X176" i="5"/>
  <c r="W150" i="5"/>
  <c r="W176" i="5"/>
  <c r="V150" i="5"/>
  <c r="V176" i="5"/>
  <c r="U150" i="5"/>
  <c r="U176" i="5"/>
  <c r="T150" i="5"/>
  <c r="T176" i="5"/>
  <c r="S150" i="5"/>
  <c r="S176" i="5"/>
  <c r="R150" i="5"/>
  <c r="R176" i="5"/>
  <c r="Q150" i="5"/>
  <c r="Q176" i="5"/>
  <c r="P150" i="5"/>
  <c r="P176" i="5"/>
  <c r="O150" i="5"/>
  <c r="O176" i="5"/>
  <c r="N150" i="5"/>
  <c r="N176" i="5"/>
  <c r="M150" i="5"/>
  <c r="M176" i="5"/>
  <c r="L150" i="5"/>
  <c r="L176" i="5"/>
  <c r="K150" i="5"/>
  <c r="K176" i="5"/>
  <c r="J150" i="5"/>
  <c r="J176" i="5"/>
  <c r="I150" i="5"/>
  <c r="I176" i="5"/>
  <c r="H150" i="5"/>
  <c r="H176" i="5"/>
  <c r="G150" i="5"/>
  <c r="G176" i="5"/>
  <c r="F150" i="5"/>
  <c r="F176" i="5"/>
  <c r="E150" i="5"/>
  <c r="E176" i="5"/>
  <c r="A174" i="5"/>
  <c r="AR159" i="5"/>
  <c r="AR162" i="5"/>
  <c r="AR163" i="5"/>
  <c r="AR164" i="5"/>
  <c r="AR165" i="5"/>
  <c r="AR166" i="5"/>
  <c r="AR167" i="5"/>
  <c r="Y6" i="5"/>
  <c r="Z6" i="5"/>
  <c r="AA6" i="5"/>
  <c r="AB6" i="5"/>
  <c r="AC6" i="5"/>
  <c r="AD6" i="5"/>
  <c r="AE6" i="5"/>
  <c r="AF6" i="5"/>
  <c r="AG6" i="5"/>
  <c r="AH6" i="5"/>
  <c r="AI6" i="5"/>
  <c r="AJ6" i="5"/>
  <c r="AK6" i="5"/>
  <c r="AL6" i="5"/>
  <c r="AM6" i="5"/>
  <c r="AN6" i="5"/>
  <c r="AO6" i="5"/>
  <c r="AP6" i="5"/>
  <c r="AQ6" i="5"/>
  <c r="AR6" i="5"/>
  <c r="AR171" i="5"/>
  <c r="AQ159" i="5"/>
  <c r="AQ162" i="5"/>
  <c r="AQ163" i="5"/>
  <c r="AQ164" i="5"/>
  <c r="AQ165" i="5"/>
  <c r="AQ166" i="5"/>
  <c r="AQ167" i="5"/>
  <c r="AQ171" i="5"/>
  <c r="AP159" i="5"/>
  <c r="AP162" i="5"/>
  <c r="AP163" i="5"/>
  <c r="AP164" i="5"/>
  <c r="AP165" i="5"/>
  <c r="AP166" i="5"/>
  <c r="AP167" i="5"/>
  <c r="AP171" i="5"/>
  <c r="AO159" i="5"/>
  <c r="AO162" i="5"/>
  <c r="AO163" i="5"/>
  <c r="AO164" i="5"/>
  <c r="AO165" i="5"/>
  <c r="AO166" i="5"/>
  <c r="AO167" i="5"/>
  <c r="AO171" i="5"/>
  <c r="AN159" i="5"/>
  <c r="AN162" i="5"/>
  <c r="AN163" i="5"/>
  <c r="AN164" i="5"/>
  <c r="AN165" i="5"/>
  <c r="AN166" i="5"/>
  <c r="AN167" i="5"/>
  <c r="AN171" i="5"/>
  <c r="AM159" i="5"/>
  <c r="AM162" i="5"/>
  <c r="AM163" i="5"/>
  <c r="AM164" i="5"/>
  <c r="AM165" i="5"/>
  <c r="AM166" i="5"/>
  <c r="AM167" i="5"/>
  <c r="AM171" i="5"/>
  <c r="AL159" i="5"/>
  <c r="AL162" i="5"/>
  <c r="AL163" i="5"/>
  <c r="AL164" i="5"/>
  <c r="AL165" i="5"/>
  <c r="AL166" i="5"/>
  <c r="AL167" i="5"/>
  <c r="AL171" i="5"/>
  <c r="AK159" i="5"/>
  <c r="AK162" i="5"/>
  <c r="AK163" i="5"/>
  <c r="AK164" i="5"/>
  <c r="AK165" i="5"/>
  <c r="AK166" i="5"/>
  <c r="AK167" i="5"/>
  <c r="AK171" i="5"/>
  <c r="AJ159" i="5"/>
  <c r="AJ162" i="5"/>
  <c r="AJ163" i="5"/>
  <c r="AJ164" i="5"/>
  <c r="AJ165" i="5"/>
  <c r="AJ166" i="5"/>
  <c r="AJ167" i="5"/>
  <c r="AJ171" i="5"/>
  <c r="AI159" i="5"/>
  <c r="AI162" i="5"/>
  <c r="AI163" i="5"/>
  <c r="AI164" i="5"/>
  <c r="AI165" i="5"/>
  <c r="AI166" i="5"/>
  <c r="AI167" i="5"/>
  <c r="AI171" i="5"/>
  <c r="AH159" i="5"/>
  <c r="AH162" i="5"/>
  <c r="AH163" i="5"/>
  <c r="AH164" i="5"/>
  <c r="AH165" i="5"/>
  <c r="AH166" i="5"/>
  <c r="AH167" i="5"/>
  <c r="AH171" i="5"/>
  <c r="AG159" i="5"/>
  <c r="AG162" i="5"/>
  <c r="AG163" i="5"/>
  <c r="AG164" i="5"/>
  <c r="AG165" i="5"/>
  <c r="AG166" i="5"/>
  <c r="AG167" i="5"/>
  <c r="AG171" i="5"/>
  <c r="AF159" i="5"/>
  <c r="AF162" i="5"/>
  <c r="AF163" i="5"/>
  <c r="AF164" i="5"/>
  <c r="AF165" i="5"/>
  <c r="AF166" i="5"/>
  <c r="AF167" i="5"/>
  <c r="AF171" i="5"/>
  <c r="AE159" i="5"/>
  <c r="AE162" i="5"/>
  <c r="AE163" i="5"/>
  <c r="AE164" i="5"/>
  <c r="AE165" i="5"/>
  <c r="AE166" i="5"/>
  <c r="AE167" i="5"/>
  <c r="AE171" i="5"/>
  <c r="AD159" i="5"/>
  <c r="AD162" i="5"/>
  <c r="AD163" i="5"/>
  <c r="AD164" i="5"/>
  <c r="AD165" i="5"/>
  <c r="AD166" i="5"/>
  <c r="AD167" i="5"/>
  <c r="AD171" i="5"/>
  <c r="AC159" i="5"/>
  <c r="AC162" i="5"/>
  <c r="AC163" i="5"/>
  <c r="AC164" i="5"/>
  <c r="AC165" i="5"/>
  <c r="AC166" i="5"/>
  <c r="AC167" i="5"/>
  <c r="AC171" i="5"/>
  <c r="AB159" i="5"/>
  <c r="AB162" i="5"/>
  <c r="AB163" i="5"/>
  <c r="AB164" i="5"/>
  <c r="AB165" i="5"/>
  <c r="AB166" i="5"/>
  <c r="AB167" i="5"/>
  <c r="AB171" i="5"/>
  <c r="AA159" i="5"/>
  <c r="AA162" i="5"/>
  <c r="AA163" i="5"/>
  <c r="AA164" i="5"/>
  <c r="AA165" i="5"/>
  <c r="AA166" i="5"/>
  <c r="AA167" i="5"/>
  <c r="AA171" i="5"/>
  <c r="Z159" i="5"/>
  <c r="Z162" i="5"/>
  <c r="Z163" i="5"/>
  <c r="Z164" i="5"/>
  <c r="Z165" i="5"/>
  <c r="Z166" i="5"/>
  <c r="Z167" i="5"/>
  <c r="Z171" i="5"/>
  <c r="Y159" i="5"/>
  <c r="Y162" i="5"/>
  <c r="Y163" i="5"/>
  <c r="Y164" i="5"/>
  <c r="Y165" i="5"/>
  <c r="Y166" i="5"/>
  <c r="Y167" i="5"/>
  <c r="Y171" i="5"/>
  <c r="X159" i="5"/>
  <c r="X164" i="5"/>
  <c r="X165" i="5"/>
  <c r="X166" i="5"/>
  <c r="X167" i="5"/>
  <c r="X171" i="5"/>
  <c r="W159" i="5"/>
  <c r="W164" i="5"/>
  <c r="W165" i="5"/>
  <c r="W166" i="5"/>
  <c r="W167" i="5"/>
  <c r="W171" i="5"/>
  <c r="V159" i="5"/>
  <c r="V164" i="5"/>
  <c r="V165" i="5"/>
  <c r="V166" i="5"/>
  <c r="V167" i="5"/>
  <c r="V171" i="5"/>
  <c r="U159" i="5"/>
  <c r="U164" i="5"/>
  <c r="U165" i="5"/>
  <c r="U166" i="5"/>
  <c r="U167" i="5"/>
  <c r="U171" i="5"/>
  <c r="T159" i="5"/>
  <c r="T164" i="5"/>
  <c r="T165" i="5"/>
  <c r="T166" i="5"/>
  <c r="T167" i="5"/>
  <c r="T171" i="5"/>
  <c r="S159" i="5"/>
  <c r="S164" i="5"/>
  <c r="S165" i="5"/>
  <c r="S166" i="5"/>
  <c r="S167" i="5"/>
  <c r="S171" i="5"/>
  <c r="R159" i="5"/>
  <c r="R164" i="5"/>
  <c r="R165" i="5"/>
  <c r="R166" i="5"/>
  <c r="R167" i="5"/>
  <c r="R171" i="5"/>
  <c r="Q159" i="5"/>
  <c r="Q164" i="5"/>
  <c r="Q165" i="5"/>
  <c r="Q166" i="5"/>
  <c r="Q167" i="5"/>
  <c r="Q171" i="5"/>
  <c r="P159" i="5"/>
  <c r="P164" i="5"/>
  <c r="P165" i="5"/>
  <c r="P166" i="5"/>
  <c r="P167" i="5"/>
  <c r="P171" i="5"/>
  <c r="O159" i="5"/>
  <c r="O164" i="5"/>
  <c r="O165" i="5"/>
  <c r="O166" i="5"/>
  <c r="O167" i="5"/>
  <c r="O171" i="5"/>
  <c r="N159" i="5"/>
  <c r="N164" i="5"/>
  <c r="N165" i="5"/>
  <c r="N166" i="5"/>
  <c r="N167" i="5"/>
  <c r="N171" i="5"/>
  <c r="M159" i="5"/>
  <c r="M164" i="5"/>
  <c r="M165" i="5"/>
  <c r="M166" i="5"/>
  <c r="M167" i="5"/>
  <c r="M171" i="5"/>
  <c r="L159" i="5"/>
  <c r="L164" i="5"/>
  <c r="L165" i="5"/>
  <c r="L166" i="5"/>
  <c r="L167" i="5"/>
  <c r="L171" i="5"/>
  <c r="K159" i="5"/>
  <c r="K164" i="5"/>
  <c r="K165" i="5"/>
  <c r="K166" i="5"/>
  <c r="K167" i="5"/>
  <c r="K171" i="5"/>
  <c r="J159" i="5"/>
  <c r="J164" i="5"/>
  <c r="J165" i="5"/>
  <c r="J166" i="5"/>
  <c r="J167" i="5"/>
  <c r="J171" i="5"/>
  <c r="I159" i="5"/>
  <c r="I164" i="5"/>
  <c r="I165" i="5"/>
  <c r="I166" i="5"/>
  <c r="I167" i="5"/>
  <c r="I171" i="5"/>
  <c r="H159" i="5"/>
  <c r="H164" i="5"/>
  <c r="H165" i="5"/>
  <c r="H166" i="5"/>
  <c r="H167" i="5"/>
  <c r="H171" i="5"/>
  <c r="G159" i="5"/>
  <c r="G164" i="5"/>
  <c r="G165" i="5"/>
  <c r="G166" i="5"/>
  <c r="G167" i="5"/>
  <c r="G171" i="5"/>
  <c r="F159" i="5"/>
  <c r="F164" i="5"/>
  <c r="F165" i="5"/>
  <c r="F166" i="5"/>
  <c r="F167" i="5"/>
  <c r="F171" i="5"/>
  <c r="E159" i="5"/>
  <c r="E164" i="5"/>
  <c r="E165" i="5"/>
  <c r="E166" i="5"/>
  <c r="E167" i="5"/>
  <c r="E171" i="5"/>
  <c r="C171" i="5"/>
  <c r="AR158" i="5"/>
  <c r="AR170" i="5"/>
  <c r="AQ158" i="5"/>
  <c r="AQ170" i="5"/>
  <c r="AP158" i="5"/>
  <c r="AP170" i="5"/>
  <c r="AO158" i="5"/>
  <c r="AO170" i="5"/>
  <c r="AN158" i="5"/>
  <c r="AN170" i="5"/>
  <c r="AM158" i="5"/>
  <c r="AM170" i="5"/>
  <c r="AL158" i="5"/>
  <c r="AL170" i="5"/>
  <c r="AK158" i="5"/>
  <c r="AK170" i="5"/>
  <c r="AJ158" i="5"/>
  <c r="AJ170" i="5"/>
  <c r="AI158" i="5"/>
  <c r="AI170" i="5"/>
  <c r="AH158" i="5"/>
  <c r="AH170" i="5"/>
  <c r="AG158" i="5"/>
  <c r="AG170" i="5"/>
  <c r="AF158" i="5"/>
  <c r="AF170" i="5"/>
  <c r="AE158" i="5"/>
  <c r="AE170" i="5"/>
  <c r="AD158" i="5"/>
  <c r="AD170" i="5"/>
  <c r="AC158" i="5"/>
  <c r="AC170" i="5"/>
  <c r="AB158" i="5"/>
  <c r="AB170" i="5"/>
  <c r="AA158" i="5"/>
  <c r="AA170" i="5"/>
  <c r="Z158" i="5"/>
  <c r="Z170" i="5"/>
  <c r="Y158" i="5"/>
  <c r="Y170" i="5"/>
  <c r="X158" i="5"/>
  <c r="X170" i="5"/>
  <c r="W158" i="5"/>
  <c r="W170" i="5"/>
  <c r="V158" i="5"/>
  <c r="V170" i="5"/>
  <c r="U158" i="5"/>
  <c r="U170" i="5"/>
  <c r="T158" i="5"/>
  <c r="T170" i="5"/>
  <c r="S158" i="5"/>
  <c r="S170" i="5"/>
  <c r="R158" i="5"/>
  <c r="R170" i="5"/>
  <c r="Q158" i="5"/>
  <c r="Q170" i="5"/>
  <c r="P158" i="5"/>
  <c r="P170" i="5"/>
  <c r="O158" i="5"/>
  <c r="O170" i="5"/>
  <c r="N158" i="5"/>
  <c r="N170" i="5"/>
  <c r="M158" i="5"/>
  <c r="M170" i="5"/>
  <c r="L158" i="5"/>
  <c r="L170" i="5"/>
  <c r="K158" i="5"/>
  <c r="K170" i="5"/>
  <c r="J158" i="5"/>
  <c r="J170" i="5"/>
  <c r="I158" i="5"/>
  <c r="I170" i="5"/>
  <c r="H158" i="5"/>
  <c r="H170" i="5"/>
  <c r="G158" i="5"/>
  <c r="G170" i="5"/>
  <c r="F158" i="5"/>
  <c r="F170" i="5"/>
  <c r="E158" i="5"/>
  <c r="E170" i="5"/>
  <c r="C159" i="5"/>
  <c r="A156" i="5"/>
  <c r="AR154" i="5"/>
  <c r="AQ154" i="5"/>
  <c r="AP154" i="5"/>
  <c r="AO154" i="5"/>
  <c r="AN154" i="5"/>
  <c r="AM154" i="5"/>
  <c r="AL154" i="5"/>
  <c r="AK154" i="5"/>
  <c r="AJ154" i="5"/>
  <c r="AI154" i="5"/>
  <c r="AH154" i="5"/>
  <c r="AG154" i="5"/>
  <c r="AF154" i="5"/>
  <c r="AE154" i="5"/>
  <c r="AD154" i="5"/>
  <c r="AC154" i="5"/>
  <c r="AB154" i="5"/>
  <c r="AA154" i="5"/>
  <c r="Z154" i="5"/>
  <c r="Y154" i="5"/>
  <c r="AR153" i="5"/>
  <c r="AQ153" i="5"/>
  <c r="AP153" i="5"/>
  <c r="AO153" i="5"/>
  <c r="AN153" i="5"/>
  <c r="AM153" i="5"/>
  <c r="AL153" i="5"/>
  <c r="AK153" i="5"/>
  <c r="AJ153" i="5"/>
  <c r="AI153" i="5"/>
  <c r="AH153" i="5"/>
  <c r="AG153" i="5"/>
  <c r="AF153" i="5"/>
  <c r="AE153" i="5"/>
  <c r="AD153" i="5"/>
  <c r="AC153" i="5"/>
  <c r="AB153" i="5"/>
  <c r="AA153" i="5"/>
  <c r="Z153" i="5"/>
  <c r="Y153" i="5"/>
  <c r="B152" i="5"/>
  <c r="AR151" i="5"/>
  <c r="AQ151" i="5"/>
  <c r="AP151" i="5"/>
  <c r="AO151" i="5"/>
  <c r="AN151" i="5"/>
  <c r="AM151" i="5"/>
  <c r="AL151" i="5"/>
  <c r="AK151" i="5"/>
  <c r="AJ151" i="5"/>
  <c r="AI151" i="5"/>
  <c r="AH151" i="5"/>
  <c r="AG151" i="5"/>
  <c r="AF151" i="5"/>
  <c r="AE151" i="5"/>
  <c r="AD151" i="5"/>
  <c r="AC151" i="5"/>
  <c r="AB151" i="5"/>
  <c r="AA151" i="5"/>
  <c r="Z151" i="5"/>
  <c r="Y151" i="5"/>
  <c r="AR150" i="5"/>
  <c r="AQ150" i="5"/>
  <c r="AP150" i="5"/>
  <c r="AO150" i="5"/>
  <c r="AN150" i="5"/>
  <c r="AM150" i="5"/>
  <c r="AL150" i="5"/>
  <c r="AK150" i="5"/>
  <c r="AJ150" i="5"/>
  <c r="AI150" i="5"/>
  <c r="AH150" i="5"/>
  <c r="AG150" i="5"/>
  <c r="AF150" i="5"/>
  <c r="AE150" i="5"/>
  <c r="AD150" i="5"/>
  <c r="AC150" i="5"/>
  <c r="AB150" i="5"/>
  <c r="AA150" i="5"/>
  <c r="Z150" i="5"/>
  <c r="Y150" i="5"/>
  <c r="AR148" i="5"/>
  <c r="AQ148" i="5"/>
  <c r="AP148" i="5"/>
  <c r="AO148" i="5"/>
  <c r="AN148" i="5"/>
  <c r="AM148" i="5"/>
  <c r="AL148" i="5"/>
  <c r="AK148" i="5"/>
  <c r="AJ148" i="5"/>
  <c r="AI148" i="5"/>
  <c r="AH148" i="5"/>
  <c r="AG148" i="5"/>
  <c r="AF148" i="5"/>
  <c r="AE148" i="5"/>
  <c r="AD148" i="5"/>
  <c r="AC148" i="5"/>
  <c r="AB148" i="5"/>
  <c r="AA148" i="5"/>
  <c r="Z148" i="5"/>
  <c r="Y148" i="5"/>
  <c r="AR144" i="5"/>
  <c r="AQ144" i="5"/>
  <c r="AP144" i="5"/>
  <c r="AO144" i="5"/>
  <c r="AN144" i="5"/>
  <c r="AM144" i="5"/>
  <c r="AL144" i="5"/>
  <c r="AK144" i="5"/>
  <c r="AJ144" i="5"/>
  <c r="AI144" i="5"/>
  <c r="AH144" i="5"/>
  <c r="AG144" i="5"/>
  <c r="AF144" i="5"/>
  <c r="AE144" i="5"/>
  <c r="AD144" i="5"/>
  <c r="AC144" i="5"/>
  <c r="AB144" i="5"/>
  <c r="AA144" i="5"/>
  <c r="Z144" i="5"/>
  <c r="Y144" i="5"/>
  <c r="AR143" i="5"/>
  <c r="AQ143" i="5"/>
  <c r="AP143" i="5"/>
  <c r="AO143" i="5"/>
  <c r="AN143" i="5"/>
  <c r="AM143" i="5"/>
  <c r="AL143" i="5"/>
  <c r="AK143" i="5"/>
  <c r="AJ143" i="5"/>
  <c r="AI143" i="5"/>
  <c r="AH143" i="5"/>
  <c r="AG143" i="5"/>
  <c r="AF143" i="5"/>
  <c r="AE143" i="5"/>
  <c r="AD143" i="5"/>
  <c r="AC143" i="5"/>
  <c r="AB143" i="5"/>
  <c r="AA143" i="5"/>
  <c r="Z143" i="5"/>
  <c r="Y143" i="5"/>
  <c r="B142" i="5"/>
  <c r="AR141" i="5"/>
  <c r="AQ141" i="5"/>
  <c r="AP141" i="5"/>
  <c r="AO141" i="5"/>
  <c r="AN141" i="5"/>
  <c r="AM141" i="5"/>
  <c r="AL141" i="5"/>
  <c r="AK141" i="5"/>
  <c r="AJ141" i="5"/>
  <c r="AI141" i="5"/>
  <c r="AH141" i="5"/>
  <c r="AG141" i="5"/>
  <c r="AF141" i="5"/>
  <c r="AE141" i="5"/>
  <c r="AD141" i="5"/>
  <c r="AC141" i="5"/>
  <c r="AB141" i="5"/>
  <c r="AA141" i="5"/>
  <c r="Z141" i="5"/>
  <c r="Y141" i="5"/>
  <c r="AR140" i="5"/>
  <c r="AQ140" i="5"/>
  <c r="AP140" i="5"/>
  <c r="AO140" i="5"/>
  <c r="AN140" i="5"/>
  <c r="AM140" i="5"/>
  <c r="AL140" i="5"/>
  <c r="AK140" i="5"/>
  <c r="AJ140" i="5"/>
  <c r="AI140" i="5"/>
  <c r="AH140" i="5"/>
  <c r="AG140" i="5"/>
  <c r="AF140" i="5"/>
  <c r="AE140" i="5"/>
  <c r="AD140" i="5"/>
  <c r="AC140" i="5"/>
  <c r="AB140" i="5"/>
  <c r="AA140" i="5"/>
  <c r="Z140" i="5"/>
  <c r="Y140" i="5"/>
  <c r="AR136" i="5"/>
  <c r="AQ136" i="5"/>
  <c r="AP136" i="5"/>
  <c r="AO136" i="5"/>
  <c r="AN136" i="5"/>
  <c r="AM136" i="5"/>
  <c r="AL136" i="5"/>
  <c r="AK136" i="5"/>
  <c r="AJ136" i="5"/>
  <c r="AI136" i="5"/>
  <c r="AH136" i="5"/>
  <c r="AG136" i="5"/>
  <c r="AF136" i="5"/>
  <c r="AE136" i="5"/>
  <c r="AD136" i="5"/>
  <c r="AC136" i="5"/>
  <c r="AB136" i="5"/>
  <c r="AA136" i="5"/>
  <c r="Z136" i="5"/>
  <c r="Y136" i="5"/>
  <c r="X136" i="5"/>
  <c r="W136" i="5"/>
  <c r="V136" i="5"/>
  <c r="U136" i="5"/>
  <c r="T136" i="5"/>
  <c r="R136" i="5"/>
  <c r="Q136" i="5"/>
  <c r="P136" i="5"/>
  <c r="O136" i="5"/>
  <c r="M136" i="5"/>
  <c r="L136" i="5"/>
  <c r="K136" i="5"/>
  <c r="J136" i="5"/>
  <c r="H136" i="5"/>
  <c r="G136" i="5"/>
  <c r="F136" i="5"/>
  <c r="E136" i="5"/>
  <c r="AR135" i="5"/>
  <c r="AQ135" i="5"/>
  <c r="AP135" i="5"/>
  <c r="AO135" i="5"/>
  <c r="AN135" i="5"/>
  <c r="AM135" i="5"/>
  <c r="AL135" i="5"/>
  <c r="AK135" i="5"/>
  <c r="AJ135" i="5"/>
  <c r="AI135" i="5"/>
  <c r="AH135" i="5"/>
  <c r="AG135" i="5"/>
  <c r="AF135" i="5"/>
  <c r="AE135" i="5"/>
  <c r="AD135" i="5"/>
  <c r="AC135" i="5"/>
  <c r="AB135" i="5"/>
  <c r="AA135" i="5"/>
  <c r="Z135" i="5"/>
  <c r="Y135" i="5"/>
  <c r="X135" i="5"/>
  <c r="W135" i="5"/>
  <c r="V135" i="5"/>
  <c r="U135" i="5"/>
  <c r="T135" i="5"/>
  <c r="R135" i="5"/>
  <c r="Q135" i="5"/>
  <c r="P135" i="5"/>
  <c r="O135" i="5"/>
  <c r="M135" i="5"/>
  <c r="L135" i="5"/>
  <c r="K135" i="5"/>
  <c r="J135" i="5"/>
  <c r="H135" i="5"/>
  <c r="G135" i="5"/>
  <c r="F135" i="5"/>
  <c r="E135" i="5"/>
  <c r="AR132" i="5"/>
  <c r="AQ132" i="5"/>
  <c r="AP132" i="5"/>
  <c r="AO132" i="5"/>
  <c r="AN132" i="5"/>
  <c r="AM132" i="5"/>
  <c r="AL132" i="5"/>
  <c r="AK132" i="5"/>
  <c r="AJ132" i="5"/>
  <c r="AI132" i="5"/>
  <c r="AH132" i="5"/>
  <c r="AG132" i="5"/>
  <c r="AF132" i="5"/>
  <c r="AE132" i="5"/>
  <c r="AD132" i="5"/>
  <c r="AC132" i="5"/>
  <c r="AB132" i="5"/>
  <c r="AA132" i="5"/>
  <c r="Z132" i="5"/>
  <c r="Y132" i="5"/>
  <c r="AR115" i="5"/>
  <c r="AR118" i="5"/>
  <c r="AR119" i="5"/>
  <c r="AR120" i="5"/>
  <c r="AR121" i="5"/>
  <c r="AR130" i="5"/>
  <c r="AQ115" i="5"/>
  <c r="AQ118" i="5"/>
  <c r="AQ119" i="5"/>
  <c r="AQ120" i="5"/>
  <c r="AQ121" i="5"/>
  <c r="AQ130" i="5"/>
  <c r="AP115" i="5"/>
  <c r="AP118" i="5"/>
  <c r="AP119" i="5"/>
  <c r="AP120" i="5"/>
  <c r="AP121" i="5"/>
  <c r="AP130" i="5"/>
  <c r="AO115" i="5"/>
  <c r="AO118" i="5"/>
  <c r="AO119" i="5"/>
  <c r="AO120" i="5"/>
  <c r="AO121" i="5"/>
  <c r="AO130" i="5"/>
  <c r="AN115" i="5"/>
  <c r="AN118" i="5"/>
  <c r="AN119" i="5"/>
  <c r="AN120" i="5"/>
  <c r="AN121" i="5"/>
  <c r="AN130" i="5"/>
  <c r="AM115" i="5"/>
  <c r="AM118" i="5"/>
  <c r="AM119" i="5"/>
  <c r="AM120" i="5"/>
  <c r="AM121" i="5"/>
  <c r="AM130" i="5"/>
  <c r="AL115" i="5"/>
  <c r="AL118" i="5"/>
  <c r="AL119" i="5"/>
  <c r="AL120" i="5"/>
  <c r="AL121" i="5"/>
  <c r="AL130" i="5"/>
  <c r="AK115" i="5"/>
  <c r="AK118" i="5"/>
  <c r="AK119" i="5"/>
  <c r="AK120" i="5"/>
  <c r="AK121" i="5"/>
  <c r="AK130" i="5"/>
  <c r="AJ115" i="5"/>
  <c r="AJ118" i="5"/>
  <c r="AJ119" i="5"/>
  <c r="AJ120" i="5"/>
  <c r="AJ121" i="5"/>
  <c r="AJ130" i="5"/>
  <c r="AI115" i="5"/>
  <c r="AI118" i="5"/>
  <c r="AI119" i="5"/>
  <c r="AI120" i="5"/>
  <c r="AI121" i="5"/>
  <c r="AI130" i="5"/>
  <c r="AH115" i="5"/>
  <c r="AH118" i="5"/>
  <c r="AH119" i="5"/>
  <c r="AH120" i="5"/>
  <c r="AH121" i="5"/>
  <c r="AH130" i="5"/>
  <c r="AG115" i="5"/>
  <c r="AG118" i="5"/>
  <c r="AG119" i="5"/>
  <c r="AG120" i="5"/>
  <c r="AG121" i="5"/>
  <c r="AG130" i="5"/>
  <c r="AF115" i="5"/>
  <c r="AF118" i="5"/>
  <c r="AF119" i="5"/>
  <c r="AF120" i="5"/>
  <c r="AF121" i="5"/>
  <c r="AF130" i="5"/>
  <c r="AE115" i="5"/>
  <c r="AE118" i="5"/>
  <c r="AE119" i="5"/>
  <c r="AE120" i="5"/>
  <c r="AE121" i="5"/>
  <c r="AE130" i="5"/>
  <c r="AD115" i="5"/>
  <c r="AD118" i="5"/>
  <c r="AD119" i="5"/>
  <c r="AD120" i="5"/>
  <c r="AD121" i="5"/>
  <c r="AD130" i="5"/>
  <c r="AC115" i="5"/>
  <c r="AC118" i="5"/>
  <c r="AC119" i="5"/>
  <c r="AC120" i="5"/>
  <c r="AC121" i="5"/>
  <c r="AC130" i="5"/>
  <c r="AB115" i="5"/>
  <c r="AB118" i="5"/>
  <c r="AB119" i="5"/>
  <c r="AB120" i="5"/>
  <c r="AB121" i="5"/>
  <c r="AB130" i="5"/>
  <c r="AA115" i="5"/>
  <c r="AA118" i="5"/>
  <c r="AA119" i="5"/>
  <c r="AA120" i="5"/>
  <c r="AA121" i="5"/>
  <c r="AA130" i="5"/>
  <c r="Z115" i="5"/>
  <c r="Z118" i="5"/>
  <c r="Z119" i="5"/>
  <c r="Z120" i="5"/>
  <c r="Z121" i="5"/>
  <c r="Z130" i="5"/>
  <c r="Y115" i="5"/>
  <c r="Y118" i="5"/>
  <c r="Y119" i="5"/>
  <c r="Y120" i="5"/>
  <c r="Y121" i="5"/>
  <c r="Y130" i="5"/>
  <c r="AR128" i="5"/>
  <c r="AQ128" i="5"/>
  <c r="AP128" i="5"/>
  <c r="AO128" i="5"/>
  <c r="AN128" i="5"/>
  <c r="AM128" i="5"/>
  <c r="AL128" i="5"/>
  <c r="AK128" i="5"/>
  <c r="AJ128" i="5"/>
  <c r="AI128" i="5"/>
  <c r="AH128" i="5"/>
  <c r="AG128" i="5"/>
  <c r="AF128" i="5"/>
  <c r="AE128" i="5"/>
  <c r="AD128" i="5"/>
  <c r="AC128" i="5"/>
  <c r="AB128" i="5"/>
  <c r="AA128" i="5"/>
  <c r="Z128" i="5"/>
  <c r="Y128" i="5"/>
  <c r="AR122" i="5"/>
  <c r="AR114" i="5"/>
  <c r="AR117" i="5"/>
  <c r="AR126" i="5"/>
  <c r="AQ122" i="5"/>
  <c r="AQ114" i="5"/>
  <c r="AQ117" i="5"/>
  <c r="AQ126" i="5"/>
  <c r="AP122" i="5"/>
  <c r="AP114" i="5"/>
  <c r="AP117" i="5"/>
  <c r="AP126" i="5"/>
  <c r="AO122" i="5"/>
  <c r="AO114" i="5"/>
  <c r="AO117" i="5"/>
  <c r="AO126" i="5"/>
  <c r="AN122" i="5"/>
  <c r="AN114" i="5"/>
  <c r="AN117" i="5"/>
  <c r="AN126" i="5"/>
  <c r="AM122" i="5"/>
  <c r="AM114" i="5"/>
  <c r="AM117" i="5"/>
  <c r="AM126" i="5"/>
  <c r="AL122" i="5"/>
  <c r="AL114" i="5"/>
  <c r="AL117" i="5"/>
  <c r="AL126" i="5"/>
  <c r="AK122" i="5"/>
  <c r="AK114" i="5"/>
  <c r="AK117" i="5"/>
  <c r="AK126" i="5"/>
  <c r="AJ122" i="5"/>
  <c r="AJ114" i="5"/>
  <c r="AJ117" i="5"/>
  <c r="AJ126" i="5"/>
  <c r="AI122" i="5"/>
  <c r="AI114" i="5"/>
  <c r="AI117" i="5"/>
  <c r="AI126" i="5"/>
  <c r="AH122" i="5"/>
  <c r="AH114" i="5"/>
  <c r="AH117" i="5"/>
  <c r="AH126" i="5"/>
  <c r="AG122" i="5"/>
  <c r="AG114" i="5"/>
  <c r="AG117" i="5"/>
  <c r="AG126" i="5"/>
  <c r="AF122" i="5"/>
  <c r="AF114" i="5"/>
  <c r="AF117" i="5"/>
  <c r="AF126" i="5"/>
  <c r="AE122" i="5"/>
  <c r="AE114" i="5"/>
  <c r="AE117" i="5"/>
  <c r="AE126" i="5"/>
  <c r="AD122" i="5"/>
  <c r="AD114" i="5"/>
  <c r="AD117" i="5"/>
  <c r="AD126" i="5"/>
  <c r="AC122" i="5"/>
  <c r="AC114" i="5"/>
  <c r="AC117" i="5"/>
  <c r="AC126" i="5"/>
  <c r="AB122" i="5"/>
  <c r="AB114" i="5"/>
  <c r="AB117" i="5"/>
  <c r="AB126" i="5"/>
  <c r="AA122" i="5"/>
  <c r="AA114" i="5"/>
  <c r="AA117" i="5"/>
  <c r="AA126" i="5"/>
  <c r="Z122" i="5"/>
  <c r="Z114" i="5"/>
  <c r="Z117" i="5"/>
  <c r="Z126" i="5"/>
  <c r="Y122" i="5"/>
  <c r="Y114" i="5"/>
  <c r="Y117" i="5"/>
  <c r="Y126" i="5"/>
  <c r="AR112" i="5"/>
  <c r="AQ112" i="5"/>
  <c r="AP112" i="5"/>
  <c r="AO112" i="5"/>
  <c r="AN112" i="5"/>
  <c r="AM112" i="5"/>
  <c r="AL112" i="5"/>
  <c r="AK112" i="5"/>
  <c r="AJ112" i="5"/>
  <c r="AI112" i="5"/>
  <c r="AH112" i="5"/>
  <c r="AG112" i="5"/>
  <c r="AF112" i="5"/>
  <c r="AE112" i="5"/>
  <c r="AD112" i="5"/>
  <c r="AC112" i="5"/>
  <c r="AB112" i="5"/>
  <c r="AA112" i="5"/>
  <c r="Z112" i="5"/>
  <c r="Y112" i="5"/>
  <c r="X112" i="5"/>
  <c r="W112" i="5"/>
  <c r="V112" i="5"/>
  <c r="U112" i="5"/>
  <c r="T112" i="5"/>
  <c r="R112" i="5"/>
  <c r="Q112" i="5"/>
  <c r="P112" i="5"/>
  <c r="O112" i="5"/>
  <c r="M112" i="5"/>
  <c r="L112" i="5"/>
  <c r="K112" i="5"/>
  <c r="J112" i="5"/>
  <c r="H112" i="5"/>
  <c r="G112" i="5"/>
  <c r="F112" i="5"/>
  <c r="E112" i="5"/>
  <c r="C112" i="5"/>
  <c r="AR111" i="5"/>
  <c r="AQ111" i="5"/>
  <c r="AP111" i="5"/>
  <c r="AO111" i="5"/>
  <c r="AN111" i="5"/>
  <c r="AM111" i="5"/>
  <c r="AL111" i="5"/>
  <c r="AK111" i="5"/>
  <c r="AJ111" i="5"/>
  <c r="AI111" i="5"/>
  <c r="AH111" i="5"/>
  <c r="AG111" i="5"/>
  <c r="AF111" i="5"/>
  <c r="AE111" i="5"/>
  <c r="AD111" i="5"/>
  <c r="AC111" i="5"/>
  <c r="AB111" i="5"/>
  <c r="AA111" i="5"/>
  <c r="Z111" i="5"/>
  <c r="Y111" i="5"/>
  <c r="X108" i="5"/>
  <c r="Y105" i="5"/>
  <c r="Y38" i="5"/>
  <c r="Y106" i="5"/>
  <c r="Y107" i="5"/>
  <c r="Y108" i="5"/>
  <c r="Z105" i="5"/>
  <c r="Z38" i="5"/>
  <c r="Z106" i="5"/>
  <c r="Z107" i="5"/>
  <c r="Z108" i="5"/>
  <c r="AA105" i="5"/>
  <c r="AA38" i="5"/>
  <c r="AA106" i="5"/>
  <c r="AA107" i="5"/>
  <c r="AA108" i="5"/>
  <c r="AB105" i="5"/>
  <c r="AB38" i="5"/>
  <c r="AB106" i="5"/>
  <c r="AB107" i="5"/>
  <c r="AB108" i="5"/>
  <c r="AC105" i="5"/>
  <c r="AC38" i="5"/>
  <c r="AC106" i="5"/>
  <c r="AC107" i="5"/>
  <c r="AC108" i="5"/>
  <c r="AD105" i="5"/>
  <c r="AD38" i="5"/>
  <c r="AD106" i="5"/>
  <c r="AD107" i="5"/>
  <c r="AD108" i="5"/>
  <c r="AE105" i="5"/>
  <c r="AE38" i="5"/>
  <c r="AE106" i="5"/>
  <c r="AE107" i="5"/>
  <c r="AE108" i="5"/>
  <c r="AF105" i="5"/>
  <c r="AF38" i="5"/>
  <c r="AF106" i="5"/>
  <c r="AF107" i="5"/>
  <c r="AF108" i="5"/>
  <c r="AG105" i="5"/>
  <c r="AG38" i="5"/>
  <c r="AG106" i="5"/>
  <c r="AG107" i="5"/>
  <c r="AG108" i="5"/>
  <c r="AH105" i="5"/>
  <c r="AH38" i="5"/>
  <c r="AH106" i="5"/>
  <c r="AH107" i="5"/>
  <c r="AH108" i="5"/>
  <c r="AI105" i="5"/>
  <c r="AI38" i="5"/>
  <c r="AI106" i="5"/>
  <c r="AI107" i="5"/>
  <c r="AI108" i="5"/>
  <c r="AJ105" i="5"/>
  <c r="AJ38" i="5"/>
  <c r="AJ106" i="5"/>
  <c r="AJ107" i="5"/>
  <c r="AJ108" i="5"/>
  <c r="AK105" i="5"/>
  <c r="AK38" i="5"/>
  <c r="AK106" i="5"/>
  <c r="AK107" i="5"/>
  <c r="AK108" i="5"/>
  <c r="AL105" i="5"/>
  <c r="AL38" i="5"/>
  <c r="AL106" i="5"/>
  <c r="AL107" i="5"/>
  <c r="AL108" i="5"/>
  <c r="AM105" i="5"/>
  <c r="AM38" i="5"/>
  <c r="AM106" i="5"/>
  <c r="AM107" i="5"/>
  <c r="AM108" i="5"/>
  <c r="AN105" i="5"/>
  <c r="AN38" i="5"/>
  <c r="AN106" i="5"/>
  <c r="AN107" i="5"/>
  <c r="AN108" i="5"/>
  <c r="AO105" i="5"/>
  <c r="AO38" i="5"/>
  <c r="AO106" i="5"/>
  <c r="AO107" i="5"/>
  <c r="AO108" i="5"/>
  <c r="AP105" i="5"/>
  <c r="AP38" i="5"/>
  <c r="AP106" i="5"/>
  <c r="AP107" i="5"/>
  <c r="AP108" i="5"/>
  <c r="AQ105" i="5"/>
  <c r="AQ38" i="5"/>
  <c r="AQ106" i="5"/>
  <c r="AQ107" i="5"/>
  <c r="AQ108" i="5"/>
  <c r="AR105" i="5"/>
  <c r="AR38" i="5"/>
  <c r="AR106" i="5"/>
  <c r="AR107" i="5"/>
  <c r="AR108" i="5"/>
  <c r="Y100" i="5"/>
  <c r="Y103" i="5"/>
  <c r="Z100" i="5"/>
  <c r="Z103" i="5"/>
  <c r="AA100" i="5"/>
  <c r="AA103" i="5"/>
  <c r="AB100" i="5"/>
  <c r="AB103" i="5"/>
  <c r="AC100" i="5"/>
  <c r="AC103" i="5"/>
  <c r="AD100" i="5"/>
  <c r="AD103" i="5"/>
  <c r="AE100" i="5"/>
  <c r="AE103" i="5"/>
  <c r="AF100" i="5"/>
  <c r="AF103" i="5"/>
  <c r="AG100" i="5"/>
  <c r="AG103" i="5"/>
  <c r="AH100" i="5"/>
  <c r="AH103" i="5"/>
  <c r="AI100" i="5"/>
  <c r="AI103" i="5"/>
  <c r="AJ100" i="5"/>
  <c r="AJ103" i="5"/>
  <c r="AK100" i="5"/>
  <c r="AK103" i="5"/>
  <c r="AL100" i="5"/>
  <c r="AL103" i="5"/>
  <c r="AM100" i="5"/>
  <c r="AM103" i="5"/>
  <c r="AN100" i="5"/>
  <c r="AN103" i="5"/>
  <c r="AO100" i="5"/>
  <c r="AO103" i="5"/>
  <c r="AP100" i="5"/>
  <c r="AP103" i="5"/>
  <c r="AQ100" i="5"/>
  <c r="AQ103" i="5"/>
  <c r="AR100" i="5"/>
  <c r="AR103" i="5"/>
  <c r="AR101" i="5"/>
  <c r="AR102" i="5"/>
  <c r="AQ101" i="5"/>
  <c r="AQ102" i="5"/>
  <c r="AP101" i="5"/>
  <c r="AP102" i="5"/>
  <c r="AO101" i="5"/>
  <c r="AO102" i="5"/>
  <c r="AN101" i="5"/>
  <c r="AN102" i="5"/>
  <c r="AM101" i="5"/>
  <c r="AM102" i="5"/>
  <c r="AL101" i="5"/>
  <c r="AL102" i="5"/>
  <c r="AK101" i="5"/>
  <c r="AK102" i="5"/>
  <c r="AJ101" i="5"/>
  <c r="AJ102" i="5"/>
  <c r="AI101" i="5"/>
  <c r="AI102" i="5"/>
  <c r="AH101" i="5"/>
  <c r="AH102" i="5"/>
  <c r="AG101" i="5"/>
  <c r="AG102" i="5"/>
  <c r="AF101" i="5"/>
  <c r="AF102" i="5"/>
  <c r="AE101" i="5"/>
  <c r="AE102" i="5"/>
  <c r="AD101" i="5"/>
  <c r="AD102" i="5"/>
  <c r="AC101" i="5"/>
  <c r="AC102" i="5"/>
  <c r="AB101" i="5"/>
  <c r="AB102" i="5"/>
  <c r="AA101" i="5"/>
  <c r="AA102" i="5"/>
  <c r="Z101" i="5"/>
  <c r="Z102" i="5"/>
  <c r="Y101" i="5"/>
  <c r="Y102" i="5"/>
  <c r="AM84" i="5"/>
  <c r="AM86" i="5"/>
  <c r="AR96" i="5"/>
  <c r="AL84" i="5"/>
  <c r="AL86" i="5"/>
  <c r="AQ96" i="5"/>
  <c r="AK84" i="5"/>
  <c r="AK86" i="5"/>
  <c r="AP96" i="5"/>
  <c r="AJ84" i="5"/>
  <c r="AJ86" i="5"/>
  <c r="AO96" i="5"/>
  <c r="AI84" i="5"/>
  <c r="AI86" i="5"/>
  <c r="AN96" i="5"/>
  <c r="AH84" i="5"/>
  <c r="AH86" i="5"/>
  <c r="AM96" i="5"/>
  <c r="AG84" i="5"/>
  <c r="AG86" i="5"/>
  <c r="AL96" i="5"/>
  <c r="AF84" i="5"/>
  <c r="AF86" i="5"/>
  <c r="AK96" i="5"/>
  <c r="AE84" i="5"/>
  <c r="AE86" i="5"/>
  <c r="AJ96" i="5"/>
  <c r="AD84" i="5"/>
  <c r="AD86" i="5"/>
  <c r="AI96" i="5"/>
  <c r="AC84" i="5"/>
  <c r="AC86" i="5"/>
  <c r="AH96" i="5"/>
  <c r="AB84" i="5"/>
  <c r="AB86" i="5"/>
  <c r="AG96" i="5"/>
  <c r="AA84" i="5"/>
  <c r="AA86" i="5"/>
  <c r="AF96" i="5"/>
  <c r="Z84" i="5"/>
  <c r="Z86" i="5"/>
  <c r="AE96" i="5"/>
  <c r="Y84" i="5"/>
  <c r="Y86" i="5"/>
  <c r="AD96" i="5"/>
  <c r="D57" i="5"/>
  <c r="T84" i="5"/>
  <c r="T42" i="5"/>
  <c r="T43" i="5"/>
  <c r="T44" i="5"/>
  <c r="T45" i="5"/>
  <c r="T46" i="5"/>
  <c r="T47" i="5"/>
  <c r="T48" i="5"/>
  <c r="T49" i="5"/>
  <c r="T50" i="5"/>
  <c r="T51" i="5"/>
  <c r="T52" i="5"/>
  <c r="T53" i="5"/>
  <c r="T54" i="5"/>
  <c r="T55" i="5"/>
  <c r="T56" i="5"/>
  <c r="T57" i="5"/>
  <c r="T58" i="5"/>
  <c r="T59" i="5"/>
  <c r="T60" i="5"/>
  <c r="T61" i="5"/>
  <c r="T62" i="5"/>
  <c r="T63" i="5"/>
  <c r="T64" i="5"/>
  <c r="T65" i="5"/>
  <c r="T66" i="5"/>
  <c r="T67" i="5"/>
  <c r="T68" i="5"/>
  <c r="T69" i="5"/>
  <c r="T70" i="5"/>
  <c r="T71" i="5"/>
  <c r="T72" i="5"/>
  <c r="T73" i="5"/>
  <c r="T74" i="5"/>
  <c r="T75" i="5"/>
  <c r="T76" i="5"/>
  <c r="T77" i="5"/>
  <c r="T78" i="5"/>
  <c r="T79" i="5"/>
  <c r="T80" i="5"/>
  <c r="T81" i="5"/>
  <c r="T82" i="5"/>
  <c r="T85" i="5"/>
  <c r="D58" i="5"/>
  <c r="U84" i="5"/>
  <c r="U42" i="5"/>
  <c r="U43" i="5"/>
  <c r="U44" i="5"/>
  <c r="U45" i="5"/>
  <c r="U46" i="5"/>
  <c r="U47" i="5"/>
  <c r="U48" i="5"/>
  <c r="U49" i="5"/>
  <c r="U50" i="5"/>
  <c r="U51" i="5"/>
  <c r="U52" i="5"/>
  <c r="U53" i="5"/>
  <c r="U54" i="5"/>
  <c r="U55" i="5"/>
  <c r="U56" i="5"/>
  <c r="U57" i="5"/>
  <c r="U58" i="5"/>
  <c r="U59" i="5"/>
  <c r="U60" i="5"/>
  <c r="U61" i="5"/>
  <c r="U62" i="5"/>
  <c r="U63" i="5"/>
  <c r="U64" i="5"/>
  <c r="U65" i="5"/>
  <c r="U66" i="5"/>
  <c r="U67" i="5"/>
  <c r="U68" i="5"/>
  <c r="U69" i="5"/>
  <c r="U70" i="5"/>
  <c r="U71" i="5"/>
  <c r="U72" i="5"/>
  <c r="U73" i="5"/>
  <c r="U74" i="5"/>
  <c r="U75" i="5"/>
  <c r="U76" i="5"/>
  <c r="U77" i="5"/>
  <c r="U78" i="5"/>
  <c r="U79" i="5"/>
  <c r="U80" i="5"/>
  <c r="U81" i="5"/>
  <c r="U82" i="5"/>
  <c r="U85" i="5"/>
  <c r="D59" i="5"/>
  <c r="V84" i="5"/>
  <c r="V42" i="5"/>
  <c r="V43" i="5"/>
  <c r="V44" i="5"/>
  <c r="V45" i="5"/>
  <c r="V46" i="5"/>
  <c r="V47" i="5"/>
  <c r="V48" i="5"/>
  <c r="V49" i="5"/>
  <c r="V50" i="5"/>
  <c r="V51" i="5"/>
  <c r="V52" i="5"/>
  <c r="V53" i="5"/>
  <c r="V54" i="5"/>
  <c r="V55" i="5"/>
  <c r="V56" i="5"/>
  <c r="V57" i="5"/>
  <c r="V58" i="5"/>
  <c r="V59" i="5"/>
  <c r="V60" i="5"/>
  <c r="V61" i="5"/>
  <c r="V62" i="5"/>
  <c r="V63" i="5"/>
  <c r="V64" i="5"/>
  <c r="V65" i="5"/>
  <c r="V66" i="5"/>
  <c r="V67" i="5"/>
  <c r="V68" i="5"/>
  <c r="V69" i="5"/>
  <c r="V70" i="5"/>
  <c r="V71" i="5"/>
  <c r="V72" i="5"/>
  <c r="V73" i="5"/>
  <c r="V74" i="5"/>
  <c r="V75" i="5"/>
  <c r="V76" i="5"/>
  <c r="V77" i="5"/>
  <c r="V78" i="5"/>
  <c r="V79" i="5"/>
  <c r="V80" i="5"/>
  <c r="V81" i="5"/>
  <c r="V82" i="5"/>
  <c r="V85" i="5"/>
  <c r="D60" i="5"/>
  <c r="W84" i="5"/>
  <c r="W42" i="5"/>
  <c r="W43" i="5"/>
  <c r="W44" i="5"/>
  <c r="W45" i="5"/>
  <c r="W46" i="5"/>
  <c r="W47" i="5"/>
  <c r="W48" i="5"/>
  <c r="W49" i="5"/>
  <c r="W50" i="5"/>
  <c r="W51" i="5"/>
  <c r="W52" i="5"/>
  <c r="W53" i="5"/>
  <c r="W54" i="5"/>
  <c r="W55" i="5"/>
  <c r="W56" i="5"/>
  <c r="W57" i="5"/>
  <c r="W58" i="5"/>
  <c r="W59" i="5"/>
  <c r="W60" i="5"/>
  <c r="W61" i="5"/>
  <c r="W62" i="5"/>
  <c r="W63" i="5"/>
  <c r="W64" i="5"/>
  <c r="W65" i="5"/>
  <c r="W66" i="5"/>
  <c r="W67" i="5"/>
  <c r="W68" i="5"/>
  <c r="W69" i="5"/>
  <c r="W70" i="5"/>
  <c r="W71" i="5"/>
  <c r="W72" i="5"/>
  <c r="W73" i="5"/>
  <c r="W74" i="5"/>
  <c r="W75" i="5"/>
  <c r="W76" i="5"/>
  <c r="W77" i="5"/>
  <c r="W78" i="5"/>
  <c r="W79" i="5"/>
  <c r="W80" i="5"/>
  <c r="W81" i="5"/>
  <c r="W82" i="5"/>
  <c r="W85" i="5"/>
  <c r="D61" i="5"/>
  <c r="X84" i="5"/>
  <c r="X86" i="5"/>
  <c r="AC96" i="5"/>
  <c r="W86" i="5"/>
  <c r="AB96" i="5"/>
  <c r="V86" i="5"/>
  <c r="AA96" i="5"/>
  <c r="U86" i="5"/>
  <c r="Z96" i="5"/>
  <c r="T86" i="5"/>
  <c r="Y96" i="5"/>
  <c r="AM42" i="5"/>
  <c r="AM43" i="5"/>
  <c r="AM44" i="5"/>
  <c r="AM45" i="5"/>
  <c r="AM46" i="5"/>
  <c r="AM47" i="5"/>
  <c r="AM48" i="5"/>
  <c r="AM49" i="5"/>
  <c r="AM50" i="5"/>
  <c r="AM51" i="5"/>
  <c r="AM52" i="5"/>
  <c r="AM53" i="5"/>
  <c r="AM54" i="5"/>
  <c r="AM55" i="5"/>
  <c r="AM56" i="5"/>
  <c r="AM57" i="5"/>
  <c r="AM58" i="5"/>
  <c r="AM59" i="5"/>
  <c r="AM60" i="5"/>
  <c r="AM61" i="5"/>
  <c r="AM62" i="5"/>
  <c r="AM63" i="5"/>
  <c r="AM64" i="5"/>
  <c r="AM65" i="5"/>
  <c r="AM66" i="5"/>
  <c r="AM67" i="5"/>
  <c r="AM68" i="5"/>
  <c r="AM69" i="5"/>
  <c r="AM70" i="5"/>
  <c r="AM71" i="5"/>
  <c r="AM72" i="5"/>
  <c r="AM73" i="5"/>
  <c r="AM74" i="5"/>
  <c r="AM75" i="5"/>
  <c r="AM76" i="5"/>
  <c r="AM77" i="5"/>
  <c r="AM78" i="5"/>
  <c r="AM79" i="5"/>
  <c r="AM80" i="5"/>
  <c r="AM81" i="5"/>
  <c r="AM82" i="5"/>
  <c r="AM85" i="5"/>
  <c r="AR95" i="5"/>
  <c r="AL42" i="5"/>
  <c r="AL43" i="5"/>
  <c r="AL44" i="5"/>
  <c r="AL45" i="5"/>
  <c r="AL46" i="5"/>
  <c r="AL47" i="5"/>
  <c r="AL48" i="5"/>
  <c r="AL49" i="5"/>
  <c r="AL50" i="5"/>
  <c r="AL51" i="5"/>
  <c r="AL52" i="5"/>
  <c r="AL53" i="5"/>
  <c r="AL54" i="5"/>
  <c r="AL55" i="5"/>
  <c r="AL56" i="5"/>
  <c r="AL57" i="5"/>
  <c r="AL58" i="5"/>
  <c r="AL59" i="5"/>
  <c r="AL60" i="5"/>
  <c r="AL61" i="5"/>
  <c r="AL62" i="5"/>
  <c r="AL63" i="5"/>
  <c r="AL64" i="5"/>
  <c r="AL65" i="5"/>
  <c r="AL66" i="5"/>
  <c r="AL67" i="5"/>
  <c r="AL68" i="5"/>
  <c r="AL69" i="5"/>
  <c r="AL70" i="5"/>
  <c r="AL71" i="5"/>
  <c r="AL72" i="5"/>
  <c r="AL73" i="5"/>
  <c r="AL74" i="5"/>
  <c r="AL75" i="5"/>
  <c r="AL76" i="5"/>
  <c r="AL77" i="5"/>
  <c r="AL78" i="5"/>
  <c r="AL79" i="5"/>
  <c r="AL80" i="5"/>
  <c r="AL81" i="5"/>
  <c r="AL82" i="5"/>
  <c r="AL85" i="5"/>
  <c r="AQ95" i="5"/>
  <c r="AK42" i="5"/>
  <c r="AK43" i="5"/>
  <c r="AK44" i="5"/>
  <c r="AK45" i="5"/>
  <c r="AK46" i="5"/>
  <c r="AK47" i="5"/>
  <c r="AK48" i="5"/>
  <c r="AK49" i="5"/>
  <c r="AK50" i="5"/>
  <c r="AK51" i="5"/>
  <c r="AK52" i="5"/>
  <c r="AK53" i="5"/>
  <c r="AK54" i="5"/>
  <c r="AK55" i="5"/>
  <c r="AK56" i="5"/>
  <c r="AK57" i="5"/>
  <c r="AK58" i="5"/>
  <c r="AK59" i="5"/>
  <c r="AK60" i="5"/>
  <c r="AK61" i="5"/>
  <c r="AK62" i="5"/>
  <c r="AK63" i="5"/>
  <c r="AK64" i="5"/>
  <c r="AK65" i="5"/>
  <c r="AK66" i="5"/>
  <c r="AK67" i="5"/>
  <c r="AK68" i="5"/>
  <c r="AK69" i="5"/>
  <c r="AK70" i="5"/>
  <c r="AK71" i="5"/>
  <c r="AK72" i="5"/>
  <c r="AK73" i="5"/>
  <c r="AK74" i="5"/>
  <c r="AK75" i="5"/>
  <c r="AK76" i="5"/>
  <c r="AK77" i="5"/>
  <c r="AK78" i="5"/>
  <c r="AK79" i="5"/>
  <c r="AK80" i="5"/>
  <c r="AK81" i="5"/>
  <c r="AK82" i="5"/>
  <c r="AK85" i="5"/>
  <c r="AP95" i="5"/>
  <c r="AJ42" i="5"/>
  <c r="AJ43" i="5"/>
  <c r="AJ44" i="5"/>
  <c r="AJ45" i="5"/>
  <c r="AJ46" i="5"/>
  <c r="AJ47" i="5"/>
  <c r="AJ48" i="5"/>
  <c r="AJ49" i="5"/>
  <c r="AJ50" i="5"/>
  <c r="AJ51" i="5"/>
  <c r="AJ52" i="5"/>
  <c r="AJ53" i="5"/>
  <c r="AJ54" i="5"/>
  <c r="AJ55" i="5"/>
  <c r="AJ56" i="5"/>
  <c r="AJ57" i="5"/>
  <c r="AJ58" i="5"/>
  <c r="AJ59" i="5"/>
  <c r="AJ60" i="5"/>
  <c r="AJ61" i="5"/>
  <c r="AJ62" i="5"/>
  <c r="AJ63" i="5"/>
  <c r="AJ64" i="5"/>
  <c r="AJ65" i="5"/>
  <c r="AJ66" i="5"/>
  <c r="AJ67" i="5"/>
  <c r="AJ68" i="5"/>
  <c r="AJ69" i="5"/>
  <c r="AJ70" i="5"/>
  <c r="AJ71" i="5"/>
  <c r="AJ72" i="5"/>
  <c r="AJ73" i="5"/>
  <c r="AJ74" i="5"/>
  <c r="AJ75" i="5"/>
  <c r="AJ76" i="5"/>
  <c r="AJ77" i="5"/>
  <c r="AJ78" i="5"/>
  <c r="AJ79" i="5"/>
  <c r="AJ80" i="5"/>
  <c r="AJ81" i="5"/>
  <c r="AJ82" i="5"/>
  <c r="AJ85" i="5"/>
  <c r="AO95" i="5"/>
  <c r="AI42" i="5"/>
  <c r="AI43" i="5"/>
  <c r="AI44" i="5"/>
  <c r="AI45" i="5"/>
  <c r="AI46" i="5"/>
  <c r="AI47" i="5"/>
  <c r="AI48" i="5"/>
  <c r="AI49" i="5"/>
  <c r="AI50" i="5"/>
  <c r="AI51" i="5"/>
  <c r="AI52" i="5"/>
  <c r="AI53" i="5"/>
  <c r="AI54" i="5"/>
  <c r="AI55" i="5"/>
  <c r="AI56" i="5"/>
  <c r="AI57" i="5"/>
  <c r="AI58" i="5"/>
  <c r="AI59" i="5"/>
  <c r="AI60" i="5"/>
  <c r="AI61" i="5"/>
  <c r="AI62" i="5"/>
  <c r="AI63" i="5"/>
  <c r="AI64" i="5"/>
  <c r="AI65" i="5"/>
  <c r="AI66" i="5"/>
  <c r="AI67" i="5"/>
  <c r="AI68" i="5"/>
  <c r="AI69" i="5"/>
  <c r="AI70" i="5"/>
  <c r="AI71" i="5"/>
  <c r="AI72" i="5"/>
  <c r="AI73" i="5"/>
  <c r="AI74" i="5"/>
  <c r="AI75" i="5"/>
  <c r="AI76" i="5"/>
  <c r="AI77" i="5"/>
  <c r="AI78" i="5"/>
  <c r="AI79" i="5"/>
  <c r="AI80" i="5"/>
  <c r="AI81" i="5"/>
  <c r="AI82" i="5"/>
  <c r="AI85" i="5"/>
  <c r="AN95" i="5"/>
  <c r="AH42" i="5"/>
  <c r="AH43" i="5"/>
  <c r="AH44" i="5"/>
  <c r="AH45" i="5"/>
  <c r="AH46" i="5"/>
  <c r="AH47" i="5"/>
  <c r="AH48" i="5"/>
  <c r="AH49" i="5"/>
  <c r="AH50" i="5"/>
  <c r="AH51" i="5"/>
  <c r="AH52" i="5"/>
  <c r="AH53" i="5"/>
  <c r="AH54" i="5"/>
  <c r="AH55" i="5"/>
  <c r="AH56" i="5"/>
  <c r="AH57" i="5"/>
  <c r="AH58" i="5"/>
  <c r="AH59" i="5"/>
  <c r="AH60" i="5"/>
  <c r="AH61" i="5"/>
  <c r="AH62" i="5"/>
  <c r="AH63" i="5"/>
  <c r="AH64" i="5"/>
  <c r="AH65" i="5"/>
  <c r="AH66" i="5"/>
  <c r="AH67" i="5"/>
  <c r="AH68" i="5"/>
  <c r="AH69" i="5"/>
  <c r="AH70" i="5"/>
  <c r="AH71" i="5"/>
  <c r="AH72" i="5"/>
  <c r="AH73" i="5"/>
  <c r="AH74" i="5"/>
  <c r="AH75" i="5"/>
  <c r="AH76" i="5"/>
  <c r="AH77" i="5"/>
  <c r="AH78" i="5"/>
  <c r="AH79" i="5"/>
  <c r="AH80" i="5"/>
  <c r="AH81" i="5"/>
  <c r="AH82" i="5"/>
  <c r="AH85" i="5"/>
  <c r="AM95" i="5"/>
  <c r="AG42" i="5"/>
  <c r="AG43" i="5"/>
  <c r="AG44" i="5"/>
  <c r="AG45" i="5"/>
  <c r="AG46" i="5"/>
  <c r="AG47" i="5"/>
  <c r="AG48" i="5"/>
  <c r="AG49" i="5"/>
  <c r="AG50" i="5"/>
  <c r="AG51" i="5"/>
  <c r="AG52" i="5"/>
  <c r="AG53" i="5"/>
  <c r="AG54" i="5"/>
  <c r="AG55" i="5"/>
  <c r="AG56" i="5"/>
  <c r="AG57" i="5"/>
  <c r="AG58" i="5"/>
  <c r="AG59" i="5"/>
  <c r="AG60" i="5"/>
  <c r="AG61" i="5"/>
  <c r="AG62" i="5"/>
  <c r="AG63" i="5"/>
  <c r="AG64" i="5"/>
  <c r="AG65" i="5"/>
  <c r="AG66" i="5"/>
  <c r="AG67" i="5"/>
  <c r="AG68" i="5"/>
  <c r="AG69" i="5"/>
  <c r="AG70" i="5"/>
  <c r="AG71" i="5"/>
  <c r="AG72" i="5"/>
  <c r="AG73" i="5"/>
  <c r="AG74" i="5"/>
  <c r="AG75" i="5"/>
  <c r="AG76" i="5"/>
  <c r="AG77" i="5"/>
  <c r="AG78" i="5"/>
  <c r="AG79" i="5"/>
  <c r="AG80" i="5"/>
  <c r="AG81" i="5"/>
  <c r="AG82" i="5"/>
  <c r="AG85" i="5"/>
  <c r="AL95" i="5"/>
  <c r="AF42" i="5"/>
  <c r="AF43" i="5"/>
  <c r="AF44" i="5"/>
  <c r="AF45" i="5"/>
  <c r="AF46" i="5"/>
  <c r="AF47" i="5"/>
  <c r="AF48" i="5"/>
  <c r="AF49" i="5"/>
  <c r="AF50" i="5"/>
  <c r="AF51" i="5"/>
  <c r="AF52" i="5"/>
  <c r="AF53" i="5"/>
  <c r="AF54" i="5"/>
  <c r="AF55" i="5"/>
  <c r="AF56" i="5"/>
  <c r="AF57" i="5"/>
  <c r="AF58" i="5"/>
  <c r="AF59" i="5"/>
  <c r="AF60" i="5"/>
  <c r="AF61" i="5"/>
  <c r="AF62" i="5"/>
  <c r="AF63" i="5"/>
  <c r="AF64" i="5"/>
  <c r="AF65" i="5"/>
  <c r="AF66" i="5"/>
  <c r="AF67" i="5"/>
  <c r="AF68" i="5"/>
  <c r="AF69" i="5"/>
  <c r="AF70" i="5"/>
  <c r="AF71" i="5"/>
  <c r="AF72" i="5"/>
  <c r="AF73" i="5"/>
  <c r="AF74" i="5"/>
  <c r="AF75" i="5"/>
  <c r="AF76" i="5"/>
  <c r="AF77" i="5"/>
  <c r="AF78" i="5"/>
  <c r="AF79" i="5"/>
  <c r="AF80" i="5"/>
  <c r="AF81" i="5"/>
  <c r="AF82" i="5"/>
  <c r="AF85" i="5"/>
  <c r="AK95" i="5"/>
  <c r="AE42" i="5"/>
  <c r="AE43" i="5"/>
  <c r="AE44" i="5"/>
  <c r="AE45" i="5"/>
  <c r="AE46" i="5"/>
  <c r="AE47" i="5"/>
  <c r="AE48" i="5"/>
  <c r="AE49" i="5"/>
  <c r="AE50" i="5"/>
  <c r="AE51" i="5"/>
  <c r="AE52" i="5"/>
  <c r="AE53" i="5"/>
  <c r="AE54" i="5"/>
  <c r="AE55" i="5"/>
  <c r="AE56" i="5"/>
  <c r="AE57" i="5"/>
  <c r="AE58" i="5"/>
  <c r="AE59" i="5"/>
  <c r="AE60" i="5"/>
  <c r="AE61" i="5"/>
  <c r="AE62" i="5"/>
  <c r="AE63" i="5"/>
  <c r="AE64" i="5"/>
  <c r="AE65" i="5"/>
  <c r="AE66" i="5"/>
  <c r="AE67" i="5"/>
  <c r="AE68" i="5"/>
  <c r="AE69" i="5"/>
  <c r="AE70" i="5"/>
  <c r="AE71" i="5"/>
  <c r="AE72" i="5"/>
  <c r="AE73" i="5"/>
  <c r="AE74" i="5"/>
  <c r="AE75" i="5"/>
  <c r="AE76" i="5"/>
  <c r="AE77" i="5"/>
  <c r="AE78" i="5"/>
  <c r="AE79" i="5"/>
  <c r="AE80" i="5"/>
  <c r="AE81" i="5"/>
  <c r="AE82" i="5"/>
  <c r="AE85" i="5"/>
  <c r="AJ95" i="5"/>
  <c r="AD42" i="5"/>
  <c r="AD43" i="5"/>
  <c r="AD44" i="5"/>
  <c r="AD45" i="5"/>
  <c r="AD46" i="5"/>
  <c r="AD47" i="5"/>
  <c r="AD48" i="5"/>
  <c r="AD49" i="5"/>
  <c r="AD50" i="5"/>
  <c r="AD51" i="5"/>
  <c r="AD52" i="5"/>
  <c r="AD53" i="5"/>
  <c r="AD54" i="5"/>
  <c r="AD55" i="5"/>
  <c r="AD56" i="5"/>
  <c r="AD57" i="5"/>
  <c r="AD58" i="5"/>
  <c r="AD59" i="5"/>
  <c r="AD60" i="5"/>
  <c r="AD61" i="5"/>
  <c r="AD62" i="5"/>
  <c r="AD63" i="5"/>
  <c r="AD64" i="5"/>
  <c r="AD65" i="5"/>
  <c r="AD66" i="5"/>
  <c r="AD67" i="5"/>
  <c r="AD68" i="5"/>
  <c r="AD69" i="5"/>
  <c r="AD70" i="5"/>
  <c r="AD71" i="5"/>
  <c r="AD72" i="5"/>
  <c r="AD73" i="5"/>
  <c r="AD74" i="5"/>
  <c r="AD75" i="5"/>
  <c r="AD76" i="5"/>
  <c r="AD77" i="5"/>
  <c r="AD78" i="5"/>
  <c r="AD79" i="5"/>
  <c r="AD80" i="5"/>
  <c r="AD81" i="5"/>
  <c r="AD82" i="5"/>
  <c r="AD85" i="5"/>
  <c r="AI95" i="5"/>
  <c r="AC42" i="5"/>
  <c r="AC43" i="5"/>
  <c r="AC44" i="5"/>
  <c r="AC45" i="5"/>
  <c r="AC46" i="5"/>
  <c r="AC47" i="5"/>
  <c r="AC48" i="5"/>
  <c r="AC49" i="5"/>
  <c r="AC50" i="5"/>
  <c r="AC51" i="5"/>
  <c r="AC52" i="5"/>
  <c r="AC53" i="5"/>
  <c r="AC54" i="5"/>
  <c r="AC55" i="5"/>
  <c r="AC56" i="5"/>
  <c r="AC57" i="5"/>
  <c r="AC58" i="5"/>
  <c r="AC59" i="5"/>
  <c r="AC60" i="5"/>
  <c r="AC61" i="5"/>
  <c r="AC62" i="5"/>
  <c r="AC63" i="5"/>
  <c r="AC64" i="5"/>
  <c r="AC65" i="5"/>
  <c r="AC66" i="5"/>
  <c r="AC67" i="5"/>
  <c r="AC68" i="5"/>
  <c r="AC69" i="5"/>
  <c r="AC70" i="5"/>
  <c r="AC71" i="5"/>
  <c r="AC72" i="5"/>
  <c r="AC73" i="5"/>
  <c r="AC74" i="5"/>
  <c r="AC75" i="5"/>
  <c r="AC76" i="5"/>
  <c r="AC77" i="5"/>
  <c r="AC78" i="5"/>
  <c r="AC79" i="5"/>
  <c r="AC80" i="5"/>
  <c r="AC81" i="5"/>
  <c r="AC82" i="5"/>
  <c r="AC85" i="5"/>
  <c r="AH95" i="5"/>
  <c r="AB42" i="5"/>
  <c r="AB43" i="5"/>
  <c r="AB44" i="5"/>
  <c r="AB45" i="5"/>
  <c r="AB46" i="5"/>
  <c r="AB47" i="5"/>
  <c r="AB48" i="5"/>
  <c r="AB49" i="5"/>
  <c r="AB50" i="5"/>
  <c r="AB51" i="5"/>
  <c r="AB52" i="5"/>
  <c r="AB53" i="5"/>
  <c r="AB54" i="5"/>
  <c r="AB55" i="5"/>
  <c r="AB56" i="5"/>
  <c r="AB57" i="5"/>
  <c r="AB58" i="5"/>
  <c r="AB59" i="5"/>
  <c r="AB60" i="5"/>
  <c r="AB61" i="5"/>
  <c r="AB62" i="5"/>
  <c r="AB63" i="5"/>
  <c r="AB64" i="5"/>
  <c r="AB65" i="5"/>
  <c r="AB66" i="5"/>
  <c r="AB67" i="5"/>
  <c r="AB68" i="5"/>
  <c r="AB69" i="5"/>
  <c r="AB70" i="5"/>
  <c r="AB71" i="5"/>
  <c r="AB72" i="5"/>
  <c r="AB73" i="5"/>
  <c r="AB74" i="5"/>
  <c r="AB75" i="5"/>
  <c r="AB76" i="5"/>
  <c r="AB77" i="5"/>
  <c r="AB78" i="5"/>
  <c r="AB79" i="5"/>
  <c r="AB80" i="5"/>
  <c r="AB81" i="5"/>
  <c r="AB82" i="5"/>
  <c r="AB85" i="5"/>
  <c r="AG95" i="5"/>
  <c r="AA42" i="5"/>
  <c r="AA43" i="5"/>
  <c r="AA44" i="5"/>
  <c r="AA45" i="5"/>
  <c r="AA46" i="5"/>
  <c r="AA47" i="5"/>
  <c r="AA48" i="5"/>
  <c r="AA49" i="5"/>
  <c r="AA50" i="5"/>
  <c r="AA51" i="5"/>
  <c r="AA52" i="5"/>
  <c r="AA53" i="5"/>
  <c r="AA54" i="5"/>
  <c r="AA55" i="5"/>
  <c r="AA56" i="5"/>
  <c r="AA57" i="5"/>
  <c r="AA58" i="5"/>
  <c r="AA59" i="5"/>
  <c r="AA60" i="5"/>
  <c r="AA61" i="5"/>
  <c r="AA62" i="5"/>
  <c r="AA63" i="5"/>
  <c r="AA64" i="5"/>
  <c r="AA65" i="5"/>
  <c r="AA66" i="5"/>
  <c r="AA67" i="5"/>
  <c r="AA68" i="5"/>
  <c r="AA69" i="5"/>
  <c r="AA70" i="5"/>
  <c r="AA71" i="5"/>
  <c r="AA72" i="5"/>
  <c r="AA73" i="5"/>
  <c r="AA74" i="5"/>
  <c r="AA75" i="5"/>
  <c r="AA76" i="5"/>
  <c r="AA77" i="5"/>
  <c r="AA78" i="5"/>
  <c r="AA79" i="5"/>
  <c r="AA80" i="5"/>
  <c r="AA81" i="5"/>
  <c r="AA82" i="5"/>
  <c r="AA85" i="5"/>
  <c r="AF95" i="5"/>
  <c r="Z42" i="5"/>
  <c r="Z43" i="5"/>
  <c r="Z44" i="5"/>
  <c r="Z45" i="5"/>
  <c r="Z46" i="5"/>
  <c r="Z47" i="5"/>
  <c r="Z48" i="5"/>
  <c r="Z49" i="5"/>
  <c r="Z50" i="5"/>
  <c r="Z51" i="5"/>
  <c r="Z52" i="5"/>
  <c r="Z53" i="5"/>
  <c r="Z54" i="5"/>
  <c r="Z55" i="5"/>
  <c r="Z56" i="5"/>
  <c r="Z57" i="5"/>
  <c r="Z58" i="5"/>
  <c r="Z59" i="5"/>
  <c r="Z60" i="5"/>
  <c r="Z61" i="5"/>
  <c r="Z62" i="5"/>
  <c r="Z63" i="5"/>
  <c r="Z64" i="5"/>
  <c r="Z65" i="5"/>
  <c r="Z66" i="5"/>
  <c r="Z67" i="5"/>
  <c r="Z68" i="5"/>
  <c r="Z69" i="5"/>
  <c r="Z70" i="5"/>
  <c r="Z71" i="5"/>
  <c r="Z72" i="5"/>
  <c r="Z73" i="5"/>
  <c r="Z74" i="5"/>
  <c r="Z75" i="5"/>
  <c r="Z76" i="5"/>
  <c r="Z77" i="5"/>
  <c r="Z78" i="5"/>
  <c r="Z79" i="5"/>
  <c r="Z80" i="5"/>
  <c r="Z81" i="5"/>
  <c r="Z82" i="5"/>
  <c r="Z85" i="5"/>
  <c r="AE95" i="5"/>
  <c r="Y42" i="5"/>
  <c r="Y43" i="5"/>
  <c r="Y44" i="5"/>
  <c r="Y45" i="5"/>
  <c r="Y46" i="5"/>
  <c r="Y47" i="5"/>
  <c r="Y48" i="5"/>
  <c r="Y49" i="5"/>
  <c r="Y50" i="5"/>
  <c r="Y51" i="5"/>
  <c r="Y52" i="5"/>
  <c r="Y53" i="5"/>
  <c r="Y54" i="5"/>
  <c r="Y55" i="5"/>
  <c r="Y56" i="5"/>
  <c r="Y57" i="5"/>
  <c r="Y58" i="5"/>
  <c r="Y59" i="5"/>
  <c r="Y60" i="5"/>
  <c r="Y61" i="5"/>
  <c r="Y62" i="5"/>
  <c r="Y63" i="5"/>
  <c r="Y64" i="5"/>
  <c r="Y65" i="5"/>
  <c r="Y66" i="5"/>
  <c r="Y67" i="5"/>
  <c r="Y68" i="5"/>
  <c r="Y69" i="5"/>
  <c r="Y70" i="5"/>
  <c r="Y71" i="5"/>
  <c r="Y72" i="5"/>
  <c r="Y73" i="5"/>
  <c r="Y74" i="5"/>
  <c r="Y75" i="5"/>
  <c r="Y76" i="5"/>
  <c r="Y77" i="5"/>
  <c r="Y78" i="5"/>
  <c r="Y79" i="5"/>
  <c r="Y80" i="5"/>
  <c r="Y81" i="5"/>
  <c r="Y82" i="5"/>
  <c r="Y85" i="5"/>
  <c r="AD95" i="5"/>
  <c r="X42" i="5"/>
  <c r="X43" i="5"/>
  <c r="X44" i="5"/>
  <c r="X45" i="5"/>
  <c r="X46" i="5"/>
  <c r="X47" i="5"/>
  <c r="X48" i="5"/>
  <c r="X49" i="5"/>
  <c r="X50" i="5"/>
  <c r="X51" i="5"/>
  <c r="X52" i="5"/>
  <c r="X53" i="5"/>
  <c r="X54" i="5"/>
  <c r="X55" i="5"/>
  <c r="X56" i="5"/>
  <c r="X57" i="5"/>
  <c r="X58" i="5"/>
  <c r="X59" i="5"/>
  <c r="X60" i="5"/>
  <c r="X61" i="5"/>
  <c r="X62" i="5"/>
  <c r="X63" i="5"/>
  <c r="X64" i="5"/>
  <c r="X65" i="5"/>
  <c r="X66" i="5"/>
  <c r="X67" i="5"/>
  <c r="X68" i="5"/>
  <c r="X69" i="5"/>
  <c r="X70" i="5"/>
  <c r="X71" i="5"/>
  <c r="X72" i="5"/>
  <c r="X73" i="5"/>
  <c r="X74" i="5"/>
  <c r="X75" i="5"/>
  <c r="X76" i="5"/>
  <c r="X77" i="5"/>
  <c r="X78" i="5"/>
  <c r="X79" i="5"/>
  <c r="X80" i="5"/>
  <c r="X81" i="5"/>
  <c r="X82" i="5"/>
  <c r="X85" i="5"/>
  <c r="AC95" i="5"/>
  <c r="AB95" i="5"/>
  <c r="AA95" i="5"/>
  <c r="Z95" i="5"/>
  <c r="Y95" i="5"/>
  <c r="AR94" i="5"/>
  <c r="AQ94" i="5"/>
  <c r="AP94" i="5"/>
  <c r="AO94" i="5"/>
  <c r="AN94" i="5"/>
  <c r="AM94" i="5"/>
  <c r="AL94" i="5"/>
  <c r="AK94" i="5"/>
  <c r="AJ94" i="5"/>
  <c r="AI94" i="5"/>
  <c r="AH94" i="5"/>
  <c r="AG94" i="5"/>
  <c r="AF94" i="5"/>
  <c r="AE94" i="5"/>
  <c r="AD94" i="5"/>
  <c r="AC94" i="5"/>
  <c r="AB94" i="5"/>
  <c r="AA94" i="5"/>
  <c r="Z94" i="5"/>
  <c r="Y94" i="5"/>
  <c r="X94" i="5"/>
  <c r="W94" i="5"/>
  <c r="V94" i="5"/>
  <c r="U94" i="5"/>
  <c r="T94" i="5"/>
  <c r="S94" i="5"/>
  <c r="R94" i="5"/>
  <c r="Q94" i="5"/>
  <c r="P94" i="5"/>
  <c r="O94" i="5"/>
  <c r="N94" i="5"/>
  <c r="M94" i="5"/>
  <c r="L94" i="5"/>
  <c r="K94" i="5"/>
  <c r="J94" i="5"/>
  <c r="I94" i="5"/>
  <c r="H94" i="5"/>
  <c r="G94" i="5"/>
  <c r="F94" i="5"/>
  <c r="E94" i="5"/>
  <c r="AR92" i="5"/>
  <c r="AQ92" i="5"/>
  <c r="AP92" i="5"/>
  <c r="AO92" i="5"/>
  <c r="AN92" i="5"/>
  <c r="AM92" i="5"/>
  <c r="AL92" i="5"/>
  <c r="AK92" i="5"/>
  <c r="AJ92" i="5"/>
  <c r="AI92" i="5"/>
  <c r="AH92" i="5"/>
  <c r="AG92" i="5"/>
  <c r="AF92" i="5"/>
  <c r="AE92" i="5"/>
  <c r="AD92" i="5"/>
  <c r="AC92" i="5"/>
  <c r="AB92" i="5"/>
  <c r="AA92" i="5"/>
  <c r="Z92" i="5"/>
  <c r="Y92" i="5"/>
  <c r="AR91" i="5"/>
  <c r="AQ91" i="5"/>
  <c r="AP91" i="5"/>
  <c r="AO91" i="5"/>
  <c r="AN91" i="5"/>
  <c r="AM91" i="5"/>
  <c r="AL91" i="5"/>
  <c r="AK91" i="5"/>
  <c r="AJ91" i="5"/>
  <c r="AI91" i="5"/>
  <c r="AH91" i="5"/>
  <c r="AG91" i="5"/>
  <c r="AF91" i="5"/>
  <c r="AE91" i="5"/>
  <c r="AD91" i="5"/>
  <c r="AC91" i="5"/>
  <c r="AB91" i="5"/>
  <c r="AA91" i="5"/>
  <c r="Z91" i="5"/>
  <c r="Y91" i="5"/>
  <c r="AR90" i="5"/>
  <c r="AQ90" i="5"/>
  <c r="AP90" i="5"/>
  <c r="AO90" i="5"/>
  <c r="AN90" i="5"/>
  <c r="AM90" i="5"/>
  <c r="AL90" i="5"/>
  <c r="AK90" i="5"/>
  <c r="AJ90" i="5"/>
  <c r="AI90" i="5"/>
  <c r="AH90" i="5"/>
  <c r="AG90" i="5"/>
  <c r="AF90" i="5"/>
  <c r="AE90" i="5"/>
  <c r="AD90" i="5"/>
  <c r="AC90" i="5"/>
  <c r="AB90" i="5"/>
  <c r="AA90" i="5"/>
  <c r="Z90" i="5"/>
  <c r="Y90" i="5"/>
  <c r="X90" i="5"/>
  <c r="W90" i="5"/>
  <c r="V90" i="5"/>
  <c r="U90" i="5"/>
  <c r="T90" i="5"/>
  <c r="S90" i="5"/>
  <c r="R90" i="5"/>
  <c r="Q90" i="5"/>
  <c r="P90" i="5"/>
  <c r="O90" i="5"/>
  <c r="N90" i="5"/>
  <c r="M90" i="5"/>
  <c r="L90" i="5"/>
  <c r="K90" i="5"/>
  <c r="J90" i="5"/>
  <c r="I90" i="5"/>
  <c r="H90" i="5"/>
  <c r="G90" i="5"/>
  <c r="F90" i="5"/>
  <c r="E90" i="5"/>
  <c r="AR84" i="5"/>
  <c r="AR86" i="5"/>
  <c r="AQ84" i="5"/>
  <c r="AQ86" i="5"/>
  <c r="AP84" i="5"/>
  <c r="AP86" i="5"/>
  <c r="AO84" i="5"/>
  <c r="AO86" i="5"/>
  <c r="AN84" i="5"/>
  <c r="AN86" i="5"/>
  <c r="AR42" i="5"/>
  <c r="AR43" i="5"/>
  <c r="AR44" i="5"/>
  <c r="AR45" i="5"/>
  <c r="AR46" i="5"/>
  <c r="AR47" i="5"/>
  <c r="AR48" i="5"/>
  <c r="AR49" i="5"/>
  <c r="AR50" i="5"/>
  <c r="AR51" i="5"/>
  <c r="AR52" i="5"/>
  <c r="AR53" i="5"/>
  <c r="AR54" i="5"/>
  <c r="AR55" i="5"/>
  <c r="AR56" i="5"/>
  <c r="AR57" i="5"/>
  <c r="AR58" i="5"/>
  <c r="AR59" i="5"/>
  <c r="AR60" i="5"/>
  <c r="AR61" i="5"/>
  <c r="AR62" i="5"/>
  <c r="AR63" i="5"/>
  <c r="AR64" i="5"/>
  <c r="AR65" i="5"/>
  <c r="AR66" i="5"/>
  <c r="AR67" i="5"/>
  <c r="AR68" i="5"/>
  <c r="AR69" i="5"/>
  <c r="AR70" i="5"/>
  <c r="AR71" i="5"/>
  <c r="AR72" i="5"/>
  <c r="AR73" i="5"/>
  <c r="AR74" i="5"/>
  <c r="AR75" i="5"/>
  <c r="AR76" i="5"/>
  <c r="AR77" i="5"/>
  <c r="AR78" i="5"/>
  <c r="AR79" i="5"/>
  <c r="AR80" i="5"/>
  <c r="AR81" i="5"/>
  <c r="AR82" i="5"/>
  <c r="AR85" i="5"/>
  <c r="AQ42" i="5"/>
  <c r="AQ43" i="5"/>
  <c r="AQ44" i="5"/>
  <c r="AQ45" i="5"/>
  <c r="AQ46" i="5"/>
  <c r="AQ47" i="5"/>
  <c r="AQ48" i="5"/>
  <c r="AQ49" i="5"/>
  <c r="AQ50" i="5"/>
  <c r="AQ51" i="5"/>
  <c r="AQ52" i="5"/>
  <c r="AQ53" i="5"/>
  <c r="AQ54" i="5"/>
  <c r="AQ55" i="5"/>
  <c r="AQ56" i="5"/>
  <c r="AQ57" i="5"/>
  <c r="AQ58" i="5"/>
  <c r="AQ59" i="5"/>
  <c r="AQ60" i="5"/>
  <c r="AQ61" i="5"/>
  <c r="AQ62" i="5"/>
  <c r="AQ63" i="5"/>
  <c r="AQ64" i="5"/>
  <c r="AQ65" i="5"/>
  <c r="AQ66" i="5"/>
  <c r="AQ67" i="5"/>
  <c r="AQ68" i="5"/>
  <c r="AQ69" i="5"/>
  <c r="AQ70" i="5"/>
  <c r="AQ71" i="5"/>
  <c r="AQ72" i="5"/>
  <c r="AQ73" i="5"/>
  <c r="AQ74" i="5"/>
  <c r="AQ75" i="5"/>
  <c r="AQ76" i="5"/>
  <c r="AQ77" i="5"/>
  <c r="AQ78" i="5"/>
  <c r="AQ79" i="5"/>
  <c r="AQ80" i="5"/>
  <c r="AQ81" i="5"/>
  <c r="AQ82" i="5"/>
  <c r="AQ85" i="5"/>
  <c r="AP42" i="5"/>
  <c r="AP43" i="5"/>
  <c r="AP44" i="5"/>
  <c r="AP45" i="5"/>
  <c r="AP46" i="5"/>
  <c r="AP47" i="5"/>
  <c r="AP48" i="5"/>
  <c r="AP49" i="5"/>
  <c r="AP50" i="5"/>
  <c r="AP51" i="5"/>
  <c r="AP52" i="5"/>
  <c r="AP53" i="5"/>
  <c r="AP54" i="5"/>
  <c r="AP55" i="5"/>
  <c r="AP56" i="5"/>
  <c r="AP57" i="5"/>
  <c r="AP58" i="5"/>
  <c r="AP59" i="5"/>
  <c r="AP60" i="5"/>
  <c r="AP61" i="5"/>
  <c r="AP62" i="5"/>
  <c r="AP63" i="5"/>
  <c r="AP64" i="5"/>
  <c r="AP65" i="5"/>
  <c r="AP66" i="5"/>
  <c r="AP67" i="5"/>
  <c r="AP68" i="5"/>
  <c r="AP69" i="5"/>
  <c r="AP70" i="5"/>
  <c r="AP71" i="5"/>
  <c r="AP72" i="5"/>
  <c r="AP73" i="5"/>
  <c r="AP74" i="5"/>
  <c r="AP75" i="5"/>
  <c r="AP76" i="5"/>
  <c r="AP77" i="5"/>
  <c r="AP78" i="5"/>
  <c r="AP79" i="5"/>
  <c r="AP80" i="5"/>
  <c r="AP81" i="5"/>
  <c r="AP82" i="5"/>
  <c r="AP85" i="5"/>
  <c r="AO42" i="5"/>
  <c r="AO43" i="5"/>
  <c r="AO44" i="5"/>
  <c r="AO45" i="5"/>
  <c r="AO46" i="5"/>
  <c r="AO47" i="5"/>
  <c r="AO48" i="5"/>
  <c r="AO49" i="5"/>
  <c r="AO50" i="5"/>
  <c r="AO51" i="5"/>
  <c r="AO52" i="5"/>
  <c r="AO53" i="5"/>
  <c r="AO54" i="5"/>
  <c r="AO55" i="5"/>
  <c r="AO56" i="5"/>
  <c r="AO57" i="5"/>
  <c r="AO58" i="5"/>
  <c r="AO59" i="5"/>
  <c r="AO60" i="5"/>
  <c r="AO61" i="5"/>
  <c r="AO62" i="5"/>
  <c r="AO63" i="5"/>
  <c r="AO64" i="5"/>
  <c r="AO65" i="5"/>
  <c r="AO66" i="5"/>
  <c r="AO67" i="5"/>
  <c r="AO68" i="5"/>
  <c r="AO69" i="5"/>
  <c r="AO70" i="5"/>
  <c r="AO71" i="5"/>
  <c r="AO72" i="5"/>
  <c r="AO73" i="5"/>
  <c r="AO74" i="5"/>
  <c r="AO75" i="5"/>
  <c r="AO76" i="5"/>
  <c r="AO77" i="5"/>
  <c r="AO78" i="5"/>
  <c r="AO79" i="5"/>
  <c r="AO80" i="5"/>
  <c r="AO81" i="5"/>
  <c r="AO82" i="5"/>
  <c r="AO85" i="5"/>
  <c r="AN42" i="5"/>
  <c r="AN43" i="5"/>
  <c r="AN44" i="5"/>
  <c r="AN45" i="5"/>
  <c r="AN46" i="5"/>
  <c r="AN47" i="5"/>
  <c r="AN48" i="5"/>
  <c r="AN49" i="5"/>
  <c r="AN50" i="5"/>
  <c r="AN51" i="5"/>
  <c r="AN52" i="5"/>
  <c r="AN53" i="5"/>
  <c r="AN54" i="5"/>
  <c r="AN55" i="5"/>
  <c r="AN56" i="5"/>
  <c r="AN57" i="5"/>
  <c r="AN58" i="5"/>
  <c r="AN59" i="5"/>
  <c r="AN60" i="5"/>
  <c r="AN61" i="5"/>
  <c r="AN62" i="5"/>
  <c r="AN63" i="5"/>
  <c r="AN64" i="5"/>
  <c r="AN65" i="5"/>
  <c r="AN66" i="5"/>
  <c r="AN67" i="5"/>
  <c r="AN68" i="5"/>
  <c r="AN69" i="5"/>
  <c r="AN70" i="5"/>
  <c r="AN71" i="5"/>
  <c r="AN72" i="5"/>
  <c r="AN73" i="5"/>
  <c r="AN74" i="5"/>
  <c r="AN75" i="5"/>
  <c r="AN76" i="5"/>
  <c r="AN77" i="5"/>
  <c r="AN78" i="5"/>
  <c r="AN79" i="5"/>
  <c r="AN80" i="5"/>
  <c r="AN81" i="5"/>
  <c r="AN82" i="5"/>
  <c r="AN85" i="5"/>
  <c r="Y39" i="5"/>
  <c r="D62" i="5"/>
  <c r="Z39" i="5"/>
  <c r="D63" i="5"/>
  <c r="AA39" i="5"/>
  <c r="D64" i="5"/>
  <c r="AB39" i="5"/>
  <c r="D65" i="5"/>
  <c r="AC39" i="5"/>
  <c r="D66" i="5"/>
  <c r="AD39" i="5"/>
  <c r="D67" i="5"/>
  <c r="AE39" i="5"/>
  <c r="D68" i="5"/>
  <c r="AF39" i="5"/>
  <c r="D69" i="5"/>
  <c r="AG39" i="5"/>
  <c r="D70" i="5"/>
  <c r="AH39" i="5"/>
  <c r="D71" i="5"/>
  <c r="AI39" i="5"/>
  <c r="D72" i="5"/>
  <c r="AJ39" i="5"/>
  <c r="D73" i="5"/>
  <c r="AK39" i="5"/>
  <c r="D74" i="5"/>
  <c r="AL39" i="5"/>
  <c r="D75" i="5"/>
  <c r="AM39" i="5"/>
  <c r="D76" i="5"/>
  <c r="AN39" i="5"/>
  <c r="D77" i="5"/>
  <c r="AO39" i="5"/>
  <c r="D78" i="5"/>
  <c r="AP39" i="5"/>
  <c r="D79" i="5"/>
  <c r="AQ39" i="5"/>
  <c r="D80" i="5"/>
  <c r="AR39" i="5"/>
  <c r="D81" i="5"/>
  <c r="D82" i="5"/>
  <c r="B40" i="5"/>
  <c r="A37" i="5"/>
  <c r="Y34" i="5"/>
  <c r="Z34" i="5"/>
  <c r="AA34" i="5"/>
  <c r="AB34" i="5"/>
  <c r="AC34" i="5"/>
  <c r="AD34" i="5"/>
  <c r="AE34" i="5"/>
  <c r="AF34" i="5"/>
  <c r="AG34" i="5"/>
  <c r="AH34" i="5"/>
  <c r="AI34" i="5"/>
  <c r="AJ34" i="5"/>
  <c r="AK34" i="5"/>
  <c r="AL34" i="5"/>
  <c r="AM34" i="5"/>
  <c r="AN34" i="5"/>
  <c r="AO34" i="5"/>
  <c r="AP34" i="5"/>
  <c r="AQ34" i="5"/>
  <c r="AR34" i="5"/>
  <c r="Y33" i="5"/>
  <c r="Z33" i="5"/>
  <c r="AA33" i="5"/>
  <c r="AB33" i="5"/>
  <c r="AC33" i="5"/>
  <c r="AD33" i="5"/>
  <c r="AE33" i="5"/>
  <c r="AF33" i="5"/>
  <c r="AG33" i="5"/>
  <c r="AH33" i="5"/>
  <c r="AI33" i="5"/>
  <c r="AJ33" i="5"/>
  <c r="AK33" i="5"/>
  <c r="AL33" i="5"/>
  <c r="AM33" i="5"/>
  <c r="AN33" i="5"/>
  <c r="AO33" i="5"/>
  <c r="AP33" i="5"/>
  <c r="AQ33" i="5"/>
  <c r="AR33" i="5"/>
  <c r="Y31" i="5"/>
  <c r="Z31" i="5"/>
  <c r="AA31" i="5"/>
  <c r="AB31" i="5"/>
  <c r="AC31" i="5"/>
  <c r="AD31" i="5"/>
  <c r="AE31" i="5"/>
  <c r="AF31" i="5"/>
  <c r="AG31" i="5"/>
  <c r="AH31" i="5"/>
  <c r="AI31" i="5"/>
  <c r="AJ31" i="5"/>
  <c r="AK31" i="5"/>
  <c r="AL31" i="5"/>
  <c r="AM31" i="5"/>
  <c r="AN31" i="5"/>
  <c r="AO31" i="5"/>
  <c r="AP31" i="5"/>
  <c r="AQ31" i="5"/>
  <c r="AR31" i="5"/>
  <c r="Y30" i="5"/>
  <c r="Z30" i="5"/>
  <c r="AA30" i="5"/>
  <c r="AB30" i="5"/>
  <c r="AC30" i="5"/>
  <c r="AD30" i="5"/>
  <c r="AE30" i="5"/>
  <c r="AF30" i="5"/>
  <c r="AG30" i="5"/>
  <c r="AH30" i="5"/>
  <c r="AI30" i="5"/>
  <c r="AJ30" i="5"/>
  <c r="AK30" i="5"/>
  <c r="AL30" i="5"/>
  <c r="AM30" i="5"/>
  <c r="AN30" i="5"/>
  <c r="AO30" i="5"/>
  <c r="AP30" i="5"/>
  <c r="AQ30" i="5"/>
  <c r="AR30" i="5"/>
  <c r="A27" i="5"/>
  <c r="AR24" i="5"/>
  <c r="AQ24" i="5"/>
  <c r="AP24" i="5"/>
  <c r="AO24" i="5"/>
  <c r="AN24" i="5"/>
  <c r="AM24" i="5"/>
  <c r="AL24" i="5"/>
  <c r="AK24" i="5"/>
  <c r="AJ24" i="5"/>
  <c r="AI24" i="5"/>
  <c r="AH24" i="5"/>
  <c r="AG24" i="5"/>
  <c r="AF24" i="5"/>
  <c r="AE24" i="5"/>
  <c r="AD24" i="5"/>
  <c r="AC24" i="5"/>
  <c r="AB24" i="5"/>
  <c r="AA24" i="5"/>
  <c r="Z24" i="5"/>
  <c r="Y24" i="5"/>
  <c r="D24" i="5"/>
  <c r="AR23" i="5"/>
  <c r="AQ23" i="5"/>
  <c r="AP23" i="5"/>
  <c r="AO23" i="5"/>
  <c r="AN23" i="5"/>
  <c r="AM23" i="5"/>
  <c r="AL23" i="5"/>
  <c r="AK23" i="5"/>
  <c r="AJ23" i="5"/>
  <c r="AI23" i="5"/>
  <c r="AH23" i="5"/>
  <c r="AG23" i="5"/>
  <c r="AF23" i="5"/>
  <c r="AE23" i="5"/>
  <c r="AD23" i="5"/>
  <c r="AC23" i="5"/>
  <c r="AB23" i="5"/>
  <c r="AA23" i="5"/>
  <c r="Z23" i="5"/>
  <c r="Y23" i="5"/>
  <c r="D23" i="5"/>
  <c r="B21" i="5"/>
  <c r="AR9" i="5"/>
  <c r="AQ9" i="5"/>
  <c r="AP9" i="5"/>
  <c r="AO9" i="5"/>
  <c r="AN9" i="5"/>
  <c r="AM9" i="5"/>
  <c r="AL9" i="5"/>
  <c r="AK9" i="5"/>
  <c r="AJ9" i="5"/>
  <c r="AI9" i="5"/>
  <c r="AH9" i="5"/>
  <c r="AG9" i="5"/>
  <c r="AF9" i="5"/>
  <c r="AE9" i="5"/>
  <c r="AD9" i="5"/>
  <c r="AC9" i="5"/>
  <c r="AB9" i="5"/>
  <c r="AA9" i="5"/>
  <c r="Z9" i="5"/>
  <c r="Y9" i="5"/>
  <c r="X9" i="5"/>
  <c r="W9" i="5"/>
  <c r="V9" i="5"/>
  <c r="U9" i="5"/>
  <c r="T9" i="5"/>
  <c r="S9" i="5"/>
  <c r="R9" i="5"/>
  <c r="Q9" i="5"/>
  <c r="P9" i="5"/>
  <c r="O9" i="5"/>
  <c r="N9" i="5"/>
  <c r="M9" i="5"/>
  <c r="L9" i="5"/>
  <c r="K9" i="5"/>
  <c r="J9" i="5"/>
  <c r="I9" i="5"/>
  <c r="H9" i="5"/>
  <c r="G9" i="5"/>
  <c r="F9" i="5"/>
  <c r="E9" i="5"/>
  <c r="D9" i="5"/>
  <c r="E5" i="5"/>
  <c r="F5" i="5"/>
  <c r="G5" i="5"/>
  <c r="H5" i="5"/>
  <c r="I5" i="5"/>
  <c r="J5" i="5"/>
  <c r="K5" i="5"/>
  <c r="L5" i="5"/>
  <c r="M5" i="5"/>
  <c r="N5" i="5"/>
  <c r="O5" i="5"/>
  <c r="P5" i="5"/>
  <c r="Q5" i="5"/>
  <c r="R5" i="5"/>
  <c r="S5" i="5"/>
  <c r="T5" i="5"/>
  <c r="U5" i="5"/>
  <c r="V5" i="5"/>
  <c r="W5" i="5"/>
  <c r="X5" i="5"/>
  <c r="Y5" i="5"/>
  <c r="Z5" i="5"/>
  <c r="AA5" i="5"/>
  <c r="AB5" i="5"/>
  <c r="AC5" i="5"/>
  <c r="AD5" i="5"/>
  <c r="AE5" i="5"/>
  <c r="AF5" i="5"/>
  <c r="AG5" i="5"/>
  <c r="AH5" i="5"/>
  <c r="AI5" i="5"/>
  <c r="AJ5" i="5"/>
  <c r="AK5" i="5"/>
  <c r="AL5" i="5"/>
  <c r="AM5" i="5"/>
  <c r="AN5" i="5"/>
  <c r="AO5" i="5"/>
  <c r="AP5" i="5"/>
  <c r="AQ5" i="5"/>
  <c r="AR5" i="5"/>
  <c r="C59" i="4"/>
  <c r="C56" i="4"/>
  <c r="C54" i="4"/>
  <c r="C52" i="4"/>
  <c r="C50" i="4"/>
  <c r="B46" i="4"/>
  <c r="C41" i="4"/>
  <c r="C40" i="4"/>
  <c r="D32" i="4"/>
  <c r="C6" i="4"/>
  <c r="A20" i="3"/>
  <c r="A19" i="3"/>
  <c r="AG14" i="3"/>
  <c r="C13" i="3"/>
  <c r="C12" i="3"/>
  <c r="X11" i="3"/>
  <c r="V11" i="3"/>
  <c r="C8" i="3"/>
  <c r="X7" i="3"/>
  <c r="X6" i="3"/>
  <c r="T6" i="3"/>
  <c r="V4" i="3"/>
  <c r="C99" i="1"/>
  <c r="C96" i="1"/>
  <c r="C94" i="1"/>
  <c r="C92" i="1"/>
  <c r="E90" i="1"/>
  <c r="C90" i="1"/>
  <c r="B86" i="1"/>
  <c r="C81" i="1"/>
  <c r="C80" i="1"/>
  <c r="D72" i="1"/>
  <c r="C46" i="1"/>
  <c r="D33" i="1"/>
  <c r="C29" i="1"/>
  <c r="C28" i="1"/>
  <c r="C24" i="1"/>
  <c r="D224" i="6" a="1"/>
  <c r="D224" i="6"/>
  <c r="E224" i="6"/>
  <c r="F224" i="6"/>
  <c r="G224" i="6"/>
  <c r="H224" i="6"/>
  <c r="I224" i="6"/>
  <c r="J224" i="6"/>
  <c r="K224" i="6"/>
  <c r="L224" i="6"/>
  <c r="M224" i="6"/>
  <c r="N224" i="6"/>
  <c r="O224" i="6"/>
  <c r="P224" i="6"/>
  <c r="Q224" i="6"/>
  <c r="R224" i="6"/>
  <c r="S224" i="6"/>
  <c r="T224" i="6"/>
  <c r="U224" i="6"/>
  <c r="V224" i="6"/>
  <c r="W224" i="6"/>
  <c r="X224" i="6"/>
  <c r="Y224" i="6"/>
  <c r="Z224" i="6"/>
  <c r="AA224" i="6"/>
  <c r="AB224" i="6"/>
  <c r="AC224" i="6"/>
  <c r="AD224" i="6"/>
  <c r="AE224" i="6"/>
  <c r="AF224" i="6"/>
  <c r="AG224" i="6"/>
  <c r="AH224" i="6"/>
  <c r="AI224" i="6"/>
  <c r="AJ224" i="6"/>
  <c r="AK224" i="6"/>
  <c r="AL224" i="6"/>
  <c r="AM224" i="6"/>
  <c r="AN224" i="6"/>
  <c r="AO224" i="6"/>
  <c r="AP224" i="6"/>
  <c r="AQ224" i="6"/>
  <c r="AR224" i="6"/>
  <c r="AS224" i="6"/>
  <c r="D223" i="6" a="1"/>
  <c r="D223" i="6"/>
  <c r="E223" i="6"/>
  <c r="F223" i="6"/>
  <c r="G223" i="6"/>
  <c r="H223" i="6"/>
  <c r="I223" i="6"/>
  <c r="J223" i="6"/>
  <c r="K223" i="6"/>
  <c r="L223" i="6"/>
  <c r="M223" i="6"/>
  <c r="N223" i="6"/>
  <c r="O223" i="6"/>
  <c r="P223" i="6"/>
  <c r="Q223" i="6"/>
  <c r="R223" i="6"/>
  <c r="S223" i="6"/>
  <c r="T223" i="6"/>
  <c r="U223" i="6"/>
  <c r="V223" i="6"/>
  <c r="W223" i="6"/>
  <c r="X223" i="6"/>
  <c r="Y223" i="6"/>
  <c r="Z223" i="6"/>
  <c r="AA223" i="6"/>
  <c r="AB223" i="6"/>
  <c r="AC223" i="6"/>
  <c r="AD223" i="6"/>
  <c r="AE223" i="6"/>
  <c r="AF223" i="6"/>
  <c r="AG223" i="6"/>
  <c r="AH223" i="6"/>
  <c r="AI223" i="6"/>
  <c r="AJ223" i="6"/>
  <c r="AK223" i="6"/>
  <c r="AL223" i="6"/>
  <c r="AM223" i="6"/>
  <c r="AN223" i="6"/>
  <c r="AO223" i="6"/>
  <c r="AP223" i="6"/>
  <c r="AQ223" i="6"/>
  <c r="AR223" i="6"/>
  <c r="AS22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Helen Lay</author>
  </authors>
  <commentList>
    <comment ref="D28" authorId="0" shapeId="0" xr:uid="{00000000-0006-0000-0000-000001000000}">
      <text>
        <r>
          <rPr>
            <b/>
            <sz val="10"/>
            <color indexed="81"/>
            <rFont val="Arial"/>
            <family val="2"/>
          </rPr>
          <t>Policy choices:</t>
        </r>
        <r>
          <rPr>
            <sz val="10"/>
            <color indexed="81"/>
            <rFont val="Arial"/>
            <family val="2"/>
          </rPr>
          <t xml:space="preserve">
Lease payments, concession fees and license fees can be represented by negative annual payments, i.e. payments from the operator to the contracting authority.</t>
        </r>
      </text>
    </comment>
    <comment ref="D32" authorId="0" shapeId="0" xr:uid="{00000000-0006-0000-0000-000002000000}">
      <text>
        <r>
          <rPr>
            <b/>
            <sz val="10"/>
            <color indexed="81"/>
            <rFont val="Arial"/>
            <family val="2"/>
          </rPr>
          <t>Policy choices:</t>
        </r>
        <r>
          <rPr>
            <sz val="10"/>
            <color indexed="81"/>
            <rFont val="Arial"/>
            <family val="2"/>
          </rPr>
          <t xml:space="preserve">
If the private operator pays for all  investment, then this is set to 100%. If the contracting authority is fully responsbile, then this is 0%. </t>
        </r>
      </text>
    </comment>
    <comment ref="D35" authorId="0" shapeId="0" xr:uid="{00000000-0006-0000-0000-000003000000}">
      <text>
        <r>
          <rPr>
            <b/>
            <sz val="10"/>
            <color indexed="81"/>
            <rFont val="Arial"/>
            <family val="2"/>
          </rPr>
          <t>Policy choices:</t>
        </r>
        <r>
          <rPr>
            <sz val="10"/>
            <color indexed="81"/>
            <rFont val="Arial"/>
            <family val="2"/>
          </rPr>
          <t xml:space="preserve">
The costs of coverage extension can be funded through debt (for example, taking out a loan), or through equity (that is, equity injections by the private operator, the contracting authority, or both)</t>
        </r>
      </text>
    </comment>
    <comment ref="D36" authorId="0" shapeId="0" xr:uid="{00000000-0006-0000-0000-000004000000}">
      <text>
        <r>
          <rPr>
            <b/>
            <sz val="10"/>
            <color indexed="81"/>
            <rFont val="Arial"/>
            <family val="2"/>
          </rPr>
          <t>Policy choices:</t>
        </r>
        <r>
          <rPr>
            <sz val="10"/>
            <color indexed="81"/>
            <rFont val="Arial"/>
            <family val="2"/>
          </rPr>
          <t xml:space="preserve">
If the investment is funded by debt, then there is an option of either issuing this loan in domestic currency (pesos) or foreign currency (dollars).</t>
        </r>
      </text>
    </comment>
    <comment ref="D42" authorId="0" shapeId="0" xr:uid="{00000000-0006-0000-0000-000005000000}">
      <text>
        <r>
          <rPr>
            <b/>
            <sz val="10"/>
            <color indexed="81"/>
            <rFont val="Arial"/>
            <family val="2"/>
          </rPr>
          <t>Policy choices:</t>
        </r>
        <r>
          <rPr>
            <sz val="10"/>
            <color indexed="81"/>
            <rFont val="Arial"/>
            <family val="2"/>
          </rPr>
          <t xml:space="preserve">
Frequency of tariff resets.</t>
        </r>
      </text>
    </comment>
    <comment ref="D46" authorId="0" shapeId="0" xr:uid="{00000000-0006-0000-0000-000006000000}">
      <text>
        <r>
          <rPr>
            <b/>
            <sz val="10"/>
            <color indexed="81"/>
            <rFont val="Arial"/>
            <family val="2"/>
          </rPr>
          <t>Other assumptions:</t>
        </r>
        <r>
          <rPr>
            <sz val="10"/>
            <color indexed="81"/>
            <rFont val="Arial"/>
            <family val="2"/>
          </rPr>
          <t xml:space="preserve">
Current value of the exchange rate, expressed in terms of pesos per dollar.</t>
        </r>
      </text>
    </comment>
    <comment ref="F46" authorId="0" shapeId="0" xr:uid="{00000000-0006-0000-0000-000007000000}">
      <text>
        <r>
          <rPr>
            <b/>
            <sz val="10"/>
            <color indexed="81"/>
            <rFont val="Arial"/>
            <family val="2"/>
          </rPr>
          <t>Other assumptions:</t>
        </r>
        <r>
          <rPr>
            <sz val="10"/>
            <color indexed="81"/>
            <rFont val="Arial"/>
            <family val="2"/>
          </rPr>
          <t xml:space="preserve">
Current value of inflation. It is the rate of change of the Consumer Price Index.</t>
        </r>
      </text>
    </comment>
    <comment ref="D47" authorId="0" shapeId="0" xr:uid="{00000000-0006-0000-0000-000008000000}">
      <text>
        <r>
          <rPr>
            <b/>
            <sz val="10"/>
            <color indexed="81"/>
            <rFont val="Arial"/>
            <family val="2"/>
          </rPr>
          <t>Other assumptions:</t>
        </r>
        <r>
          <rPr>
            <sz val="10"/>
            <color indexed="81"/>
            <rFont val="Arial"/>
            <family val="2"/>
          </rPr>
          <t xml:space="preserve">
Expected annual change in the exchange rate. A positive change is a depreciation of the currency (more pesos per dollar), and a negative change is an appreciation of the peso.</t>
        </r>
      </text>
    </comment>
    <comment ref="F47" authorId="0" shapeId="0" xr:uid="{00000000-0006-0000-0000-000009000000}">
      <text>
        <r>
          <rPr>
            <b/>
            <sz val="10"/>
            <color indexed="81"/>
            <rFont val="Arial"/>
            <family val="2"/>
          </rPr>
          <t>Other assumptions:</t>
        </r>
        <r>
          <rPr>
            <sz val="10"/>
            <color indexed="81"/>
            <rFont val="Arial"/>
            <family val="2"/>
          </rPr>
          <t xml:space="preserve">
Long term value of inflation. This is the long term rate that the current inflation will tend towards.</t>
        </r>
      </text>
    </comment>
    <comment ref="D48" authorId="0" shapeId="0" xr:uid="{00000000-0006-0000-0000-00000A000000}">
      <text>
        <r>
          <rPr>
            <b/>
            <sz val="10"/>
            <color indexed="81"/>
            <rFont val="Arial"/>
            <family val="2"/>
          </rPr>
          <t>Other assumptions:</t>
        </r>
        <r>
          <rPr>
            <sz val="10"/>
            <color indexed="81"/>
            <rFont val="Arial"/>
            <family val="2"/>
          </rPr>
          <t xml:space="preserve">
Uncertainty around the exchange rate over one-year period. A 1% volatility means that over the period of one year, the exchange rate has the potential to go up or down by 1%. </t>
        </r>
      </text>
    </comment>
    <comment ref="F48" authorId="0" shapeId="0" xr:uid="{00000000-0006-0000-0000-00000B000000}">
      <text>
        <r>
          <rPr>
            <b/>
            <sz val="10"/>
            <color indexed="81"/>
            <rFont val="Arial"/>
            <family val="2"/>
          </rPr>
          <t>Other assumptions:</t>
        </r>
        <r>
          <rPr>
            <sz val="10"/>
            <color indexed="81"/>
            <rFont val="Arial"/>
            <family val="2"/>
          </rPr>
          <t xml:space="preserve">
Uncertainty around the inflation over one-year period. A 1% volatility means that over the period of one year, inflation has the potential to go up or down by 1%. </t>
        </r>
      </text>
    </comment>
    <comment ref="F49" authorId="0" shapeId="0" xr:uid="{00000000-0006-0000-0000-00000C000000}">
      <text>
        <r>
          <rPr>
            <b/>
            <sz val="10"/>
            <color indexed="81"/>
            <rFont val="Arial"/>
            <family val="2"/>
          </rPr>
          <t>Other assumptions:</t>
        </r>
        <r>
          <rPr>
            <sz val="10"/>
            <color indexed="81"/>
            <rFont val="Arial"/>
            <family val="2"/>
          </rPr>
          <t xml:space="preserve">
The rate at which current inflation will tend towards its long term value.</t>
        </r>
      </text>
    </comment>
    <comment ref="D50" authorId="0" shapeId="0" xr:uid="{00000000-0006-0000-0000-00000D000000}">
      <text>
        <r>
          <rPr>
            <b/>
            <sz val="10"/>
            <color indexed="81"/>
            <rFont val="Arial"/>
            <family val="2"/>
          </rPr>
          <t>Other assumptions:</t>
        </r>
        <r>
          <rPr>
            <sz val="10"/>
            <color indexed="81"/>
            <rFont val="Arial"/>
            <family val="2"/>
          </rPr>
          <t xml:space="preserve">
Real interest rate, assumed to remain constant over the life of the contract.</t>
        </r>
      </text>
    </comment>
    <comment ref="D51" authorId="0" shapeId="0" xr:uid="{00000000-0006-0000-0000-00000E000000}">
      <text>
        <r>
          <rPr>
            <b/>
            <sz val="10"/>
            <color indexed="81"/>
            <rFont val="Arial"/>
            <family val="2"/>
          </rPr>
          <t>Other assumptions:</t>
        </r>
        <r>
          <rPr>
            <sz val="10"/>
            <color indexed="81"/>
            <rFont val="Arial"/>
            <family val="2"/>
          </rPr>
          <t xml:space="preserve">
Discount rate applied to determine net present values. This is also the Weighted Average Cost of Capital.</t>
        </r>
      </text>
    </comment>
    <comment ref="D54" authorId="0" shapeId="0" xr:uid="{00000000-0006-0000-0000-00000F000000}">
      <text>
        <r>
          <rPr>
            <b/>
            <sz val="10"/>
            <color indexed="81"/>
            <rFont val="Arial"/>
            <family val="2"/>
          </rPr>
          <t>Other assumptions:</t>
        </r>
        <r>
          <rPr>
            <sz val="10"/>
            <color indexed="81"/>
            <rFont val="Arial"/>
            <family val="2"/>
          </rPr>
          <t xml:space="preserve">
Current value of the number of households in the economy. This is the maximum number of connections that the private operator can hope to gain.</t>
        </r>
      </text>
    </comment>
    <comment ref="D55" authorId="0" shapeId="0" xr:uid="{00000000-0006-0000-0000-000010000000}">
      <text>
        <r>
          <rPr>
            <b/>
            <sz val="10"/>
            <color indexed="81"/>
            <rFont val="Arial"/>
            <family val="2"/>
          </rPr>
          <t>Other assumptions:</t>
        </r>
        <r>
          <rPr>
            <sz val="10"/>
            <color indexed="81"/>
            <rFont val="Arial"/>
            <family val="2"/>
          </rPr>
          <t xml:space="preserve">
Current service coverage is the number of households that are currently connected divided by the total number of households.</t>
        </r>
      </text>
    </comment>
    <comment ref="D61" authorId="0" shapeId="0" xr:uid="{00000000-0006-0000-0000-000011000000}">
      <text>
        <r>
          <rPr>
            <b/>
            <sz val="10"/>
            <color indexed="81"/>
            <rFont val="Arial"/>
            <family val="2"/>
          </rPr>
          <t>Other assumptions:</t>
        </r>
        <r>
          <rPr>
            <sz val="10"/>
            <color indexed="81"/>
            <rFont val="Arial"/>
            <family val="2"/>
          </rPr>
          <t xml:space="preserve">
Current demand per connection per day, expressed in litres.</t>
        </r>
      </text>
    </comment>
    <comment ref="E61" authorId="0" shapeId="0" xr:uid="{00000000-0006-0000-0000-000012000000}">
      <text>
        <r>
          <rPr>
            <b/>
            <sz val="10"/>
            <color indexed="81"/>
            <rFont val="Arial"/>
            <family val="2"/>
          </rPr>
          <t>Other assumptions:</t>
        </r>
        <r>
          <rPr>
            <sz val="10"/>
            <color indexed="81"/>
            <rFont val="Arial"/>
            <family val="2"/>
          </rPr>
          <t xml:space="preserve">
Current usage of water from other sources, expressed as litres per household per day.
This demand is assumed to stay constant.</t>
        </r>
      </text>
    </comment>
    <comment ref="D62" authorId="0" shapeId="0" xr:uid="{00000000-0006-0000-0000-000013000000}">
      <text>
        <r>
          <rPr>
            <b/>
            <sz val="10"/>
            <color indexed="81"/>
            <rFont val="Arial"/>
            <family val="2"/>
          </rPr>
          <t>Other assumptions:</t>
        </r>
        <r>
          <rPr>
            <sz val="10"/>
            <color indexed="81"/>
            <rFont val="Arial"/>
            <family val="2"/>
          </rPr>
          <t xml:space="preserve">
Household demand is assumed to grow at a constant rate, with some variability around this.</t>
        </r>
      </text>
    </comment>
    <comment ref="D66" authorId="0" shapeId="0" xr:uid="{00000000-0006-0000-0000-000014000000}">
      <text>
        <r>
          <rPr>
            <b/>
            <sz val="10"/>
            <color indexed="81"/>
            <rFont val="Arial"/>
            <family val="2"/>
          </rPr>
          <t>Other assumptions:</t>
        </r>
        <r>
          <rPr>
            <sz val="10"/>
            <color indexed="81"/>
            <rFont val="Arial"/>
            <family val="2"/>
          </rPr>
          <t xml:space="preserve">
Non-revenue water include Unaccounted for water (UFW) and water used for public services (such as firefighting).</t>
        </r>
      </text>
    </comment>
    <comment ref="E66" authorId="0" shapeId="0" xr:uid="{00000000-0006-0000-0000-000015000000}">
      <text>
        <r>
          <rPr>
            <b/>
            <sz val="10"/>
            <color indexed="81"/>
            <rFont val="Arial"/>
            <family val="2"/>
          </rPr>
          <t>Other assumptions:</t>
        </r>
        <r>
          <rPr>
            <sz val="10"/>
            <color indexed="81"/>
            <rFont val="Arial"/>
            <family val="2"/>
          </rPr>
          <t xml:space="preserve">
Non-revenue water is assumed to decrease from current level to a target level. The minimum value this can take is 0%.</t>
        </r>
      </text>
    </comment>
    <comment ref="F66" authorId="0" shapeId="0" xr:uid="{00000000-0006-0000-0000-000016000000}">
      <text>
        <r>
          <rPr>
            <b/>
            <sz val="10"/>
            <color indexed="81"/>
            <rFont val="Arial"/>
            <family val="2"/>
          </rPr>
          <t>Other assumptions:</t>
        </r>
        <r>
          <rPr>
            <sz val="10"/>
            <color indexed="81"/>
            <rFont val="Arial"/>
            <family val="2"/>
          </rPr>
          <t xml:space="preserve">
The year in which the target level of non-revenue water is to be reached.</t>
        </r>
      </text>
    </comment>
    <comment ref="D72" authorId="0" shapeId="0" xr:uid="{00000000-0006-0000-0000-000017000000}">
      <text>
        <r>
          <rPr>
            <b/>
            <sz val="10"/>
            <color indexed="81"/>
            <rFont val="Arial"/>
            <family val="2"/>
          </rPr>
          <t>Other assumptions:</t>
        </r>
        <r>
          <rPr>
            <sz val="10"/>
            <color indexed="81"/>
            <rFont val="Arial"/>
            <family val="2"/>
          </rPr>
          <t xml:space="preserve">
Willingness to pay (per cubic meter) for a household connections versus other sources, expressed as a percentage of what is currently charged.</t>
        </r>
      </text>
    </comment>
    <comment ref="E72" authorId="0" shapeId="0" xr:uid="{00000000-0006-0000-0000-000018000000}">
      <text>
        <r>
          <rPr>
            <b/>
            <sz val="10"/>
            <color indexed="81"/>
            <rFont val="Arial"/>
            <family val="2"/>
          </rPr>
          <t>Other assumptions:</t>
        </r>
        <r>
          <rPr>
            <sz val="10"/>
            <color indexed="81"/>
            <rFont val="Arial"/>
            <family val="2"/>
          </rPr>
          <t xml:space="preserve">
Willingness to incur coping costs to remain unconnected to the water system.</t>
        </r>
      </text>
    </comment>
    <comment ref="D80" authorId="0" shapeId="0" xr:uid="{00000000-0006-0000-0000-000019000000}">
      <text>
        <r>
          <rPr>
            <b/>
            <sz val="10"/>
            <color indexed="81"/>
            <rFont val="Arial"/>
            <family val="2"/>
          </rPr>
          <t>Other assumptions:</t>
        </r>
        <r>
          <rPr>
            <sz val="10"/>
            <color indexed="81"/>
            <rFont val="Arial"/>
            <family val="2"/>
          </rPr>
          <t xml:space="preserve">
Tariff charged to households that are connected to the water system prior to the introduction of the private operator, expressed in terms of pesos per cubic meter.</t>
        </r>
      </text>
    </comment>
    <comment ref="E80" authorId="0" shapeId="0" xr:uid="{00000000-0006-0000-0000-00001A000000}">
      <text>
        <r>
          <rPr>
            <b/>
            <sz val="10"/>
            <color indexed="81"/>
            <rFont val="Arial"/>
            <family val="2"/>
          </rPr>
          <t>Other assumptions:</t>
        </r>
        <r>
          <rPr>
            <sz val="10"/>
            <color indexed="81"/>
            <rFont val="Arial"/>
            <family val="2"/>
          </rPr>
          <t xml:space="preserve">
Tariff charged to households that obtain water from other methods (e.g. water tankers, river sources), expressed in terms of pesos per cubic meter.</t>
        </r>
      </text>
    </comment>
    <comment ref="E81" authorId="0" shapeId="0" xr:uid="{00000000-0006-0000-0000-00001B000000}">
      <text>
        <r>
          <rPr>
            <b/>
            <sz val="10"/>
            <color indexed="81"/>
            <rFont val="Arial"/>
            <family val="2"/>
          </rPr>
          <t>Other assumptions:</t>
        </r>
        <r>
          <rPr>
            <sz val="10"/>
            <color indexed="81"/>
            <rFont val="Arial"/>
            <family val="2"/>
          </rPr>
          <t xml:space="preserve">
Additional cost incurred by unconnected households in order to obtain water, such as time traveled to river source, cost of installing water storage.</t>
        </r>
      </text>
    </comment>
    <comment ref="E86" authorId="0" shapeId="0" xr:uid="{00000000-0006-0000-0000-00001C000000}">
      <text>
        <r>
          <rPr>
            <b/>
            <sz val="10"/>
            <color indexed="81"/>
            <rFont val="Arial"/>
            <family val="2"/>
          </rPr>
          <t>Other assumptions:</t>
        </r>
        <r>
          <rPr>
            <sz val="10"/>
            <color indexed="81"/>
            <rFont val="Arial"/>
            <family val="2"/>
          </rPr>
          <t xml:space="preserve">
Investment cost per connection, expressed in pesos. This is a one-off charge.</t>
        </r>
      </text>
    </comment>
    <comment ref="E89" authorId="0" shapeId="0" xr:uid="{00000000-0006-0000-0000-00001D000000}">
      <text>
        <r>
          <rPr>
            <b/>
            <sz val="10"/>
            <color indexed="81"/>
            <rFont val="Arial"/>
            <family val="2"/>
          </rPr>
          <t>Other assumptions:</t>
        </r>
        <r>
          <rPr>
            <sz val="10"/>
            <color indexed="81"/>
            <rFont val="Arial"/>
            <family val="2"/>
          </rPr>
          <t xml:space="preserve">
Proportion of investment cost assumed to be fixed operating cost.</t>
        </r>
      </text>
    </comment>
    <comment ref="E90" authorId="0" shapeId="0" xr:uid="{00000000-0006-0000-0000-00001E000000}">
      <text>
        <r>
          <rPr>
            <b/>
            <sz val="10"/>
            <color indexed="81"/>
            <rFont val="Arial"/>
            <family val="2"/>
          </rPr>
          <t>Other assumptions:</t>
        </r>
        <r>
          <rPr>
            <sz val="10"/>
            <color indexed="81"/>
            <rFont val="Arial"/>
            <family val="2"/>
          </rPr>
          <t xml:space="preserve">
Current level of fixed operating cost = Proportion of investment assumed to be fixed * Investment cost * Current level of connections.</t>
        </r>
      </text>
    </comment>
    <comment ref="E91" authorId="0" shapeId="0" xr:uid="{00000000-0006-0000-0000-00001F000000}">
      <text>
        <r>
          <rPr>
            <b/>
            <sz val="10"/>
            <color indexed="81"/>
            <rFont val="Arial"/>
            <family val="2"/>
          </rPr>
          <t>Other assumptions:</t>
        </r>
        <r>
          <rPr>
            <sz val="10"/>
            <color indexed="81"/>
            <rFont val="Arial"/>
            <family val="2"/>
          </rPr>
          <t xml:space="preserve">
Annual real growth rate of fixed operating costs.</t>
        </r>
      </text>
    </comment>
    <comment ref="E92" authorId="0" shapeId="0" xr:uid="{00000000-0006-0000-0000-000020000000}">
      <text>
        <r>
          <rPr>
            <b/>
            <sz val="10"/>
            <color indexed="81"/>
            <rFont val="Arial"/>
            <family val="2"/>
          </rPr>
          <t>Other assumptions:</t>
        </r>
        <r>
          <rPr>
            <sz val="10"/>
            <color indexed="81"/>
            <rFont val="Arial"/>
            <family val="2"/>
          </rPr>
          <t xml:space="preserve">
Proportion of fixed costs that is assumed to be denominated in dollars, and are therefore affected by changes in the exchange rate.</t>
        </r>
      </text>
    </comment>
    <comment ref="E94" authorId="0" shapeId="0" xr:uid="{00000000-0006-0000-0000-000021000000}">
      <text>
        <r>
          <rPr>
            <b/>
            <sz val="10"/>
            <color indexed="81"/>
            <rFont val="Arial"/>
            <family val="2"/>
          </rPr>
          <t>Other assumptions:</t>
        </r>
        <r>
          <rPr>
            <sz val="10"/>
            <color indexed="81"/>
            <rFont val="Arial"/>
            <family val="2"/>
          </rPr>
          <t xml:space="preserve">
Variable costs per cubic meter.</t>
        </r>
      </text>
    </comment>
    <comment ref="E95" authorId="0" shapeId="0" xr:uid="{00000000-0006-0000-0000-000022000000}">
      <text>
        <r>
          <rPr>
            <b/>
            <sz val="10"/>
            <color indexed="81"/>
            <rFont val="Arial"/>
            <family val="2"/>
          </rPr>
          <t>Other assumptions:</t>
        </r>
        <r>
          <rPr>
            <sz val="10"/>
            <color indexed="81"/>
            <rFont val="Arial"/>
            <family val="2"/>
          </rPr>
          <t xml:space="preserve">
Annual real growth rate of operating operating costs.</t>
        </r>
      </text>
    </comment>
    <comment ref="E96" authorId="0" shapeId="0" xr:uid="{00000000-0006-0000-0000-000023000000}">
      <text>
        <r>
          <rPr>
            <b/>
            <sz val="10"/>
            <color indexed="81"/>
            <rFont val="Arial"/>
            <family val="2"/>
          </rPr>
          <t>Other assumptions:</t>
        </r>
        <r>
          <rPr>
            <sz val="10"/>
            <color indexed="81"/>
            <rFont val="Arial"/>
            <family val="2"/>
          </rPr>
          <t xml:space="preserve">
Proportion of variable costs that is assumed to be denominated in dollars, and are therefore affected by changes in the exchange rate.</t>
        </r>
      </text>
    </comment>
    <comment ref="E99" authorId="0" shapeId="0" xr:uid="{00000000-0006-0000-0000-000024000000}">
      <text>
        <r>
          <rPr>
            <b/>
            <sz val="10"/>
            <color indexed="81"/>
            <rFont val="Arial"/>
            <family val="2"/>
          </rPr>
          <t>Other assumptions:</t>
        </r>
        <r>
          <rPr>
            <sz val="10"/>
            <color indexed="81"/>
            <rFont val="Arial"/>
            <family val="2"/>
          </rPr>
          <t xml:space="preserve">
Initial asset base, expressed in pesos.</t>
        </r>
      </text>
    </comment>
    <comment ref="E100" authorId="0" shapeId="0" xr:uid="{00000000-0006-0000-0000-000025000000}">
      <text>
        <r>
          <rPr>
            <b/>
            <sz val="10"/>
            <color indexed="81"/>
            <rFont val="Arial"/>
            <family val="2"/>
          </rPr>
          <t>Other assumptions:</t>
        </r>
        <r>
          <rPr>
            <sz val="10"/>
            <color indexed="81"/>
            <rFont val="Arial"/>
            <family val="2"/>
          </rPr>
          <t xml:space="preserve">
Annual depreciation rate. Depreciation charge in each year is Depreciate rate * Value of opening assets.</t>
        </r>
      </text>
    </comment>
    <comment ref="D106" authorId="0" shapeId="0" xr:uid="{00000000-0006-0000-0000-000026000000}">
      <text>
        <r>
          <rPr>
            <b/>
            <sz val="10"/>
            <color indexed="81"/>
            <rFont val="Arial"/>
            <family val="2"/>
          </rPr>
          <t>Other assumptions:</t>
        </r>
        <r>
          <rPr>
            <sz val="10"/>
            <color indexed="81"/>
            <rFont val="Arial"/>
            <family val="2"/>
          </rPr>
          <t xml:space="preserve">
Collection rate is the proportion of total billed demand that the operator can collect. The remainder is assumed to be bad debt.</t>
        </r>
      </text>
    </comment>
    <comment ref="D107" authorId="0" shapeId="0" xr:uid="{00000000-0006-0000-0000-000027000000}">
      <text>
        <r>
          <rPr>
            <b/>
            <sz val="10"/>
            <color indexed="81"/>
            <rFont val="Arial"/>
            <family val="2"/>
          </rPr>
          <t>Other assumptions:</t>
        </r>
        <r>
          <rPr>
            <sz val="10"/>
            <color indexed="81"/>
            <rFont val="Arial"/>
            <family val="2"/>
          </rPr>
          <t xml:space="preserve">
Collection rate is assumed to gradually increase from current level to a target level.</t>
        </r>
      </text>
    </comment>
    <comment ref="D108" authorId="0" shapeId="0" xr:uid="{00000000-0006-0000-0000-000028000000}">
      <text>
        <r>
          <rPr>
            <b/>
            <sz val="10"/>
            <color indexed="81"/>
            <rFont val="Arial"/>
            <family val="2"/>
          </rPr>
          <t>Other assumptions:</t>
        </r>
        <r>
          <rPr>
            <sz val="10"/>
            <color indexed="81"/>
            <rFont val="Arial"/>
            <family val="2"/>
          </rPr>
          <t xml:space="preserve">
Year in which the collection target is to be achieved.</t>
        </r>
      </text>
    </comment>
    <comment ref="D113" authorId="0" shapeId="0" xr:uid="{00000000-0006-0000-0000-000029000000}">
      <text>
        <r>
          <rPr>
            <b/>
            <sz val="10"/>
            <color indexed="81"/>
            <rFont val="Arial"/>
            <family val="2"/>
          </rPr>
          <t>Other assumptions:</t>
        </r>
        <r>
          <rPr>
            <sz val="10"/>
            <color indexed="81"/>
            <rFont val="Arial"/>
            <family val="2"/>
          </rPr>
          <t xml:space="preserve">
If the debt-service ratio of the operator falls below this level, then it is assumed to be bankrupt.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Helen Lay</author>
  </authors>
  <commentList>
    <comment ref="R4" authorId="0" shapeId="0" xr:uid="{00000000-0006-0000-0200-000001000000}">
      <text>
        <r>
          <rPr>
            <b/>
            <sz val="10"/>
            <color indexed="81"/>
            <rFont val="Arial"/>
            <family val="2"/>
          </rPr>
          <t>Focus - Risk analysis:</t>
        </r>
        <r>
          <rPr>
            <sz val="10"/>
            <color indexed="81"/>
            <rFont val="Arial"/>
            <family val="2"/>
          </rPr>
          <t xml:space="preserve">
The number of iterations to run through in the simulation.</t>
        </r>
      </text>
    </comment>
    <comment ref="V4" authorId="0" shapeId="0" xr:uid="{00000000-0006-0000-0200-000002000000}">
      <text>
        <r>
          <rPr>
            <b/>
            <sz val="10"/>
            <color indexed="81"/>
            <rFont val="Arial"/>
            <family val="2"/>
          </rPr>
          <t>Focus - Risk analysis:</t>
        </r>
        <r>
          <rPr>
            <sz val="10"/>
            <color indexed="81"/>
            <rFont val="Arial"/>
            <family val="2"/>
          </rPr>
          <t xml:space="preserve">
Summary statistics based on the chosen number of iterations.</t>
        </r>
      </text>
    </comment>
    <comment ref="T6" authorId="0" shapeId="0" xr:uid="{00000000-0006-0000-0200-000003000000}">
      <text>
        <r>
          <rPr>
            <b/>
            <sz val="10"/>
            <color indexed="81"/>
            <rFont val="Arial"/>
            <family val="2"/>
          </rPr>
          <t>Focus - Risk analysis:</t>
        </r>
        <r>
          <rPr>
            <sz val="10"/>
            <color indexed="81"/>
            <rFont val="Arial"/>
            <family val="2"/>
          </rPr>
          <t xml:space="preserve">
Total time taken to run the selected number of iterations.</t>
        </r>
      </text>
    </comment>
    <comment ref="X6" authorId="0" shapeId="0" xr:uid="{00000000-0006-0000-0200-000004000000}">
      <text>
        <r>
          <rPr>
            <b/>
            <sz val="10"/>
            <color indexed="81"/>
            <rFont val="Arial"/>
            <family val="2"/>
          </rPr>
          <t>Focus - Risk analysis:</t>
        </r>
        <r>
          <rPr>
            <sz val="10"/>
            <color indexed="81"/>
            <rFont val="Arial"/>
            <family val="2"/>
          </rPr>
          <t xml:space="preserve">
Average value of the present value of cash flows based on on the selected review period and other policy choices.</t>
        </r>
      </text>
    </comment>
    <comment ref="X7" authorId="0" shapeId="0" xr:uid="{00000000-0006-0000-0200-000005000000}">
      <text>
        <r>
          <rPr>
            <b/>
            <sz val="10"/>
            <color indexed="81"/>
            <rFont val="Arial"/>
            <family val="2"/>
          </rPr>
          <t>Focus - Risk analysis:</t>
        </r>
        <r>
          <rPr>
            <sz val="10"/>
            <color indexed="81"/>
            <rFont val="Arial"/>
            <family val="2"/>
          </rPr>
          <t xml:space="preserve">
Standard deviation of the present value of cash flows based on on the selected review period and other policy choices.</t>
        </r>
      </text>
    </comment>
    <comment ref="X8" authorId="0" shapeId="0" xr:uid="{00000000-0006-0000-0200-000006000000}">
      <text>
        <r>
          <rPr>
            <b/>
            <sz val="10"/>
            <color indexed="81"/>
            <rFont val="Arial"/>
            <family val="2"/>
          </rPr>
          <t>Focus - Risk analysis:</t>
        </r>
        <r>
          <rPr>
            <sz val="10"/>
            <color indexed="81"/>
            <rFont val="Arial"/>
            <family val="2"/>
          </rPr>
          <t xml:space="preserve">
Maximum value of the present value of cash flows based on the selected review period and other policy choices.</t>
        </r>
      </text>
    </comment>
    <comment ref="X9" authorId="0" shapeId="0" xr:uid="{00000000-0006-0000-0200-000007000000}">
      <text>
        <r>
          <rPr>
            <b/>
            <sz val="10"/>
            <color indexed="81"/>
            <rFont val="Arial"/>
            <family val="2"/>
          </rPr>
          <t>Focus - Risk analysis:</t>
        </r>
        <r>
          <rPr>
            <sz val="10"/>
            <color indexed="81"/>
            <rFont val="Arial"/>
            <family val="2"/>
          </rPr>
          <t xml:space="preserve">
Minimum value of the present value of cash flows based on the selected review period and other policy choices.</t>
        </r>
      </text>
    </comment>
    <comment ref="X11" authorId="0" shapeId="0" xr:uid="{00000000-0006-0000-0200-000008000000}">
      <text>
        <r>
          <rPr>
            <b/>
            <sz val="10"/>
            <color indexed="81"/>
            <rFont val="Arial"/>
            <family val="2"/>
          </rPr>
          <t>Focus - Risk analysis:</t>
        </r>
        <r>
          <rPr>
            <sz val="10"/>
            <color indexed="81"/>
            <rFont val="Arial"/>
            <family val="2"/>
          </rPr>
          <t xml:space="preserve">
Probability that average debt coverage ratio over the contract period is less than the minimum stipulated by financial convenants.</t>
        </r>
      </text>
    </comment>
    <comment ref="D12" authorId="0" shapeId="0" xr:uid="{00000000-0006-0000-0200-000009000000}">
      <text>
        <r>
          <rPr>
            <b/>
            <sz val="10"/>
            <color indexed="81"/>
            <rFont val="Arial"/>
            <family val="2"/>
          </rPr>
          <t>Policy choices:</t>
        </r>
        <r>
          <rPr>
            <sz val="10"/>
            <color indexed="81"/>
            <rFont val="Arial"/>
            <family val="2"/>
          </rPr>
          <t xml:space="preserve">
Lease payments, concession fees and license fees can be represented by negative annual payments, i.e. payments from the operator to the contracting authority.</t>
        </r>
      </text>
    </comment>
    <comment ref="D16" authorId="0" shapeId="0" xr:uid="{00000000-0006-0000-0200-00000A000000}">
      <text>
        <r>
          <rPr>
            <b/>
            <sz val="10"/>
            <color indexed="81"/>
            <rFont val="Arial"/>
            <family val="2"/>
          </rPr>
          <t>Policy choices:</t>
        </r>
        <r>
          <rPr>
            <sz val="10"/>
            <color indexed="81"/>
            <rFont val="Arial"/>
            <family val="2"/>
          </rPr>
          <t xml:space="preserve">
If the private operator pays for all  investment, then this is set to 100%. If the contracting authority is fully responsbile, then this is 0%. </t>
        </r>
      </text>
    </comment>
    <comment ref="D19" authorId="0" shapeId="0" xr:uid="{00000000-0006-0000-0200-00000B000000}">
      <text>
        <r>
          <rPr>
            <b/>
            <sz val="10"/>
            <color indexed="81"/>
            <rFont val="Arial"/>
            <family val="2"/>
          </rPr>
          <t>Policy choices:</t>
        </r>
        <r>
          <rPr>
            <sz val="10"/>
            <color indexed="81"/>
            <rFont val="Arial"/>
            <family val="2"/>
          </rPr>
          <t xml:space="preserve">
The costs of coverage extension can be funded through debt (for example, taking out a loan), or through equity (that is, equity injections by the private operator, the contracting authority, or both)</t>
        </r>
      </text>
    </comment>
    <comment ref="D20" authorId="0" shapeId="0" xr:uid="{00000000-0006-0000-0200-00000C000000}">
      <text>
        <r>
          <rPr>
            <b/>
            <sz val="10"/>
            <color indexed="81"/>
            <rFont val="Arial"/>
            <family val="2"/>
          </rPr>
          <t>Policy choices:</t>
        </r>
        <r>
          <rPr>
            <sz val="10"/>
            <color indexed="81"/>
            <rFont val="Arial"/>
            <family val="2"/>
          </rPr>
          <t xml:space="preserve">
If the investment is funded by debt, then there is an option of either issuing this loan in domestic currency (pesos) or foreign currency (dollars).</t>
        </r>
      </text>
    </comment>
    <comment ref="D26" authorId="0" shapeId="0" xr:uid="{00000000-0006-0000-0200-00000D000000}">
      <text>
        <r>
          <rPr>
            <b/>
            <sz val="10"/>
            <color indexed="81"/>
            <rFont val="Arial"/>
            <family val="2"/>
          </rPr>
          <t>Policy choices:</t>
        </r>
        <r>
          <rPr>
            <sz val="10"/>
            <color indexed="81"/>
            <rFont val="Arial"/>
            <family val="2"/>
          </rPr>
          <t xml:space="preserve">
Frequency of tariff resets.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Helen Lay</author>
  </authors>
  <commentList>
    <comment ref="H3" authorId="0" shapeId="0" xr:uid="{00000000-0006-0000-0300-000001000000}">
      <text>
        <r>
          <rPr>
            <b/>
            <sz val="10"/>
            <color indexed="81"/>
            <rFont val="Arial"/>
            <family val="2"/>
          </rPr>
          <t>Focus - Economic factors:</t>
        </r>
        <r>
          <rPr>
            <sz val="10"/>
            <color indexed="81"/>
            <rFont val="Arial"/>
            <family val="2"/>
          </rPr>
          <t xml:space="preserve">
Select one of these options to plot the forecasts over the contract period for these variables. The red line represents the "No risk" case where there are no unexpected changes in the variables. The dotted line represent many possible paths that these variables may take. Press "F9" on your keyboard to see an alternative outcome.</t>
        </r>
      </text>
    </comment>
    <comment ref="D6" authorId="0" shapeId="0" xr:uid="{00000000-0006-0000-0300-000002000000}">
      <text>
        <r>
          <rPr>
            <b/>
            <sz val="10"/>
            <color indexed="81"/>
            <rFont val="Arial"/>
            <family val="2"/>
          </rPr>
          <t>Other assumptions:</t>
        </r>
        <r>
          <rPr>
            <sz val="10"/>
            <color indexed="81"/>
            <rFont val="Arial"/>
            <family val="2"/>
          </rPr>
          <t xml:space="preserve">
Current value of the exchange rate, expressed in terms of pesos per dollar.</t>
        </r>
      </text>
    </comment>
    <comment ref="F6" authorId="0" shapeId="0" xr:uid="{00000000-0006-0000-0300-000003000000}">
      <text>
        <r>
          <rPr>
            <b/>
            <sz val="10"/>
            <color indexed="81"/>
            <rFont val="Arial"/>
            <family val="2"/>
          </rPr>
          <t>Other assumptions:</t>
        </r>
        <r>
          <rPr>
            <sz val="10"/>
            <color indexed="81"/>
            <rFont val="Arial"/>
            <family val="2"/>
          </rPr>
          <t xml:space="preserve">
Current value of inflation. It is the rate of change of the Consumer Price Index.</t>
        </r>
      </text>
    </comment>
    <comment ref="D7" authorId="0" shapeId="0" xr:uid="{00000000-0006-0000-0300-000004000000}">
      <text>
        <r>
          <rPr>
            <b/>
            <sz val="10"/>
            <color indexed="81"/>
            <rFont val="Arial"/>
            <family val="2"/>
          </rPr>
          <t>Other assumptions:</t>
        </r>
        <r>
          <rPr>
            <sz val="10"/>
            <color indexed="81"/>
            <rFont val="Arial"/>
            <family val="2"/>
          </rPr>
          <t xml:space="preserve">
Expected annual change in the exchange rate. A positive change is a depreciation of the currency (more pesos per dollar), and a negative change is an appreciation of the peso.</t>
        </r>
      </text>
    </comment>
    <comment ref="F7" authorId="0" shapeId="0" xr:uid="{00000000-0006-0000-0300-000005000000}">
      <text>
        <r>
          <rPr>
            <b/>
            <sz val="10"/>
            <color indexed="81"/>
            <rFont val="Arial"/>
            <family val="2"/>
          </rPr>
          <t>Other assumptions:</t>
        </r>
        <r>
          <rPr>
            <sz val="10"/>
            <color indexed="81"/>
            <rFont val="Arial"/>
            <family val="2"/>
          </rPr>
          <t xml:space="preserve">
Long term value of inflation. This is the long term rate that the current inflation will tend towards.</t>
        </r>
      </text>
    </comment>
    <comment ref="D8" authorId="0" shapeId="0" xr:uid="{00000000-0006-0000-0300-000006000000}">
      <text>
        <r>
          <rPr>
            <b/>
            <sz val="10"/>
            <color indexed="81"/>
            <rFont val="Arial"/>
            <family val="2"/>
          </rPr>
          <t>Other assumptions:</t>
        </r>
        <r>
          <rPr>
            <sz val="10"/>
            <color indexed="81"/>
            <rFont val="Arial"/>
            <family val="2"/>
          </rPr>
          <t xml:space="preserve">
Uncertainty around the exchange rate over one-year period. A 1% volatility means that over the period of one year, the exchange rate has the potential to go up or down by 1%. </t>
        </r>
      </text>
    </comment>
    <comment ref="F8" authorId="0" shapeId="0" xr:uid="{00000000-0006-0000-0300-000007000000}">
      <text>
        <r>
          <rPr>
            <b/>
            <sz val="10"/>
            <color indexed="81"/>
            <rFont val="Arial"/>
            <family val="2"/>
          </rPr>
          <t>Other assumptions:</t>
        </r>
        <r>
          <rPr>
            <sz val="10"/>
            <color indexed="81"/>
            <rFont val="Arial"/>
            <family val="2"/>
          </rPr>
          <t xml:space="preserve">
Uncertainty around the inflation over one-year period. A 1% volatility means that over the period of one year, inflation has the potential to go up or down by 1%. </t>
        </r>
      </text>
    </comment>
    <comment ref="F9" authorId="0" shapeId="0" xr:uid="{00000000-0006-0000-0300-000008000000}">
      <text>
        <r>
          <rPr>
            <b/>
            <sz val="10"/>
            <color indexed="81"/>
            <rFont val="Arial"/>
            <family val="2"/>
          </rPr>
          <t>Other assumptions:</t>
        </r>
        <r>
          <rPr>
            <sz val="10"/>
            <color indexed="81"/>
            <rFont val="Arial"/>
            <family val="2"/>
          </rPr>
          <t xml:space="preserve">
The rate at which current inflation will tend towards its long term value.</t>
        </r>
      </text>
    </comment>
    <comment ref="D10" authorId="0" shapeId="0" xr:uid="{00000000-0006-0000-0300-000009000000}">
      <text>
        <r>
          <rPr>
            <b/>
            <sz val="10"/>
            <color indexed="81"/>
            <rFont val="Arial"/>
            <family val="2"/>
          </rPr>
          <t>Other assumptions:</t>
        </r>
        <r>
          <rPr>
            <sz val="10"/>
            <color indexed="81"/>
            <rFont val="Arial"/>
            <family val="2"/>
          </rPr>
          <t xml:space="preserve">
Real interest rate, assumed to remain constant over the life of the contract.</t>
        </r>
      </text>
    </comment>
    <comment ref="D11" authorId="0" shapeId="0" xr:uid="{00000000-0006-0000-0300-00000A000000}">
      <text>
        <r>
          <rPr>
            <b/>
            <sz val="10"/>
            <color indexed="81"/>
            <rFont val="Arial"/>
            <family val="2"/>
          </rPr>
          <t>Other assumptions:</t>
        </r>
        <r>
          <rPr>
            <sz val="10"/>
            <color indexed="81"/>
            <rFont val="Arial"/>
            <family val="2"/>
          </rPr>
          <t xml:space="preserve">
Discount rate applied to determine net present values. This is also the Weighted Average Cost of Capital.</t>
        </r>
      </text>
    </comment>
    <comment ref="D14" authorId="0" shapeId="0" xr:uid="{00000000-0006-0000-0300-00000B000000}">
      <text>
        <r>
          <rPr>
            <b/>
            <sz val="10"/>
            <color indexed="81"/>
            <rFont val="Arial"/>
            <family val="2"/>
          </rPr>
          <t>Other assumptions:</t>
        </r>
        <r>
          <rPr>
            <sz val="10"/>
            <color indexed="81"/>
            <rFont val="Arial"/>
            <family val="2"/>
          </rPr>
          <t xml:space="preserve">
Current value of the number of households in the economy. This is the maximum number of connections that the private operator can hope to gain.</t>
        </r>
      </text>
    </comment>
    <comment ref="D15" authorId="0" shapeId="0" xr:uid="{00000000-0006-0000-0300-00000C000000}">
      <text>
        <r>
          <rPr>
            <b/>
            <sz val="10"/>
            <color indexed="81"/>
            <rFont val="Arial"/>
            <family val="2"/>
          </rPr>
          <t>Other assumptions:</t>
        </r>
        <r>
          <rPr>
            <sz val="10"/>
            <color indexed="81"/>
            <rFont val="Arial"/>
            <family val="2"/>
          </rPr>
          <t xml:space="preserve">
Current service coverage is the number of households that are currently connected divided by the total number of households.</t>
        </r>
      </text>
    </comment>
    <comment ref="D21" authorId="0" shapeId="0" xr:uid="{00000000-0006-0000-0300-00000D000000}">
      <text>
        <r>
          <rPr>
            <b/>
            <sz val="10"/>
            <color indexed="81"/>
            <rFont val="Arial"/>
            <family val="2"/>
          </rPr>
          <t>Other assumptions:</t>
        </r>
        <r>
          <rPr>
            <sz val="10"/>
            <color indexed="81"/>
            <rFont val="Arial"/>
            <family val="2"/>
          </rPr>
          <t xml:space="preserve">
Current demand per connection per day, expressed in litres.</t>
        </r>
      </text>
    </comment>
    <comment ref="E21" authorId="0" shapeId="0" xr:uid="{00000000-0006-0000-0300-00000E000000}">
      <text>
        <r>
          <rPr>
            <b/>
            <sz val="10"/>
            <color indexed="81"/>
            <rFont val="Arial"/>
            <family val="2"/>
          </rPr>
          <t>Other assumptions:</t>
        </r>
        <r>
          <rPr>
            <sz val="10"/>
            <color indexed="81"/>
            <rFont val="Arial"/>
            <family val="2"/>
          </rPr>
          <t xml:space="preserve">
Current usage of water from other sources, expressed as litres per household per day.
This demand is assumed to stay constant.</t>
        </r>
      </text>
    </comment>
    <comment ref="D22" authorId="0" shapeId="0" xr:uid="{00000000-0006-0000-0300-00000F000000}">
      <text>
        <r>
          <rPr>
            <b/>
            <sz val="10"/>
            <color indexed="81"/>
            <rFont val="Arial"/>
            <family val="2"/>
          </rPr>
          <t>Other assumptions:</t>
        </r>
        <r>
          <rPr>
            <sz val="10"/>
            <color indexed="81"/>
            <rFont val="Arial"/>
            <family val="2"/>
          </rPr>
          <t xml:space="preserve">
Household demand is assumed to grow at a constant rate, with some variability around this.</t>
        </r>
      </text>
    </comment>
    <comment ref="D26" authorId="0" shapeId="0" xr:uid="{00000000-0006-0000-0300-000010000000}">
      <text>
        <r>
          <rPr>
            <b/>
            <sz val="10"/>
            <color indexed="81"/>
            <rFont val="Arial"/>
            <family val="2"/>
          </rPr>
          <t>Other assumptions:</t>
        </r>
        <r>
          <rPr>
            <sz val="10"/>
            <color indexed="81"/>
            <rFont val="Arial"/>
            <family val="2"/>
          </rPr>
          <t xml:space="preserve">
Non-revenue water include Unaccounted for water (UFW) and water used for public services (such as firefighting).</t>
        </r>
      </text>
    </comment>
    <comment ref="E26" authorId="0" shapeId="0" xr:uid="{00000000-0006-0000-0300-000011000000}">
      <text>
        <r>
          <rPr>
            <b/>
            <sz val="10"/>
            <color indexed="81"/>
            <rFont val="Arial"/>
            <family val="2"/>
          </rPr>
          <t>Other assumptions:</t>
        </r>
        <r>
          <rPr>
            <sz val="10"/>
            <color indexed="81"/>
            <rFont val="Arial"/>
            <family val="2"/>
          </rPr>
          <t xml:space="preserve">
Non-revenue water is assumed to decrease from current level to a target level. The minimum value this can take is 0%.</t>
        </r>
      </text>
    </comment>
    <comment ref="F26" authorId="0" shapeId="0" xr:uid="{00000000-0006-0000-0300-000012000000}">
      <text>
        <r>
          <rPr>
            <b/>
            <sz val="10"/>
            <color indexed="81"/>
            <rFont val="Arial"/>
            <family val="2"/>
          </rPr>
          <t>Other assumptions:</t>
        </r>
        <r>
          <rPr>
            <sz val="10"/>
            <color indexed="81"/>
            <rFont val="Arial"/>
            <family val="2"/>
          </rPr>
          <t xml:space="preserve">
The year in which the target level of non-revenue water is to be reached.</t>
        </r>
      </text>
    </comment>
    <comment ref="D32" authorId="0" shapeId="0" xr:uid="{00000000-0006-0000-0300-000013000000}">
      <text>
        <r>
          <rPr>
            <b/>
            <sz val="10"/>
            <color indexed="81"/>
            <rFont val="Arial"/>
            <family val="2"/>
          </rPr>
          <t>Other assumptions:</t>
        </r>
        <r>
          <rPr>
            <sz val="10"/>
            <color indexed="81"/>
            <rFont val="Arial"/>
            <family val="2"/>
          </rPr>
          <t xml:space="preserve">
Willingness to pay (per cubic meter) for a household connections versus other sources, expressed as a percentage of what is currently charged.</t>
        </r>
      </text>
    </comment>
    <comment ref="E32" authorId="0" shapeId="0" xr:uid="{00000000-0006-0000-0300-000014000000}">
      <text>
        <r>
          <rPr>
            <b/>
            <sz val="10"/>
            <color indexed="81"/>
            <rFont val="Arial"/>
            <family val="2"/>
          </rPr>
          <t>Other assumptions:</t>
        </r>
        <r>
          <rPr>
            <sz val="10"/>
            <color indexed="81"/>
            <rFont val="Arial"/>
            <family val="2"/>
          </rPr>
          <t xml:space="preserve">
Willingness to incur coping costs to remain unconnected to the water system.</t>
        </r>
      </text>
    </comment>
    <comment ref="D40" authorId="0" shapeId="0" xr:uid="{00000000-0006-0000-0300-000015000000}">
      <text>
        <r>
          <rPr>
            <b/>
            <sz val="10"/>
            <color indexed="81"/>
            <rFont val="Arial"/>
            <family val="2"/>
          </rPr>
          <t>Other assumptions:</t>
        </r>
        <r>
          <rPr>
            <sz val="10"/>
            <color indexed="81"/>
            <rFont val="Arial"/>
            <family val="2"/>
          </rPr>
          <t xml:space="preserve">
Tariff charged to households that are connected to the water system prior to the introduction of the private operator, expressed in terms of pesos per cubic meter.</t>
        </r>
      </text>
    </comment>
    <comment ref="E40" authorId="0" shapeId="0" xr:uid="{00000000-0006-0000-0300-000016000000}">
      <text>
        <r>
          <rPr>
            <b/>
            <sz val="10"/>
            <color indexed="81"/>
            <rFont val="Arial"/>
            <family val="2"/>
          </rPr>
          <t>Other assumptions:</t>
        </r>
        <r>
          <rPr>
            <sz val="10"/>
            <color indexed="81"/>
            <rFont val="Arial"/>
            <family val="2"/>
          </rPr>
          <t xml:space="preserve">
Tariff charged to households that obtain water from other methods (e.g. water tankers, river sources), expressed in terms of pesos per cubic meter.</t>
        </r>
      </text>
    </comment>
    <comment ref="E41" authorId="0" shapeId="0" xr:uid="{00000000-0006-0000-0300-000017000000}">
      <text>
        <r>
          <rPr>
            <b/>
            <sz val="10"/>
            <color indexed="81"/>
            <rFont val="Arial"/>
            <family val="2"/>
          </rPr>
          <t>Other assumptions:</t>
        </r>
        <r>
          <rPr>
            <sz val="10"/>
            <color indexed="81"/>
            <rFont val="Arial"/>
            <family val="2"/>
          </rPr>
          <t xml:space="preserve">
Additional cost incurred by unconnected households in order to obtain water, such as time traveled to river source, cost of installing water storage.</t>
        </r>
      </text>
    </comment>
    <comment ref="E46" authorId="0" shapeId="0" xr:uid="{00000000-0006-0000-0300-000018000000}">
      <text>
        <r>
          <rPr>
            <b/>
            <sz val="10"/>
            <color indexed="81"/>
            <rFont val="Arial"/>
            <family val="2"/>
          </rPr>
          <t>Other assumptions:</t>
        </r>
        <r>
          <rPr>
            <sz val="10"/>
            <color indexed="81"/>
            <rFont val="Arial"/>
            <family val="2"/>
          </rPr>
          <t xml:space="preserve">
Investment cost per connection, expressed in pesos. This is a one-off charge.</t>
        </r>
      </text>
    </comment>
    <comment ref="E49" authorId="0" shapeId="0" xr:uid="{00000000-0006-0000-0300-000019000000}">
      <text>
        <r>
          <rPr>
            <b/>
            <sz val="10"/>
            <color indexed="81"/>
            <rFont val="Arial"/>
            <family val="2"/>
          </rPr>
          <t>Other assumptions:</t>
        </r>
        <r>
          <rPr>
            <sz val="10"/>
            <color indexed="81"/>
            <rFont val="Arial"/>
            <family val="2"/>
          </rPr>
          <t xml:space="preserve">
Proportion of investment cost assumed to be fixed operating cost.</t>
        </r>
      </text>
    </comment>
    <comment ref="E50" authorId="0" shapeId="0" xr:uid="{00000000-0006-0000-0300-00001A000000}">
      <text>
        <r>
          <rPr>
            <b/>
            <sz val="10"/>
            <color indexed="81"/>
            <rFont val="Arial"/>
            <family val="2"/>
          </rPr>
          <t>Other assumptions:</t>
        </r>
        <r>
          <rPr>
            <sz val="10"/>
            <color indexed="81"/>
            <rFont val="Arial"/>
            <family val="2"/>
          </rPr>
          <t xml:space="preserve">
Current level of fixed operating cost = Proportion of investment assumed to be fixed * Investment cost * Current level of connections.</t>
        </r>
      </text>
    </comment>
    <comment ref="E51" authorId="0" shapeId="0" xr:uid="{00000000-0006-0000-0300-00001B000000}">
      <text>
        <r>
          <rPr>
            <b/>
            <sz val="10"/>
            <color indexed="81"/>
            <rFont val="Arial"/>
            <family val="2"/>
          </rPr>
          <t>Other assumptions:</t>
        </r>
        <r>
          <rPr>
            <sz val="10"/>
            <color indexed="81"/>
            <rFont val="Arial"/>
            <family val="2"/>
          </rPr>
          <t xml:space="preserve">
Annual real growth rate of fixed operating costs.</t>
        </r>
      </text>
    </comment>
    <comment ref="E52" authorId="0" shapeId="0" xr:uid="{00000000-0006-0000-0300-00001C000000}">
      <text>
        <r>
          <rPr>
            <b/>
            <sz val="10"/>
            <color indexed="81"/>
            <rFont val="Arial"/>
            <family val="2"/>
          </rPr>
          <t>Other assumptions:</t>
        </r>
        <r>
          <rPr>
            <sz val="10"/>
            <color indexed="81"/>
            <rFont val="Arial"/>
            <family val="2"/>
          </rPr>
          <t xml:space="preserve">
Proportion of fixed costs that is assumed to be denominated in dollars, and are therefore affected by changes in the exchange rate.</t>
        </r>
      </text>
    </comment>
    <comment ref="E54" authorId="0" shapeId="0" xr:uid="{00000000-0006-0000-0300-00001D000000}">
      <text>
        <r>
          <rPr>
            <b/>
            <sz val="10"/>
            <color indexed="81"/>
            <rFont val="Arial"/>
            <family val="2"/>
          </rPr>
          <t>Other assumptions:</t>
        </r>
        <r>
          <rPr>
            <sz val="10"/>
            <color indexed="81"/>
            <rFont val="Arial"/>
            <family val="2"/>
          </rPr>
          <t xml:space="preserve">
Variable costs per cubic meter.</t>
        </r>
      </text>
    </comment>
    <comment ref="E55" authorId="0" shapeId="0" xr:uid="{00000000-0006-0000-0300-00001E000000}">
      <text>
        <r>
          <rPr>
            <b/>
            <sz val="10"/>
            <color indexed="81"/>
            <rFont val="Arial"/>
            <family val="2"/>
          </rPr>
          <t>Other assumptions:</t>
        </r>
        <r>
          <rPr>
            <sz val="10"/>
            <color indexed="81"/>
            <rFont val="Arial"/>
            <family val="2"/>
          </rPr>
          <t xml:space="preserve">
Annual real growth rate of operating operating costs.</t>
        </r>
      </text>
    </comment>
    <comment ref="E56" authorId="0" shapeId="0" xr:uid="{00000000-0006-0000-0300-00001F000000}">
      <text>
        <r>
          <rPr>
            <b/>
            <sz val="10"/>
            <color indexed="81"/>
            <rFont val="Arial"/>
            <family val="2"/>
          </rPr>
          <t>Other assumptions:</t>
        </r>
        <r>
          <rPr>
            <sz val="10"/>
            <color indexed="81"/>
            <rFont val="Arial"/>
            <family val="2"/>
          </rPr>
          <t xml:space="preserve">
Proportion of variable costs that is assumed to be denominated in dollars, and are therefore affected by changes in the exchange rate.</t>
        </r>
      </text>
    </comment>
    <comment ref="E59" authorId="0" shapeId="0" xr:uid="{00000000-0006-0000-0300-000020000000}">
      <text>
        <r>
          <rPr>
            <b/>
            <sz val="10"/>
            <color indexed="81"/>
            <rFont val="Arial"/>
            <family val="2"/>
          </rPr>
          <t>Other assumptions:</t>
        </r>
        <r>
          <rPr>
            <sz val="10"/>
            <color indexed="81"/>
            <rFont val="Arial"/>
            <family val="2"/>
          </rPr>
          <t xml:space="preserve">
Initial asset base, expressed in pesos.</t>
        </r>
      </text>
    </comment>
    <comment ref="E60" authorId="0" shapeId="0" xr:uid="{00000000-0006-0000-0300-000021000000}">
      <text>
        <r>
          <rPr>
            <b/>
            <sz val="10"/>
            <color indexed="81"/>
            <rFont val="Arial"/>
            <family val="2"/>
          </rPr>
          <t>Other assumptions:</t>
        </r>
        <r>
          <rPr>
            <sz val="10"/>
            <color indexed="81"/>
            <rFont val="Arial"/>
            <family val="2"/>
          </rPr>
          <t xml:space="preserve">
Annual depreciation rate. Depreciation charge in each year is Depreciate rate * Value of opening assets.</t>
        </r>
      </text>
    </comment>
    <comment ref="D66" authorId="0" shapeId="0" xr:uid="{00000000-0006-0000-0300-000022000000}">
      <text>
        <r>
          <rPr>
            <b/>
            <sz val="10"/>
            <color indexed="81"/>
            <rFont val="Arial"/>
            <family val="2"/>
          </rPr>
          <t>Other assumptions:</t>
        </r>
        <r>
          <rPr>
            <sz val="10"/>
            <color indexed="81"/>
            <rFont val="Arial"/>
            <family val="2"/>
          </rPr>
          <t xml:space="preserve">
Collection rate is the proportion of total billed demand that the operator can collect. The remainder is assumed to be bad debt.</t>
        </r>
      </text>
    </comment>
    <comment ref="D67" authorId="0" shapeId="0" xr:uid="{00000000-0006-0000-0300-000023000000}">
      <text>
        <r>
          <rPr>
            <b/>
            <sz val="10"/>
            <color indexed="81"/>
            <rFont val="Arial"/>
            <family val="2"/>
          </rPr>
          <t>Other assumptions:</t>
        </r>
        <r>
          <rPr>
            <sz val="10"/>
            <color indexed="81"/>
            <rFont val="Arial"/>
            <family val="2"/>
          </rPr>
          <t xml:space="preserve">
Collection rate is assumed to gradually increase from current level to a target level.</t>
        </r>
      </text>
    </comment>
    <comment ref="D68" authorId="0" shapeId="0" xr:uid="{00000000-0006-0000-0300-000024000000}">
      <text>
        <r>
          <rPr>
            <b/>
            <sz val="10"/>
            <color indexed="81"/>
            <rFont val="Arial"/>
            <family val="2"/>
          </rPr>
          <t>Other assumptions:</t>
        </r>
        <r>
          <rPr>
            <sz val="10"/>
            <color indexed="81"/>
            <rFont val="Arial"/>
            <family val="2"/>
          </rPr>
          <t xml:space="preserve">
Year in which the collection target is to be achieved.</t>
        </r>
      </text>
    </comment>
    <comment ref="D73" authorId="0" shapeId="0" xr:uid="{00000000-0006-0000-0300-000025000000}">
      <text>
        <r>
          <rPr>
            <b/>
            <sz val="10"/>
            <color indexed="81"/>
            <rFont val="Arial"/>
            <family val="2"/>
          </rPr>
          <t>Other assumptions:</t>
        </r>
        <r>
          <rPr>
            <sz val="10"/>
            <color indexed="81"/>
            <rFont val="Arial"/>
            <family val="2"/>
          </rPr>
          <t xml:space="preserve">
If the debt-service ratio of the operator falls below this level, then it is assumed to be bankrupt.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Helen Lay</author>
  </authors>
  <commentList>
    <comment ref="C4" authorId="0" shapeId="0" xr:uid="{00000000-0006-0000-0400-000001000000}">
      <text>
        <r>
          <rPr>
            <b/>
            <sz val="10"/>
            <color indexed="81"/>
            <rFont val="Arial"/>
            <family val="2"/>
          </rPr>
          <t>Results - No risk:</t>
        </r>
        <r>
          <rPr>
            <sz val="10"/>
            <color indexed="81"/>
            <rFont val="Arial"/>
            <family val="2"/>
          </rPr>
          <t xml:space="preserve">
Inflation (i.e. the rate of growth of the Consumer Price Index) is assumed to have a long-run average level to which it tends to converge.</t>
        </r>
      </text>
    </comment>
    <comment ref="C8" authorId="0" shapeId="0" xr:uid="{00000000-0006-0000-0400-000002000000}">
      <text>
        <r>
          <rPr>
            <b/>
            <sz val="10"/>
            <color indexed="81"/>
            <rFont val="Arial"/>
            <family val="2"/>
          </rPr>
          <t>Results - No risk:</t>
        </r>
        <r>
          <rPr>
            <sz val="10"/>
            <color indexed="81"/>
            <rFont val="Arial"/>
            <family val="2"/>
          </rPr>
          <t xml:space="preserve">
Real exchange rate is assumed to depreciate (or appreciate) at a constant rate per year.</t>
        </r>
      </text>
    </comment>
    <comment ref="C9" authorId="0" shapeId="0" xr:uid="{00000000-0006-0000-0400-000003000000}">
      <text>
        <r>
          <rPr>
            <b/>
            <sz val="10"/>
            <color indexed="81"/>
            <rFont val="Arial"/>
            <family val="2"/>
          </rPr>
          <t>Results - No risk:</t>
        </r>
        <r>
          <rPr>
            <sz val="10"/>
            <color indexed="81"/>
            <rFont val="Arial"/>
            <family val="2"/>
          </rPr>
          <t xml:space="preserve">
Nominal exchange rate is assumed to the Real exchange rate, inflated at the current inflation.</t>
        </r>
      </text>
    </comment>
    <comment ref="C11" authorId="0" shapeId="0" xr:uid="{00000000-0006-0000-0400-000004000000}">
      <text>
        <r>
          <rPr>
            <b/>
            <sz val="10"/>
            <color indexed="81"/>
            <rFont val="Arial"/>
            <family val="2"/>
          </rPr>
          <t>Results - No risk:</t>
        </r>
        <r>
          <rPr>
            <sz val="10"/>
            <color indexed="81"/>
            <rFont val="Arial"/>
            <family val="2"/>
          </rPr>
          <t xml:space="preserve">
Discount factor used to calculate the discounted cash flows.</t>
        </r>
      </text>
    </comment>
    <comment ref="C15" authorId="0" shapeId="0" xr:uid="{00000000-0006-0000-0400-000005000000}">
      <text>
        <r>
          <rPr>
            <b/>
            <sz val="10"/>
            <color indexed="81"/>
            <rFont val="Arial"/>
            <family val="2"/>
          </rPr>
          <t>Results - No risk:</t>
        </r>
        <r>
          <rPr>
            <sz val="10"/>
            <color indexed="81"/>
            <rFont val="Arial"/>
            <family val="2"/>
          </rPr>
          <t xml:space="preserve">
Potential connections is the total number of households, whether they are currently connected to the network or not. This is assumed to grow at a constant rate per year</t>
        </r>
      </text>
    </comment>
    <comment ref="C16" authorId="0" shapeId="0" xr:uid="{00000000-0006-0000-0400-000006000000}">
      <text>
        <r>
          <rPr>
            <b/>
            <sz val="10"/>
            <color indexed="81"/>
            <rFont val="Arial"/>
            <family val="2"/>
          </rPr>
          <t>Results - No risk:</t>
        </r>
        <r>
          <rPr>
            <sz val="10"/>
            <color indexed="81"/>
            <rFont val="Arial"/>
            <family val="2"/>
          </rPr>
          <t xml:space="preserve">
Coverage is the proportion of connected households to potential connections (i.e. total households). Coverage is assumed to increase from existing level to the Target level following an S-shaped curve.</t>
        </r>
      </text>
    </comment>
    <comment ref="C17" authorId="0" shapeId="0" xr:uid="{00000000-0006-0000-0400-000007000000}">
      <text>
        <r>
          <rPr>
            <b/>
            <sz val="10"/>
            <color indexed="81"/>
            <rFont val="Arial"/>
            <family val="2"/>
          </rPr>
          <t>Results - No risk:</t>
        </r>
        <r>
          <rPr>
            <sz val="10"/>
            <color indexed="81"/>
            <rFont val="Arial"/>
            <family val="2"/>
          </rPr>
          <t xml:space="preserve">
Number of connections is calculated as:
Potential connections * Coverage</t>
        </r>
      </text>
    </comment>
    <comment ref="C18" authorId="0" shapeId="0" xr:uid="{00000000-0006-0000-0400-000008000000}">
      <text>
        <r>
          <rPr>
            <b/>
            <sz val="10"/>
            <color indexed="81"/>
            <rFont val="Arial"/>
            <family val="2"/>
          </rPr>
          <t>Results - No risk:</t>
        </r>
        <r>
          <rPr>
            <sz val="10"/>
            <color indexed="81"/>
            <rFont val="Arial"/>
            <family val="2"/>
          </rPr>
          <t xml:space="preserve">
New connections over a year is the difference between Connections in the current period and Connections in the previous period.</t>
        </r>
      </text>
    </comment>
    <comment ref="C20" authorId="0" shapeId="0" xr:uid="{00000000-0006-0000-0400-000009000000}">
      <text>
        <r>
          <rPr>
            <b/>
            <sz val="10"/>
            <color indexed="81"/>
            <rFont val="Arial"/>
            <family val="2"/>
          </rPr>
          <t>Results - No risk:</t>
        </r>
        <r>
          <rPr>
            <sz val="10"/>
            <color indexed="81"/>
            <rFont val="Arial"/>
            <family val="2"/>
          </rPr>
          <t xml:space="preserve">
Demand is expressed as litres per connection per day, and is assumed to grow at a constant rate per year.</t>
        </r>
      </text>
    </comment>
    <comment ref="C21" authorId="0" shapeId="0" xr:uid="{00000000-0006-0000-0400-00000A000000}">
      <text>
        <r>
          <rPr>
            <b/>
            <sz val="10"/>
            <color indexed="81"/>
            <rFont val="Arial"/>
            <family val="2"/>
          </rPr>
          <t>Results - No risk:</t>
        </r>
        <r>
          <rPr>
            <sz val="10"/>
            <color indexed="81"/>
            <rFont val="Arial"/>
            <family val="2"/>
          </rPr>
          <t xml:space="preserve">
Total demand, expressed in millions of cubic meters is:
Demand * 365 days / 1000 / 1000000</t>
        </r>
      </text>
    </comment>
    <comment ref="C23" authorId="0" shapeId="0" xr:uid="{00000000-0006-0000-0400-00000B000000}">
      <text>
        <r>
          <rPr>
            <b/>
            <sz val="10"/>
            <color indexed="81"/>
            <rFont val="Arial"/>
            <family val="2"/>
          </rPr>
          <t>Results - No risk:</t>
        </r>
        <r>
          <rPr>
            <sz val="10"/>
            <color indexed="81"/>
            <rFont val="Arial"/>
            <family val="2"/>
          </rPr>
          <t xml:space="preserve">
Non-revenue water is assumed to decrease from existing levels to a Target level following an S-shaped curve.</t>
        </r>
      </text>
    </comment>
    <comment ref="C24" authorId="0" shapeId="0" xr:uid="{00000000-0006-0000-0400-00000C000000}">
      <text>
        <r>
          <rPr>
            <b/>
            <sz val="10"/>
            <color indexed="81"/>
            <rFont val="Arial"/>
            <family val="2"/>
          </rPr>
          <t>Results - No risk:</t>
        </r>
        <r>
          <rPr>
            <sz val="10"/>
            <color indexed="81"/>
            <rFont val="Arial"/>
            <family val="2"/>
          </rPr>
          <t xml:space="preserve">
Collection rate is the proportion of total billed demand that is collected, i.e. the remainder is assumed to be bad debt. This rate is assumed to grow from existing levels to a Target level following an S-shaped curve.</t>
        </r>
      </text>
    </comment>
    <comment ref="C27" authorId="0" shapeId="0" xr:uid="{00000000-0006-0000-0400-00000D000000}">
      <text>
        <r>
          <rPr>
            <b/>
            <sz val="10"/>
            <color indexed="81"/>
            <rFont val="Arial"/>
            <family val="2"/>
          </rPr>
          <t>Results - No risk:</t>
        </r>
        <r>
          <rPr>
            <sz val="10"/>
            <color indexed="81"/>
            <rFont val="Arial"/>
            <family val="2"/>
          </rPr>
          <t xml:space="preserve">
Costs and subsidies are expressed in real terms.</t>
        </r>
      </text>
    </comment>
    <comment ref="C30" authorId="0" shapeId="0" xr:uid="{00000000-0006-0000-0400-00000E000000}">
      <text>
        <r>
          <rPr>
            <b/>
            <sz val="10"/>
            <color indexed="81"/>
            <rFont val="Arial"/>
            <family val="2"/>
          </rPr>
          <t>Results - No risk:</t>
        </r>
        <r>
          <rPr>
            <sz val="10"/>
            <color indexed="81"/>
            <rFont val="Arial"/>
            <family val="2"/>
          </rPr>
          <t xml:space="preserve">
Fixed costs that are denominated in pesos, expressed in millions of pesos.</t>
        </r>
      </text>
    </comment>
    <comment ref="C31" authorId="0" shapeId="0" xr:uid="{00000000-0006-0000-0400-00000F000000}">
      <text>
        <r>
          <rPr>
            <b/>
            <sz val="10"/>
            <color indexed="81"/>
            <rFont val="Arial"/>
            <family val="2"/>
          </rPr>
          <t>Results - No risk:</t>
        </r>
        <r>
          <rPr>
            <sz val="10"/>
            <color indexed="81"/>
            <rFont val="Arial"/>
            <family val="2"/>
          </rPr>
          <t xml:space="preserve">
Fixed costs that are denominated in dollars, expressed in millions of dollars.</t>
        </r>
      </text>
    </comment>
    <comment ref="C33" authorId="0" shapeId="0" xr:uid="{00000000-0006-0000-0400-000010000000}">
      <text>
        <r>
          <rPr>
            <b/>
            <sz val="10"/>
            <color indexed="81"/>
            <rFont val="Arial"/>
            <family val="2"/>
          </rPr>
          <t>Results - No risk:</t>
        </r>
        <r>
          <rPr>
            <sz val="10"/>
            <color indexed="81"/>
            <rFont val="Arial"/>
            <family val="2"/>
          </rPr>
          <t xml:space="preserve">
Variable cost per cubic meter, expressed in pesos per cubic meter.</t>
        </r>
      </text>
    </comment>
    <comment ref="C34" authorId="0" shapeId="0" xr:uid="{00000000-0006-0000-0400-000011000000}">
      <text>
        <r>
          <rPr>
            <b/>
            <sz val="10"/>
            <color indexed="81"/>
            <rFont val="Arial"/>
            <family val="2"/>
          </rPr>
          <t>Results - No risk:</t>
        </r>
        <r>
          <rPr>
            <sz val="10"/>
            <color indexed="81"/>
            <rFont val="Arial"/>
            <family val="2"/>
          </rPr>
          <t xml:space="preserve">
Variable cost per cubic meter, expressed in dollars per cubic meter.</t>
        </r>
      </text>
    </comment>
    <comment ref="C37" authorId="0" shapeId="0" xr:uid="{00000000-0006-0000-0400-000012000000}">
      <text>
        <r>
          <rPr>
            <b/>
            <sz val="10"/>
            <color indexed="81"/>
            <rFont val="Arial"/>
            <family val="2"/>
          </rPr>
          <t>Results - No risk:</t>
        </r>
        <r>
          <rPr>
            <sz val="10"/>
            <color indexed="81"/>
            <rFont val="Arial"/>
            <family val="2"/>
          </rPr>
          <t xml:space="preserve">
Financing costs are expressed in nominal terms.</t>
        </r>
      </text>
    </comment>
    <comment ref="C38" authorId="0" shapeId="0" xr:uid="{00000000-0006-0000-0400-000013000000}">
      <text>
        <r>
          <rPr>
            <b/>
            <sz val="10"/>
            <color indexed="81"/>
            <rFont val="Arial"/>
            <family val="2"/>
          </rPr>
          <t>Results - No risk:</t>
        </r>
        <r>
          <rPr>
            <sz val="10"/>
            <color indexed="81"/>
            <rFont val="Arial"/>
            <family val="2"/>
          </rPr>
          <t xml:space="preserve">
Total cost of coverage extension, expressed in millions of pesos. This is calculated as Investment cost per connection * Number of new connections.</t>
        </r>
      </text>
    </comment>
    <comment ref="C39" authorId="0" shapeId="0" xr:uid="{00000000-0006-0000-0400-000014000000}">
      <text>
        <r>
          <rPr>
            <b/>
            <sz val="10"/>
            <color indexed="81"/>
            <rFont val="Arial"/>
            <family val="2"/>
          </rPr>
          <t>Results - No risk:</t>
        </r>
        <r>
          <rPr>
            <sz val="10"/>
            <color indexed="81"/>
            <rFont val="Arial"/>
            <family val="2"/>
          </rPr>
          <t xml:space="preserve">
Proportion of coverage extension costs that will be financed by debt. This is calculated as Coverage extension costs * Proportion financed by debt.</t>
        </r>
      </text>
    </comment>
    <comment ref="C41" authorId="0" shapeId="0" xr:uid="{00000000-0006-0000-0400-000015000000}">
      <text>
        <r>
          <rPr>
            <b/>
            <sz val="10"/>
            <color indexed="81"/>
            <rFont val="Arial"/>
            <family val="2"/>
          </rPr>
          <t>Results - No risk:</t>
        </r>
        <r>
          <rPr>
            <sz val="10"/>
            <color indexed="81"/>
            <rFont val="Arial"/>
            <family val="2"/>
          </rPr>
          <t xml:space="preserve">
Loan repayment calculations, assuming loans are taken out "as needed" in each year. Annual loan repayment is Total loan amount for the year divided by Loan period, starting from the year it is taken out, and goes on for the duration of the loan.</t>
        </r>
      </text>
    </comment>
    <comment ref="C82" authorId="0" shapeId="0" xr:uid="{00000000-0006-0000-0400-000016000000}">
      <text>
        <r>
          <rPr>
            <b/>
            <sz val="10"/>
            <color indexed="81"/>
            <rFont val="Arial"/>
            <family val="2"/>
          </rPr>
          <t>Results - No risk:</t>
        </r>
        <r>
          <rPr>
            <sz val="10"/>
            <color indexed="81"/>
            <rFont val="Arial"/>
            <family val="2"/>
          </rPr>
          <t xml:space="preserve">
Total loan repayment in each year.</t>
        </r>
      </text>
    </comment>
    <comment ref="C84" authorId="0" shapeId="0" xr:uid="{00000000-0006-0000-0400-000017000000}">
      <text>
        <r>
          <rPr>
            <b/>
            <sz val="10"/>
            <color indexed="81"/>
            <rFont val="Arial"/>
            <family val="2"/>
          </rPr>
          <t>Results - No risk:</t>
        </r>
        <r>
          <rPr>
            <sz val="10"/>
            <color indexed="81"/>
            <rFont val="Arial"/>
            <family val="2"/>
          </rPr>
          <t xml:space="preserve">
Principal part of the loan that is still outstanding.</t>
        </r>
      </text>
    </comment>
    <comment ref="C85" authorId="0" shapeId="0" xr:uid="{00000000-0006-0000-0400-000018000000}">
      <text>
        <r>
          <rPr>
            <b/>
            <sz val="10"/>
            <color indexed="81"/>
            <rFont val="Arial"/>
            <family val="2"/>
          </rPr>
          <t>Results - No risk:</t>
        </r>
        <r>
          <rPr>
            <sz val="10"/>
            <color indexed="81"/>
            <rFont val="Arial"/>
            <family val="2"/>
          </rPr>
          <t xml:space="preserve">
Loan repayment in each year.</t>
        </r>
      </text>
    </comment>
    <comment ref="C86" authorId="0" shapeId="0" xr:uid="{00000000-0006-0000-0400-000019000000}">
      <text>
        <r>
          <rPr>
            <b/>
            <sz val="10"/>
            <color indexed="81"/>
            <rFont val="Arial"/>
            <family val="2"/>
          </rPr>
          <t>Results - No risk:</t>
        </r>
        <r>
          <rPr>
            <sz val="10"/>
            <color indexed="81"/>
            <rFont val="Arial"/>
            <family val="2"/>
          </rPr>
          <t xml:space="preserve">
Interest is paid on the outstanding principal, i.e. Interest payment = Outstanding principal * Interest rate. The interest rate is assumed to be constant.</t>
        </r>
      </text>
    </comment>
    <comment ref="C88" authorId="0" shapeId="0" xr:uid="{00000000-0006-0000-0400-00001A000000}">
      <text>
        <r>
          <rPr>
            <b/>
            <sz val="10"/>
            <color indexed="81"/>
            <rFont val="Arial"/>
            <family val="2"/>
          </rPr>
          <t>Results - No risk:</t>
        </r>
        <r>
          <rPr>
            <sz val="10"/>
            <color indexed="81"/>
            <rFont val="Arial"/>
            <family val="2"/>
          </rPr>
          <t xml:space="preserve">
Financing cost is split between the operator and the contracting authority.</t>
        </r>
      </text>
    </comment>
    <comment ref="C98" authorId="0" shapeId="0" xr:uid="{00000000-0006-0000-0400-00001B000000}">
      <text>
        <r>
          <rPr>
            <b/>
            <sz val="10"/>
            <color indexed="81"/>
            <rFont val="Arial"/>
            <family val="2"/>
          </rPr>
          <t>Results - No risk:</t>
        </r>
        <r>
          <rPr>
            <sz val="10"/>
            <color indexed="81"/>
            <rFont val="Arial"/>
            <family val="2"/>
          </rPr>
          <t xml:space="preserve">
Tariff resets are calculated as the net present value of revenue requirement over the reset period divided by the net present value of billed demand. The revenue requirement is expressed in real terms, so that the calculated tariff is in real terms.</t>
        </r>
      </text>
    </comment>
    <comment ref="C99" authorId="0" shapeId="0" xr:uid="{00000000-0006-0000-0400-00001C000000}">
      <text>
        <r>
          <rPr>
            <b/>
            <sz val="10"/>
            <color indexed="81"/>
            <rFont val="Arial"/>
            <family val="2"/>
          </rPr>
          <t>Results - No risk:</t>
        </r>
        <r>
          <rPr>
            <sz val="10"/>
            <color indexed="81"/>
            <rFont val="Arial"/>
            <family val="2"/>
          </rPr>
          <t xml:space="preserve">
Asset base is calculated in nominal terms, expressed in millions of pesos.</t>
        </r>
      </text>
    </comment>
    <comment ref="C101" authorId="0" shapeId="0" xr:uid="{00000000-0006-0000-0400-00001D000000}">
      <text>
        <r>
          <rPr>
            <b/>
            <sz val="10"/>
            <color indexed="81"/>
            <rFont val="Arial"/>
            <family val="2"/>
          </rPr>
          <t>Results - No risk:</t>
        </r>
        <r>
          <rPr>
            <sz val="10"/>
            <color indexed="81"/>
            <rFont val="Arial"/>
            <family val="2"/>
          </rPr>
          <t xml:space="preserve">
Depreciation is calculated as Initial asset base * Depreciation rate.</t>
        </r>
      </text>
    </comment>
    <comment ref="C102" authorId="0" shapeId="0" xr:uid="{00000000-0006-0000-0400-00001E000000}">
      <text>
        <r>
          <rPr>
            <b/>
            <sz val="10"/>
            <color indexed="81"/>
            <rFont val="Arial"/>
            <family val="2"/>
          </rPr>
          <t>Results - No risk:</t>
        </r>
        <r>
          <rPr>
            <sz val="10"/>
            <color indexed="81"/>
            <rFont val="Arial"/>
            <family val="2"/>
          </rPr>
          <t xml:space="preserve">
The model assumes that maintenance costs are necessary to keep the exisitng asset base constant in real terms.</t>
        </r>
      </text>
    </comment>
    <comment ref="C103" authorId="0" shapeId="0" xr:uid="{00000000-0006-0000-0400-00001F000000}">
      <text>
        <r>
          <rPr>
            <b/>
            <sz val="10"/>
            <color indexed="81"/>
            <rFont val="Arial"/>
            <family val="2"/>
          </rPr>
          <t>Results - No risk:</t>
        </r>
        <r>
          <rPr>
            <sz val="10"/>
            <color indexed="81"/>
            <rFont val="Arial"/>
            <family val="2"/>
          </rPr>
          <t xml:space="preserve">
Final asset base is Initial asset base - Depreciation + Maintenance costs.</t>
        </r>
      </text>
    </comment>
    <comment ref="C105" authorId="0" shapeId="0" xr:uid="{00000000-0006-0000-0400-000020000000}">
      <text>
        <r>
          <rPr>
            <b/>
            <sz val="10"/>
            <color indexed="81"/>
            <rFont val="Arial"/>
            <family val="2"/>
          </rPr>
          <t>Results - No risk:</t>
        </r>
        <r>
          <rPr>
            <sz val="10"/>
            <color indexed="81"/>
            <rFont val="Arial"/>
            <family val="2"/>
          </rPr>
          <t xml:space="preserve">
The same is calculated for the new assets, arising from coverage extension investments.</t>
        </r>
      </text>
    </comment>
    <comment ref="C112" authorId="0" shapeId="0" xr:uid="{00000000-0006-0000-0400-000021000000}">
      <text>
        <r>
          <rPr>
            <b/>
            <sz val="10"/>
            <color indexed="81"/>
            <rFont val="Arial"/>
            <family val="2"/>
          </rPr>
          <t>Results - No risk:</t>
        </r>
        <r>
          <rPr>
            <sz val="10"/>
            <color indexed="81"/>
            <rFont val="Arial"/>
            <family val="2"/>
          </rPr>
          <t xml:space="preserve">
Demand is discounted at the beginning of each reset period for the following reset period. This is used as the denominator in the tariff reset calculations.</t>
        </r>
      </text>
    </comment>
    <comment ref="C113" authorId="0" shapeId="0" xr:uid="{00000000-0006-0000-0400-000022000000}">
      <text>
        <r>
          <rPr>
            <b/>
            <sz val="10"/>
            <color indexed="81"/>
            <rFont val="Arial"/>
            <family val="2"/>
          </rPr>
          <t>Results - No risk:</t>
        </r>
        <r>
          <rPr>
            <sz val="10"/>
            <color indexed="81"/>
            <rFont val="Arial"/>
            <family val="2"/>
          </rPr>
          <t xml:space="preserve">
The return on new assets is split between the operator and contracting authority, depending on the proportion financed by each party.</t>
        </r>
      </text>
    </comment>
    <comment ref="C116" authorId="0" shapeId="0" xr:uid="{00000000-0006-0000-0400-000023000000}">
      <text>
        <r>
          <rPr>
            <b/>
            <sz val="10"/>
            <color indexed="81"/>
            <rFont val="Arial"/>
            <family val="2"/>
          </rPr>
          <t>Results - No risk:</t>
        </r>
        <r>
          <rPr>
            <sz val="10"/>
            <color indexed="81"/>
            <rFont val="Arial"/>
            <family val="2"/>
          </rPr>
          <t xml:space="preserve">
The depreciation on new assets is split between the operator and contracting authority, depending on the proportion financed by each party.</t>
        </r>
      </text>
    </comment>
    <comment ref="C122" authorId="0" shapeId="0" xr:uid="{00000000-0006-0000-0400-000024000000}">
      <text>
        <r>
          <rPr>
            <b/>
            <sz val="10"/>
            <color indexed="81"/>
            <rFont val="Arial"/>
            <family val="2"/>
          </rPr>
          <t>Results - No risk:</t>
        </r>
        <r>
          <rPr>
            <sz val="10"/>
            <color indexed="81"/>
            <rFont val="Arial"/>
            <family val="2"/>
          </rPr>
          <t xml:space="preserve">
Subsidies paid to the operator from the contracting authority lowers the tariff paid by customers.
Payments from operator to the contracting authority do not lower tariffs, and are not included in the revenue requirement.</t>
        </r>
      </text>
    </comment>
    <comment ref="C124" authorId="0" shapeId="0" xr:uid="{00000000-0006-0000-0400-000025000000}">
      <text>
        <r>
          <rPr>
            <b/>
            <sz val="10"/>
            <color indexed="81"/>
            <rFont val="Arial"/>
            <family val="2"/>
          </rPr>
          <t>Results - No risk:</t>
        </r>
        <r>
          <rPr>
            <sz val="10"/>
            <color indexed="81"/>
            <rFont val="Arial"/>
            <family val="2"/>
          </rPr>
          <t xml:space="preserve">
Annual revenue requirement for the two parties. The contracting authority collects the return and depreciation on existing assets and new assets. The operator collects all other cost items.</t>
        </r>
      </text>
    </comment>
    <comment ref="C134" authorId="0" shapeId="0" xr:uid="{00000000-0006-0000-0400-000026000000}">
      <text>
        <r>
          <rPr>
            <b/>
            <sz val="10"/>
            <color indexed="81"/>
            <rFont val="Arial"/>
            <family val="2"/>
          </rPr>
          <t>Results - No risk:</t>
        </r>
        <r>
          <rPr>
            <sz val="10"/>
            <color indexed="81"/>
            <rFont val="Arial"/>
            <family val="2"/>
          </rPr>
          <t xml:space="preserve">
Revenue requirement is discounted at the beginning of each reset period for the following reset period. This is used as the numerator in the tariff reset calculations.</t>
        </r>
      </text>
    </comment>
    <comment ref="C138" authorId="0" shapeId="0" xr:uid="{00000000-0006-0000-0400-000027000000}">
      <text>
        <r>
          <rPr>
            <b/>
            <sz val="10"/>
            <color indexed="81"/>
            <rFont val="Arial"/>
            <family val="2"/>
          </rPr>
          <t>Results - No risk:</t>
        </r>
        <r>
          <rPr>
            <sz val="10"/>
            <color indexed="81"/>
            <rFont val="Arial"/>
            <family val="2"/>
          </rPr>
          <t xml:space="preserve">
Revenue required per cubic meter is the discounted revenue requirement divided by discounted demand.</t>
        </r>
      </text>
    </comment>
    <comment ref="C147" authorId="0" shapeId="0" xr:uid="{00000000-0006-0000-0400-000028000000}">
      <text>
        <r>
          <rPr>
            <b/>
            <sz val="10"/>
            <color indexed="81"/>
            <rFont val="Arial"/>
            <family val="2"/>
          </rPr>
          <t>Results - No risk:</t>
        </r>
        <r>
          <rPr>
            <sz val="10"/>
            <color indexed="81"/>
            <rFont val="Arial"/>
            <family val="2"/>
          </rPr>
          <t xml:space="preserve">
Revenue required determined in real terms, so tariff indexation, if chosen, allows the tariffs to increase at the rate of inflation. Tariffs calculated here are in nominal terms.</t>
        </r>
      </text>
    </comment>
    <comment ref="C156" authorId="0" shapeId="0" xr:uid="{00000000-0006-0000-0400-000029000000}">
      <text>
        <r>
          <rPr>
            <b/>
            <sz val="10"/>
            <color indexed="81"/>
            <rFont val="Arial"/>
            <family val="2"/>
          </rPr>
          <t>Results - No risk:</t>
        </r>
        <r>
          <rPr>
            <sz val="10"/>
            <color indexed="81"/>
            <rFont val="Arial"/>
            <family val="2"/>
          </rPr>
          <t xml:space="preserve">
The tariff reset methodology above allows the operator to earn zero profit in real terms over the reset period (the methodology has already allowed for a return on its investments).</t>
        </r>
      </text>
    </comment>
    <comment ref="C157" authorId="0" shapeId="0" xr:uid="{00000000-0006-0000-0400-00002A000000}">
      <text>
        <r>
          <rPr>
            <b/>
            <sz val="10"/>
            <color indexed="81"/>
            <rFont val="Arial"/>
            <family val="2"/>
          </rPr>
          <t>Results - No risk:</t>
        </r>
        <r>
          <rPr>
            <sz val="10"/>
            <color indexed="81"/>
            <rFont val="Arial"/>
            <family val="2"/>
          </rPr>
          <t xml:space="preserve">
Total revenue collected is Tariff (in nominal terms) * Billed demand * Collection rate.</t>
        </r>
      </text>
    </comment>
    <comment ref="C161" authorId="0" shapeId="0" xr:uid="{00000000-0006-0000-0400-00002B000000}">
      <text>
        <r>
          <rPr>
            <b/>
            <sz val="10"/>
            <color indexed="81"/>
            <rFont val="Arial"/>
            <family val="2"/>
          </rPr>
          <t>Results - No risk:</t>
        </r>
        <r>
          <rPr>
            <sz val="10"/>
            <color indexed="81"/>
            <rFont val="Arial"/>
            <family val="2"/>
          </rPr>
          <t xml:space="preserve">
Cost items included in the revenue requirement.</t>
        </r>
      </text>
    </comment>
    <comment ref="C169" authorId="0" shapeId="0" xr:uid="{00000000-0006-0000-0400-00002C000000}">
      <text>
        <r>
          <rPr>
            <b/>
            <sz val="10"/>
            <color indexed="81"/>
            <rFont val="Arial"/>
            <family val="2"/>
          </rPr>
          <t>Results - No risk:</t>
        </r>
        <r>
          <rPr>
            <sz val="10"/>
            <color indexed="81"/>
            <rFont val="Arial"/>
            <family val="2"/>
          </rPr>
          <t xml:space="preserve">
Check that the sum of NPV profit in real terms is equal to zero.</t>
        </r>
      </text>
    </comment>
    <comment ref="C174" authorId="0" shapeId="0" xr:uid="{00000000-0006-0000-0400-00002D000000}">
      <text>
        <r>
          <rPr>
            <b/>
            <sz val="10"/>
            <color indexed="81"/>
            <rFont val="Arial"/>
            <family val="2"/>
          </rPr>
          <t>Results - No risk:</t>
        </r>
        <r>
          <rPr>
            <sz val="10"/>
            <color indexed="81"/>
            <rFont val="Arial"/>
            <family val="2"/>
          </rPr>
          <t xml:space="preserve">
Present value of cash flows to the operator and the contracting authority, expressed in millions of pesos.</t>
        </r>
      </text>
    </comment>
    <comment ref="C184" authorId="0" shapeId="0" xr:uid="{00000000-0006-0000-0400-00002E000000}">
      <text>
        <r>
          <rPr>
            <b/>
            <sz val="10"/>
            <color indexed="81"/>
            <rFont val="Arial"/>
            <family val="2"/>
          </rPr>
          <t>Results - No risk:</t>
        </r>
        <r>
          <rPr>
            <sz val="10"/>
            <color indexed="81"/>
            <rFont val="Arial"/>
            <family val="2"/>
          </rPr>
          <t xml:space="preserve">
Debt-service ratio is the total cash flow of the operator divided by financing costs. If the operator has no responsibility in the financing of coverage extension, this ratio is undefined.</t>
        </r>
      </text>
    </comment>
    <comment ref="C187" authorId="0" shapeId="0" xr:uid="{00000000-0006-0000-0400-00002F000000}">
      <text>
        <r>
          <rPr>
            <b/>
            <sz val="10"/>
            <color indexed="81"/>
            <rFont val="Arial"/>
            <family val="2"/>
          </rPr>
          <t>Results - No risk:</t>
        </r>
        <r>
          <rPr>
            <sz val="10"/>
            <color indexed="81"/>
            <rFont val="Arial"/>
            <family val="2"/>
          </rPr>
          <t xml:space="preserve">
Debt-service ratio is the total cash flow of the operator divided by financing costs. If the operator has no responsibility in the financing of coverage extension, this ratio is undefined.</t>
        </r>
      </text>
    </comment>
    <comment ref="C192" authorId="0" shapeId="0" xr:uid="{00000000-0006-0000-0400-000030000000}">
      <text>
        <r>
          <rPr>
            <b/>
            <sz val="10"/>
            <color indexed="81"/>
            <rFont val="Arial"/>
            <family val="2"/>
          </rPr>
          <t>Results - No risk:</t>
        </r>
        <r>
          <rPr>
            <sz val="10"/>
            <color indexed="81"/>
            <rFont val="Arial"/>
            <family val="2"/>
          </rPr>
          <t xml:space="preserve">
Compares welfare change for currently connected and currently unconnected households.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Helen Lay</author>
  </authors>
  <commentList>
    <comment ref="C4" authorId="0" shapeId="0" xr:uid="{00000000-0006-0000-0500-000001000000}">
      <text>
        <r>
          <rPr>
            <b/>
            <sz val="10"/>
            <color indexed="81"/>
            <rFont val="Arial"/>
            <family val="2"/>
          </rPr>
          <t>Results - Risk:</t>
        </r>
        <r>
          <rPr>
            <sz val="10"/>
            <color indexed="81"/>
            <rFont val="Arial"/>
            <family val="2"/>
          </rPr>
          <t xml:space="preserve">
In any period, inflation will vary randomly around its expected value given in the "No risk" calculations.</t>
        </r>
      </text>
    </comment>
    <comment ref="C8" authorId="0" shapeId="0" xr:uid="{00000000-0006-0000-0500-000002000000}">
      <text>
        <r>
          <rPr>
            <b/>
            <sz val="10"/>
            <color indexed="81"/>
            <rFont val="Arial"/>
            <family val="2"/>
          </rPr>
          <t>Results - Risk:</t>
        </r>
        <r>
          <rPr>
            <sz val="10"/>
            <color indexed="81"/>
            <rFont val="Arial"/>
            <family val="2"/>
          </rPr>
          <t xml:space="preserve">
Real exchange rate is assumed to vary randomly around the expected values calculated in the "No Risk" sheet.</t>
        </r>
      </text>
    </comment>
    <comment ref="C9" authorId="0" shapeId="0" xr:uid="{00000000-0006-0000-0500-000003000000}">
      <text>
        <r>
          <rPr>
            <b/>
            <sz val="10"/>
            <color indexed="81"/>
            <rFont val="Arial"/>
            <family val="2"/>
          </rPr>
          <t>Results - Risk:</t>
        </r>
        <r>
          <rPr>
            <sz val="10"/>
            <color indexed="81"/>
            <rFont val="Arial"/>
            <family val="2"/>
          </rPr>
          <t xml:space="preserve">
Nominal exchange rate will vary randomly due to changes in the real exchange rate and changes in inflation.</t>
        </r>
      </text>
    </comment>
    <comment ref="C11" authorId="0" shapeId="0" xr:uid="{00000000-0006-0000-0500-000004000000}">
      <text>
        <r>
          <rPr>
            <b/>
            <sz val="10"/>
            <color indexed="81"/>
            <rFont val="Arial"/>
            <family val="2"/>
          </rPr>
          <t>Results - Risk:</t>
        </r>
        <r>
          <rPr>
            <sz val="10"/>
            <color indexed="81"/>
            <rFont val="Arial"/>
            <family val="2"/>
          </rPr>
          <t xml:space="preserve">
This is the same discount factor as the one used in the "No Risk" calculations. It is presented here for ease of referencing.</t>
        </r>
      </text>
    </comment>
    <comment ref="C14" authorId="0" shapeId="0" xr:uid="{00000000-0006-0000-0500-000005000000}">
      <text>
        <r>
          <rPr>
            <b/>
            <sz val="10"/>
            <color indexed="81"/>
            <rFont val="Arial"/>
            <family val="2"/>
          </rPr>
          <t>Results - Risk:</t>
        </r>
        <r>
          <rPr>
            <sz val="10"/>
            <color indexed="81"/>
            <rFont val="Arial"/>
            <family val="2"/>
          </rPr>
          <t xml:space="preserve">
Demand per connection per day is assumed to vary randomly around its expected value given in the "No risk" sheet.</t>
        </r>
      </text>
    </comment>
    <comment ref="C18" authorId="0" shapeId="0" xr:uid="{00000000-0006-0000-0500-000006000000}">
      <text>
        <r>
          <rPr>
            <b/>
            <sz val="10"/>
            <color indexed="81"/>
            <rFont val="Arial"/>
            <family val="2"/>
          </rPr>
          <t>Results - Rrisk:</t>
        </r>
        <r>
          <rPr>
            <sz val="10"/>
            <color indexed="81"/>
            <rFont val="Arial"/>
            <family val="2"/>
          </rPr>
          <t xml:space="preserve">
Costs and subsidies are expressed in real terms.</t>
        </r>
      </text>
    </comment>
    <comment ref="C21" authorId="0" shapeId="0" xr:uid="{00000000-0006-0000-0500-000007000000}">
      <text>
        <r>
          <rPr>
            <b/>
            <sz val="10"/>
            <color indexed="81"/>
            <rFont val="Arial"/>
            <family val="2"/>
          </rPr>
          <t>Results - Risk:</t>
        </r>
        <r>
          <rPr>
            <sz val="10"/>
            <color indexed="81"/>
            <rFont val="Arial"/>
            <family val="2"/>
          </rPr>
          <t xml:space="preserve">
Fixed costs denominated in local currency does not change unexpectedly, i.e. it is the same as the "No risk" calculations.</t>
        </r>
      </text>
    </comment>
    <comment ref="C22" authorId="0" shapeId="0" xr:uid="{00000000-0006-0000-0500-000008000000}">
      <text>
        <r>
          <rPr>
            <b/>
            <sz val="10"/>
            <color indexed="81"/>
            <rFont val="Arial"/>
            <family val="2"/>
          </rPr>
          <t>Results - Risk:</t>
        </r>
        <r>
          <rPr>
            <sz val="10"/>
            <color indexed="81"/>
            <rFont val="Arial"/>
            <family val="2"/>
          </rPr>
          <t xml:space="preserve">
Fixed operating costs (in foreign currency terms) is assumed to grow at a constant rate per year. Due to fluctuations in the exchange rate, these fixed operating costs will fluctuate when expressed in pesos.</t>
        </r>
      </text>
    </comment>
    <comment ref="C28" authorId="0" shapeId="0" xr:uid="{00000000-0006-0000-0500-000009000000}">
      <text>
        <r>
          <rPr>
            <b/>
            <sz val="10"/>
            <color indexed="81"/>
            <rFont val="Arial"/>
            <family val="2"/>
          </rPr>
          <t>Results - Risk:</t>
        </r>
        <r>
          <rPr>
            <sz val="10"/>
            <color indexed="81"/>
            <rFont val="Arial"/>
            <family val="2"/>
          </rPr>
          <t xml:space="preserve">
Financing costs are expressed in nominal terms.</t>
        </r>
      </text>
    </comment>
    <comment ref="C73" authorId="0" shapeId="0" xr:uid="{00000000-0006-0000-0500-00000A000000}">
      <text>
        <r>
          <rPr>
            <b/>
            <sz val="10"/>
            <color indexed="81"/>
            <rFont val="Arial"/>
            <family val="2"/>
          </rPr>
          <t>Results - Risk:</t>
        </r>
        <r>
          <rPr>
            <sz val="10"/>
            <color indexed="81"/>
            <rFont val="Arial"/>
            <family val="2"/>
          </rPr>
          <t xml:space="preserve">
Total loan repayment in each year. This varies due to random (or unexpected) changes in inflation.</t>
        </r>
      </text>
    </comment>
    <comment ref="C90" authorId="0" shapeId="0" xr:uid="{00000000-0006-0000-0500-00000B000000}">
      <text>
        <r>
          <rPr>
            <b/>
            <sz val="10"/>
            <color indexed="81"/>
            <rFont val="Arial"/>
            <family val="2"/>
          </rPr>
          <t>Results - Risk:</t>
        </r>
        <r>
          <rPr>
            <sz val="10"/>
            <color indexed="81"/>
            <rFont val="Arial"/>
            <family val="2"/>
          </rPr>
          <t xml:space="preserve">
Tariff reset calculations are based on four different objectives as discussed in the </t>
        </r>
        <r>
          <rPr>
            <i/>
            <sz val="10"/>
            <color indexed="81"/>
            <rFont val="Arial"/>
            <family val="2"/>
          </rPr>
          <t>Toolkit</t>
        </r>
        <r>
          <rPr>
            <sz val="10"/>
            <color indexed="81"/>
            <rFont val="Arial"/>
            <family val="2"/>
          </rPr>
          <t>. All four sets of tariffs are calculated to allow the user to switch easily between the different objectives.</t>
        </r>
      </text>
    </comment>
    <comment ref="C92" authorId="0" shapeId="0" xr:uid="{00000000-0006-0000-0500-00000C000000}">
      <text>
        <r>
          <rPr>
            <b/>
            <sz val="10"/>
            <color indexed="81"/>
            <rFont val="Arial"/>
            <family val="2"/>
          </rPr>
          <t>Results - Risk:</t>
        </r>
        <r>
          <rPr>
            <sz val="10"/>
            <color indexed="81"/>
            <rFont val="Arial"/>
            <family val="2"/>
          </rPr>
          <t xml:space="preserve">
At the beginning of every reset period, actual inflation is used to forecast the expected inflation during the reset period. During this period the actual inflation may  differ from expected if the volatility on inflation is greater than 0.</t>
        </r>
      </text>
    </comment>
    <comment ref="C95" authorId="0" shapeId="0" xr:uid="{00000000-0006-0000-0500-00000D000000}">
      <text>
        <r>
          <rPr>
            <b/>
            <sz val="10"/>
            <color indexed="81"/>
            <rFont val="Arial"/>
            <family val="2"/>
          </rPr>
          <t>Results - Risk:</t>
        </r>
        <r>
          <rPr>
            <sz val="10"/>
            <color indexed="81"/>
            <rFont val="Arial"/>
            <family val="2"/>
          </rPr>
          <t xml:space="preserve">
The asset base for existing and new assets is calculated in nominal terms. </t>
        </r>
      </text>
    </comment>
    <comment ref="C106" authorId="0" shapeId="0" xr:uid="{00000000-0006-0000-0500-00000E000000}">
      <text>
        <r>
          <rPr>
            <b/>
            <sz val="10"/>
            <color indexed="81"/>
            <rFont val="Arial"/>
            <family val="2"/>
          </rPr>
          <t>Results - Risk:</t>
        </r>
        <r>
          <rPr>
            <sz val="10"/>
            <color indexed="81"/>
            <rFont val="Arial"/>
            <family val="2"/>
          </rPr>
          <t xml:space="preserve">
No reset: After the introduction of the private operator, no further adjustment is allowed for unexpected changes in demand for the duration of the contract.</t>
        </r>
      </text>
    </comment>
    <comment ref="C107" authorId="0" shapeId="0" xr:uid="{00000000-0006-0000-0500-00000F000000}">
      <text>
        <r>
          <rPr>
            <b/>
            <sz val="10"/>
            <color indexed="81"/>
            <rFont val="Arial"/>
            <family val="2"/>
          </rPr>
          <t>Results - Risk:</t>
        </r>
        <r>
          <rPr>
            <sz val="10"/>
            <color indexed="81"/>
            <rFont val="Arial"/>
            <family val="2"/>
          </rPr>
          <t xml:space="preserve">
Full reset: At the beginning of each reset period, actual demand is used to forecast for the next reset period. Previous unexpected changes are therefore fully adjusted for.</t>
        </r>
      </text>
    </comment>
    <comment ref="C111" authorId="0" shapeId="0" xr:uid="{00000000-0006-0000-0500-000010000000}">
      <text>
        <r>
          <rPr>
            <b/>
            <sz val="10"/>
            <color indexed="81"/>
            <rFont val="Arial"/>
            <family val="2"/>
          </rPr>
          <t>Results - No risk:</t>
        </r>
        <r>
          <rPr>
            <sz val="10"/>
            <color indexed="81"/>
            <rFont val="Arial"/>
            <family val="2"/>
          </rPr>
          <t xml:space="preserve">
Demand is discounted at the beginning of each reset period for the following reset period. This is used as the denominator in the tariff reset calculations.</t>
        </r>
      </text>
    </comment>
    <comment ref="C120" authorId="0" shapeId="0" xr:uid="{00000000-0006-0000-0500-000011000000}">
      <text>
        <r>
          <rPr>
            <b/>
            <sz val="10"/>
            <color indexed="81"/>
            <rFont val="Arial"/>
            <family val="2"/>
          </rPr>
          <t>Results - Risk:</t>
        </r>
        <r>
          <rPr>
            <sz val="10"/>
            <color indexed="81"/>
            <rFont val="Arial"/>
            <family val="2"/>
          </rPr>
          <t xml:space="preserve">
Fixed operating costs, expressed in millions of pesos.</t>
        </r>
      </text>
    </comment>
    <comment ref="C123" authorId="0" shapeId="0" xr:uid="{00000000-0006-0000-0500-000012000000}">
      <text>
        <r>
          <rPr>
            <b/>
            <sz val="10"/>
            <color indexed="81"/>
            <rFont val="Arial"/>
            <family val="2"/>
          </rPr>
          <t>Results - Risk:</t>
        </r>
        <r>
          <rPr>
            <sz val="10"/>
            <color indexed="81"/>
            <rFont val="Arial"/>
            <family val="2"/>
          </rPr>
          <t xml:space="preserve">
Subsidies paid to the operator from the contracting authority are different under different reset objectives.
Payments from operator to the contracting authority are not included in the revenue requirement.</t>
        </r>
      </text>
    </comment>
    <comment ref="C125" authorId="0" shapeId="0" xr:uid="{00000000-0006-0000-0500-000013000000}">
      <text>
        <r>
          <rPr>
            <b/>
            <sz val="10"/>
            <color indexed="81"/>
            <rFont val="Arial"/>
            <family val="2"/>
          </rPr>
          <t>Results - No risk:</t>
        </r>
        <r>
          <rPr>
            <sz val="10"/>
            <color indexed="81"/>
            <rFont val="Arial"/>
            <family val="2"/>
          </rPr>
          <t xml:space="preserve">
Annual revenue requirement for the two parties. The contracting authority collects the return and depreciation on existing assets and new assets. The operator collects all other cost items.</t>
        </r>
      </text>
    </comment>
    <comment ref="C135" authorId="0" shapeId="0" xr:uid="{00000000-0006-0000-0500-000014000000}">
      <text>
        <r>
          <rPr>
            <b/>
            <sz val="10"/>
            <color indexed="81"/>
            <rFont val="Arial"/>
            <family val="2"/>
          </rPr>
          <t>Results - No risk:</t>
        </r>
        <r>
          <rPr>
            <sz val="10"/>
            <color indexed="81"/>
            <rFont val="Arial"/>
            <family val="2"/>
          </rPr>
          <t xml:space="preserve">
Revenue requirement is discounted at the beginning of each reset period for the following reset period. This is used as the numerator in the tariff reset calculations.</t>
        </r>
      </text>
    </comment>
    <comment ref="C139" authorId="0" shapeId="0" xr:uid="{00000000-0006-0000-0500-000015000000}">
      <text>
        <r>
          <rPr>
            <b/>
            <sz val="10"/>
            <color indexed="81"/>
            <rFont val="Arial"/>
            <family val="2"/>
          </rPr>
          <t>Results - No risk:</t>
        </r>
        <r>
          <rPr>
            <sz val="10"/>
            <color indexed="81"/>
            <rFont val="Arial"/>
            <family val="2"/>
          </rPr>
          <t xml:space="preserve">
Revenue required per cubic meter is the discounted revenue requirement divided by discounted demand.</t>
        </r>
      </text>
    </comment>
    <comment ref="C186" authorId="0" shapeId="0" xr:uid="{00000000-0006-0000-0500-000016000000}">
      <text>
        <r>
          <rPr>
            <b/>
            <sz val="10"/>
            <color indexed="81"/>
            <rFont val="Arial"/>
            <family val="2"/>
          </rPr>
          <t>Results - No risk:</t>
        </r>
        <r>
          <rPr>
            <sz val="10"/>
            <color indexed="81"/>
            <rFont val="Arial"/>
            <family val="2"/>
          </rPr>
          <t xml:space="preserve">
Debt-service ratio is the total cash flow of the operator divided by financing costs. If the operator has no responsibility in the financing of coverage extension, this ratio is undefined.</t>
        </r>
      </text>
    </comment>
  </commentList>
</comments>
</file>

<file path=xl/sharedStrings.xml><?xml version="1.0" encoding="utf-8"?>
<sst xmlns="http://schemas.openxmlformats.org/spreadsheetml/2006/main" count="442" uniqueCount="189">
  <si>
    <t xml:space="preserve">Setup </t>
  </si>
  <si>
    <t>DRAFT 2004-11-22</t>
  </si>
  <si>
    <t>Denominations</t>
  </si>
  <si>
    <t>Simulation</t>
  </si>
  <si>
    <t>Water volumes</t>
  </si>
  <si>
    <t>Maximum number of years</t>
  </si>
  <si>
    <t>MaxYr</t>
  </si>
  <si>
    <t>Millions</t>
  </si>
  <si>
    <t>Monetary values</t>
  </si>
  <si>
    <t>Reset types</t>
  </si>
  <si>
    <t>Full reset</t>
  </si>
  <si>
    <t>Full reset with efficient operator</t>
  </si>
  <si>
    <t>Labels</t>
  </si>
  <si>
    <t>Partial reset</t>
  </si>
  <si>
    <t>Fixed</t>
  </si>
  <si>
    <t>Domestic</t>
  </si>
  <si>
    <t>No reset</t>
  </si>
  <si>
    <t>Variable</t>
  </si>
  <si>
    <t>Foreign</t>
  </si>
  <si>
    <t>Thousands</t>
  </si>
  <si>
    <t>lbl_LocalCurrency</t>
  </si>
  <si>
    <t>pesos</t>
  </si>
  <si>
    <t>lbl_ForCurrency</t>
  </si>
  <si>
    <t>dollars</t>
  </si>
  <si>
    <t>Length of contract (years)</t>
  </si>
  <si>
    <t>Coverage extension targets</t>
  </si>
  <si>
    <t>Target coverage</t>
  </si>
  <si>
    <t>Year in which service target is to be achieved</t>
  </si>
  <si>
    <t>Subsidies</t>
  </si>
  <si>
    <t>Financing responsibility for coverage extension</t>
  </si>
  <si>
    <t>Operator</t>
  </si>
  <si>
    <t>Contracting authority</t>
  </si>
  <si>
    <t>Percentage funded by debt</t>
  </si>
  <si>
    <t>Currency of loan</t>
  </si>
  <si>
    <t>Loan period (years)</t>
  </si>
  <si>
    <t>Grace period (years)</t>
  </si>
  <si>
    <t>Tariff setting</t>
  </si>
  <si>
    <t>Reset mechanism</t>
  </si>
  <si>
    <t>Review period (years)</t>
  </si>
  <si>
    <t>Economic factors</t>
  </si>
  <si>
    <t>Real values</t>
  </si>
  <si>
    <t>Nominal values</t>
  </si>
  <si>
    <t>Inflation</t>
  </si>
  <si>
    <t>Expected rate of depreciation</t>
  </si>
  <si>
    <t>Long term value</t>
  </si>
  <si>
    <t>Volatility</t>
  </si>
  <si>
    <t>Speed of adjustment</t>
  </si>
  <si>
    <t>Interest rate</t>
  </si>
  <si>
    <t>Discount rate</t>
  </si>
  <si>
    <t>Current value</t>
  </si>
  <si>
    <t>Annual growth</t>
  </si>
  <si>
    <t>Number of potential customers</t>
  </si>
  <si>
    <t>Existing service coverage</t>
  </si>
  <si>
    <t>Demand</t>
  </si>
  <si>
    <t>Household connection</t>
  </si>
  <si>
    <t>Other sources</t>
  </si>
  <si>
    <t>Liters per connection per day</t>
  </si>
  <si>
    <t>Annual growth rate</t>
  </si>
  <si>
    <t>Volatility of demand</t>
  </si>
  <si>
    <t>Current</t>
  </si>
  <si>
    <t>Target</t>
  </si>
  <si>
    <t>Target year</t>
  </si>
  <si>
    <t>Non-revenue water</t>
  </si>
  <si>
    <t>Willingness to pay (WTP)</t>
  </si>
  <si>
    <t>Willingness to pay (%) of existing tariff</t>
  </si>
  <si>
    <t>Monthly coping costs (e.g. time, health)</t>
  </si>
  <si>
    <t>Existing tariff</t>
  </si>
  <si>
    <t>Average tariff</t>
  </si>
  <si>
    <t>Costs</t>
  </si>
  <si>
    <t>Fixed operating costs</t>
  </si>
  <si>
    <t>Existing fixed operating cost 
(% investment cost per connection)</t>
  </si>
  <si>
    <t>Annual real growth rate</t>
  </si>
  <si>
    <t>Variable operating costs</t>
  </si>
  <si>
    <t>Asset base</t>
  </si>
  <si>
    <t>Depreciation rate per year</t>
  </si>
  <si>
    <t>Revenue factors</t>
  </si>
  <si>
    <t>Current collection rate</t>
  </si>
  <si>
    <t>Year in which target is to be achieved</t>
  </si>
  <si>
    <t>Financial covenants</t>
  </si>
  <si>
    <t>Minimum debt-service coverage ratio</t>
  </si>
  <si>
    <t>Introduction</t>
  </si>
  <si>
    <t xml:space="preserve"> </t>
  </si>
  <si>
    <t>Policy choices</t>
  </si>
  <si>
    <t>Results</t>
  </si>
  <si>
    <t>Simulation options</t>
  </si>
  <si>
    <t>Number of iterations</t>
  </si>
  <si>
    <t>Time taken</t>
  </si>
  <si>
    <t>Average</t>
  </si>
  <si>
    <t>Standard deviation</t>
  </si>
  <si>
    <t>Maximum</t>
  </si>
  <si>
    <t>Minimum</t>
  </si>
  <si>
    <t>Default probability</t>
  </si>
  <si>
    <t>Other assumptions</t>
  </si>
  <si>
    <t>Economy</t>
  </si>
  <si>
    <t>Data to plot</t>
  </si>
  <si>
    <t>Exchange rate</t>
  </si>
  <si>
    <t>Pesos per dollar</t>
  </si>
  <si>
    <t>Percentage (%)</t>
  </si>
  <si>
    <t>Billable demand</t>
  </si>
  <si>
    <t>Millions of m3</t>
  </si>
  <si>
    <t>No risk analysis</t>
  </si>
  <si>
    <t>Years</t>
  </si>
  <si>
    <t>Consumer price index</t>
  </si>
  <si>
    <t>Deflation factor</t>
  </si>
  <si>
    <t>Real exchange rate</t>
  </si>
  <si>
    <t>Nominal exchange rate</t>
  </si>
  <si>
    <t>Discount factor</t>
  </si>
  <si>
    <t>Consumption</t>
  </si>
  <si>
    <t>Potential connections</t>
  </si>
  <si>
    <t>Coverage</t>
  </si>
  <si>
    <t>Connections</t>
  </si>
  <si>
    <t>New connections</t>
  </si>
  <si>
    <t>Demand (L/connection/day)</t>
  </si>
  <si>
    <t>Collection rate forecast</t>
  </si>
  <si>
    <t>Operating costs</t>
  </si>
  <si>
    <t>Domestic denomination</t>
  </si>
  <si>
    <t>Foreign denomination</t>
  </si>
  <si>
    <t>Coverage extension costs</t>
  </si>
  <si>
    <t>Amount financed by debt</t>
  </si>
  <si>
    <t>Loan repayment</t>
  </si>
  <si>
    <t>Total</t>
  </si>
  <si>
    <t>Outstanding principal</t>
  </si>
  <si>
    <t>Prinicpal repayment</t>
  </si>
  <si>
    <t>Interest payment</t>
  </si>
  <si>
    <t>Financing costs</t>
  </si>
  <si>
    <t>Tariff reset calculations</t>
  </si>
  <si>
    <t>Asset base (nominal)</t>
  </si>
  <si>
    <t>Initial existing asset base</t>
  </si>
  <si>
    <t>Depreciation</t>
  </si>
  <si>
    <t>Maintenance costs</t>
  </si>
  <si>
    <t>Final existing asset base</t>
  </si>
  <si>
    <t>Initial new asset base</t>
  </si>
  <si>
    <t>Investment</t>
  </si>
  <si>
    <t>Final new asset base</t>
  </si>
  <si>
    <t>Discounted demand</t>
  </si>
  <si>
    <t>Cumulative discounted demand</t>
  </si>
  <si>
    <t>Return on new assets (real)</t>
  </si>
  <si>
    <t>Depreciation (real)</t>
  </si>
  <si>
    <t>Maintenance costs (real)</t>
  </si>
  <si>
    <t>Domestic-denominated opex (real)</t>
  </si>
  <si>
    <t>Foreign-denominated opex (real)</t>
  </si>
  <si>
    <t>Subsidies (real)</t>
  </si>
  <si>
    <t>Revenue requirement (real)</t>
  </si>
  <si>
    <t>Revenue requirement</t>
  </si>
  <si>
    <t>Discounted revenue requirement</t>
  </si>
  <si>
    <t>Cumulative discounted revenue requirement</t>
  </si>
  <si>
    <r>
      <t>Revenue required per m</t>
    </r>
    <r>
      <rPr>
        <b/>
        <u/>
        <vertAlign val="superscript"/>
        <sz val="10"/>
        <rFont val="Arial"/>
        <family val="2"/>
      </rPr>
      <t>3</t>
    </r>
  </si>
  <si>
    <t>Tariff indexation</t>
  </si>
  <si>
    <t>Indexation</t>
  </si>
  <si>
    <t>Total revenue collected</t>
  </si>
  <si>
    <t>Return on capital</t>
  </si>
  <si>
    <t>Present value profit (real)</t>
  </si>
  <si>
    <t>Debt service ratio</t>
  </si>
  <si>
    <t>Cash flow before loan repayment</t>
  </si>
  <si>
    <t>Stakeholder analysis</t>
  </si>
  <si>
    <t>Water use &amp; consumption</t>
  </si>
  <si>
    <t>Private household connection</t>
  </si>
  <si>
    <t>Monthly cost</t>
  </si>
  <si>
    <t>Existing tariffs</t>
  </si>
  <si>
    <t>Monthly coping cost</t>
  </si>
  <si>
    <t>Willingness to pay</t>
  </si>
  <si>
    <t>Change in social welfare (Real)</t>
  </si>
  <si>
    <t>Risk case</t>
  </si>
  <si>
    <t>Expected inflation rate</t>
  </si>
  <si>
    <t>Forecast used for tariff setting</t>
  </si>
  <si>
    <t>Existing asset base (nominal)</t>
  </si>
  <si>
    <t>Initial asset base</t>
  </si>
  <si>
    <t>Final asset base</t>
  </si>
  <si>
    <t>New asset base (nominal)</t>
  </si>
  <si>
    <t>Foreign exchange rate</t>
  </si>
  <si>
    <t>Present value profit (Real)</t>
  </si>
  <si>
    <t>Graph data</t>
  </si>
  <si>
    <t>Forecast (No risk case)</t>
  </si>
  <si>
    <t>Forecast (Risk case)</t>
  </si>
  <si>
    <t>Data</t>
  </si>
  <si>
    <t>No risk case</t>
  </si>
  <si>
    <t>Consumer price index (%)</t>
  </si>
  <si>
    <t>Customer tariff (No reset)</t>
  </si>
  <si>
    <t>Customer tariff (Forecast = No risk case)</t>
  </si>
  <si>
    <t>Customer tariff (Forecast = Risk case)</t>
  </si>
  <si>
    <t>Service coverage</t>
  </si>
  <si>
    <t>Percentage coverage (%)</t>
  </si>
  <si>
    <t>Currently unconnected</t>
  </si>
  <si>
    <t>Total change</t>
  </si>
  <si>
    <t>Change in social welfare</t>
  </si>
  <si>
    <t>Results from Risk Analysis</t>
  </si>
  <si>
    <t>Time</t>
  </si>
  <si>
    <t>PV (cash flow) based on Full reset</t>
  </si>
  <si>
    <t>Default probability based on Full reset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</si>
</sst>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164" formatCode="0.000000000"/>
    <numFmt numFmtId="165" formatCode="#,##0.0"/>
    <numFmt numFmtId="166" formatCode="0.0%"/>
    <numFmt numFmtId="167" formatCode="_-* #,##0.00_-;\-* #,##0.00_-;_-* &quot;-&quot;??_-;_-@_-"/>
    <numFmt numFmtId="168" formatCode="0.0"/>
    <numFmt numFmtId="169" formatCode="hh:mm:ss;@"/>
    <numFmt numFmtId="170" formatCode="0.0000"/>
    <numFmt numFmtId="171" formatCode="#,##0.000"/>
    <numFmt numFmtId="172" formatCode="#,##0.000000"/>
    <numFmt numFmtId="173" formatCode="#,##0.0000"/>
    <numFmt numFmtId="174" formatCode="#,##0.00000"/>
    <numFmt numFmtId="175" formatCode="0.000000"/>
    <numFmt numFmtId="176" formatCode="0.00000000"/>
    <numFmt numFmtId="177" formatCode="#,##0.0000000"/>
    <numFmt numFmtId="178" formatCode="#,##0.000000000"/>
    <numFmt numFmtId="179" formatCode="0.000%"/>
    <numFmt numFmtId="180" formatCode="0.000"/>
    <numFmt numFmtId="181" formatCode="_-* #,##0.0000_-;\-* #,##0.0000_-;_-* &quot;-&quot;??_-;_-@_-"/>
  </numFmts>
  <fonts count="27">
    <font>
      <sz val="10"/>
      <name val="Arial"/>
    </font>
    <font>
      <sz val="10"/>
      <name val="Arial"/>
    </font>
    <font>
      <b/>
      <sz val="20"/>
      <color indexed="18"/>
      <name val="Arial"/>
      <family val="2"/>
    </font>
    <font>
      <sz val="10"/>
      <color indexed="18"/>
      <name val="Arial"/>
      <family val="2"/>
    </font>
    <font>
      <b/>
      <u/>
      <sz val="10"/>
      <name val="Arial"/>
      <family val="2"/>
    </font>
    <font>
      <b/>
      <sz val="10"/>
      <name val="Arial"/>
      <family val="2"/>
    </font>
    <font>
      <sz val="10"/>
      <color indexed="10"/>
      <name val="Arial"/>
      <family val="2"/>
    </font>
    <font>
      <b/>
      <sz val="14"/>
      <color indexed="9"/>
      <name val="Arial"/>
      <family val="2"/>
    </font>
    <font>
      <sz val="10"/>
      <color indexed="9"/>
      <name val="Arial"/>
      <family val="2"/>
    </font>
    <font>
      <b/>
      <sz val="10"/>
      <color indexed="81"/>
      <name val="Arial"/>
      <family val="2"/>
    </font>
    <font>
      <sz val="10"/>
      <color indexed="81"/>
      <name val="Arial"/>
      <family val="2"/>
    </font>
    <font>
      <b/>
      <sz val="10"/>
      <color indexed="18"/>
      <name val="Arial"/>
      <family val="2"/>
    </font>
    <font>
      <sz val="10"/>
      <color indexed="8"/>
      <name val="Arial"/>
      <family val="2"/>
    </font>
    <font>
      <b/>
      <sz val="10"/>
      <color indexed="8"/>
      <name val="Arial"/>
      <family val="2"/>
    </font>
    <font>
      <b/>
      <sz val="10"/>
      <color indexed="9"/>
      <name val="Arial"/>
      <family val="2"/>
    </font>
    <font>
      <sz val="10"/>
      <color indexed="31"/>
      <name val="Arial"/>
      <family val="2"/>
    </font>
    <font>
      <sz val="6.5"/>
      <name val="Arial"/>
      <family val="2"/>
    </font>
    <font>
      <b/>
      <sz val="14"/>
      <color indexed="18"/>
      <name val="Arial"/>
      <family val="2"/>
    </font>
    <font>
      <b/>
      <sz val="10"/>
      <color indexed="22"/>
      <name val="Arial"/>
      <family val="2"/>
    </font>
    <font>
      <b/>
      <sz val="10"/>
      <color indexed="31"/>
      <name val="Arial"/>
      <family val="2"/>
    </font>
    <font>
      <b/>
      <u/>
      <vertAlign val="superscript"/>
      <sz val="10"/>
      <name val="Arial"/>
      <family val="2"/>
    </font>
    <font>
      <b/>
      <sz val="9"/>
      <name val="Arial"/>
      <family val="2"/>
    </font>
    <font>
      <b/>
      <sz val="9"/>
      <color indexed="9"/>
      <name val="Arial"/>
      <family val="2"/>
    </font>
    <font>
      <sz val="9"/>
      <color indexed="9"/>
      <name val="Arial"/>
      <family val="2"/>
    </font>
    <font>
      <i/>
      <sz val="10"/>
      <color indexed="81"/>
      <name val="Arial"/>
      <family val="2"/>
    </font>
    <font>
      <b/>
      <sz val="10"/>
      <color rgb="FF000000"/>
      <name val="Arial"/>
      <family val="2"/>
    </font>
    <font>
      <sz val="8"/>
      <color rgb="FF000000"/>
      <name val="Tahoma"/>
      <family val="2"/>
    </font>
  </fonts>
  <fills count="7">
    <fill>
      <patternFill patternType="none"/>
    </fill>
    <fill>
      <patternFill patternType="gray125"/>
    </fill>
    <fill>
      <patternFill patternType="solid">
        <fgColor indexed="31"/>
        <bgColor indexed="64"/>
      </patternFill>
    </fill>
    <fill>
      <patternFill patternType="solid">
        <fgColor indexed="9"/>
        <bgColor indexed="64"/>
      </patternFill>
    </fill>
    <fill>
      <patternFill patternType="solid">
        <fgColor indexed="41"/>
        <bgColor indexed="64"/>
      </patternFill>
    </fill>
    <fill>
      <patternFill patternType="solid">
        <fgColor indexed="43"/>
        <bgColor indexed="64"/>
      </patternFill>
    </fill>
    <fill>
      <patternFill patternType="solid">
        <fgColor indexed="18"/>
        <bgColor indexed="64"/>
      </patternFill>
    </fill>
  </fills>
  <borders count="53">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thin">
        <color auto="1"/>
      </right>
      <top style="dashed">
        <color auto="1"/>
      </top>
      <bottom style="thin">
        <color auto="1"/>
      </bottom>
      <diagonal/>
    </border>
    <border>
      <left style="thin">
        <color auto="1"/>
      </left>
      <right style="dashed">
        <color auto="1"/>
      </right>
      <top style="thin">
        <color auto="1"/>
      </top>
      <bottom style="thin">
        <color auto="1"/>
      </bottom>
      <diagonal/>
    </border>
    <border>
      <left style="dashed">
        <color auto="1"/>
      </left>
      <right style="thin">
        <color auto="1"/>
      </right>
      <top style="thin">
        <color auto="1"/>
      </top>
      <bottom style="thin">
        <color auto="1"/>
      </bottom>
      <diagonal/>
    </border>
    <border>
      <left style="thin">
        <color auto="1"/>
      </left>
      <right style="thin">
        <color auto="1"/>
      </right>
      <top style="thin">
        <color auto="1"/>
      </top>
      <bottom/>
      <diagonal/>
    </border>
    <border>
      <left style="dashed">
        <color auto="1"/>
      </left>
      <right style="dashed">
        <color auto="1"/>
      </right>
      <top style="thin">
        <color auto="1"/>
      </top>
      <bottom style="thin">
        <color auto="1"/>
      </bottom>
      <diagonal/>
    </border>
    <border>
      <left style="thin">
        <color auto="1"/>
      </left>
      <right style="thin">
        <color auto="1"/>
      </right>
      <top/>
      <bottom style="dashed">
        <color auto="1"/>
      </bottom>
      <diagonal/>
    </border>
    <border>
      <left/>
      <right/>
      <top style="medium">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indexed="18"/>
      </top>
      <bottom/>
      <diagonal/>
    </border>
    <border>
      <left style="thin">
        <color auto="1"/>
      </left>
      <right style="dashed">
        <color auto="1"/>
      </right>
      <top style="thin">
        <color auto="1"/>
      </top>
      <bottom style="dashed">
        <color auto="1"/>
      </bottom>
      <diagonal/>
    </border>
    <border>
      <left style="dashed">
        <color auto="1"/>
      </left>
      <right style="dashed">
        <color auto="1"/>
      </right>
      <top style="thin">
        <color auto="1"/>
      </top>
      <bottom style="dashed">
        <color auto="1"/>
      </bottom>
      <diagonal/>
    </border>
    <border>
      <left style="dashed">
        <color auto="1"/>
      </left>
      <right style="thin">
        <color auto="1"/>
      </right>
      <top style="thin">
        <color auto="1"/>
      </top>
      <bottom style="dashed">
        <color auto="1"/>
      </bottom>
      <diagonal/>
    </border>
    <border>
      <left style="thin">
        <color auto="1"/>
      </left>
      <right style="dashed">
        <color auto="1"/>
      </right>
      <top/>
      <bottom style="dashed">
        <color auto="1"/>
      </bottom>
      <diagonal/>
    </border>
    <border>
      <left style="dashed">
        <color auto="1"/>
      </left>
      <right style="dashed">
        <color auto="1"/>
      </right>
      <top/>
      <bottom style="dashed">
        <color auto="1"/>
      </bottom>
      <diagonal/>
    </border>
    <border>
      <left style="dashed">
        <color auto="1"/>
      </left>
      <right style="thin">
        <color auto="1"/>
      </right>
      <top/>
      <bottom style="dashed">
        <color auto="1"/>
      </bottom>
      <diagonal/>
    </border>
    <border>
      <left style="thin">
        <color auto="1"/>
      </left>
      <right style="dashed">
        <color auto="1"/>
      </right>
      <top style="dashed">
        <color auto="1"/>
      </top>
      <bottom style="thin">
        <color auto="1"/>
      </bottom>
      <diagonal/>
    </border>
    <border>
      <left style="dashed">
        <color auto="1"/>
      </left>
      <right style="dashed">
        <color auto="1"/>
      </right>
      <top style="dashed">
        <color auto="1"/>
      </top>
      <bottom style="thin">
        <color auto="1"/>
      </bottom>
      <diagonal/>
    </border>
    <border>
      <left style="dashed">
        <color auto="1"/>
      </left>
      <right style="thin">
        <color auto="1"/>
      </right>
      <top style="dashed">
        <color auto="1"/>
      </top>
      <bottom style="thin">
        <color auto="1"/>
      </bottom>
      <diagonal/>
    </border>
    <border>
      <left style="thin">
        <color auto="1"/>
      </left>
      <right style="dashed">
        <color auto="1"/>
      </right>
      <top style="dashed">
        <color auto="1"/>
      </top>
      <bottom style="dashed">
        <color auto="1"/>
      </bottom>
      <diagonal/>
    </border>
    <border>
      <left style="dashed">
        <color auto="1"/>
      </left>
      <right style="dashed">
        <color auto="1"/>
      </right>
      <top style="dashed">
        <color auto="1"/>
      </top>
      <bottom style="dashed">
        <color auto="1"/>
      </bottom>
      <diagonal/>
    </border>
    <border>
      <left style="dashed">
        <color auto="1"/>
      </left>
      <right style="thin">
        <color auto="1"/>
      </right>
      <top style="dashed">
        <color auto="1"/>
      </top>
      <bottom style="dashed">
        <color auto="1"/>
      </bottom>
      <diagonal/>
    </border>
    <border>
      <left style="thin">
        <color auto="1"/>
      </left>
      <right style="dashed">
        <color auto="1"/>
      </right>
      <top style="dashed">
        <color auto="1"/>
      </top>
      <bottom/>
      <diagonal/>
    </border>
    <border>
      <left/>
      <right style="dashed">
        <color auto="1"/>
      </right>
      <top style="dashed">
        <color auto="1"/>
      </top>
      <bottom style="thin">
        <color auto="1"/>
      </bottom>
      <diagonal/>
    </border>
    <border>
      <left style="thin">
        <color auto="1"/>
      </left>
      <right style="double">
        <color auto="1"/>
      </right>
      <top style="thin">
        <color auto="1"/>
      </top>
      <bottom style="dashed">
        <color auto="1"/>
      </bottom>
      <diagonal/>
    </border>
    <border>
      <left/>
      <right style="dashed">
        <color auto="1"/>
      </right>
      <top style="thin">
        <color auto="1"/>
      </top>
      <bottom style="dashed">
        <color auto="1"/>
      </bottom>
      <diagonal/>
    </border>
    <border>
      <left style="thin">
        <color auto="1"/>
      </left>
      <right style="double">
        <color auto="1"/>
      </right>
      <top style="dashed">
        <color auto="1"/>
      </top>
      <bottom style="dashed">
        <color auto="1"/>
      </bottom>
      <diagonal/>
    </border>
    <border>
      <left/>
      <right style="dashed">
        <color auto="1"/>
      </right>
      <top style="dashed">
        <color auto="1"/>
      </top>
      <bottom style="dashed">
        <color auto="1"/>
      </bottom>
      <diagonal/>
    </border>
    <border>
      <left style="thin">
        <color auto="1"/>
      </left>
      <right style="double">
        <color auto="1"/>
      </right>
      <top style="dashed">
        <color auto="1"/>
      </top>
      <bottom style="thin">
        <color auto="1"/>
      </bottom>
      <diagonal/>
    </border>
    <border>
      <left style="thin">
        <color auto="1"/>
      </left>
      <right style="dashed">
        <color auto="1"/>
      </right>
      <top/>
      <bottom/>
      <diagonal/>
    </border>
    <border>
      <left style="dashed">
        <color auto="1"/>
      </left>
      <right style="dashed">
        <color auto="1"/>
      </right>
      <top/>
      <bottom/>
      <diagonal/>
    </border>
    <border>
      <left style="dashed">
        <color auto="1"/>
      </left>
      <right style="thin">
        <color auto="1"/>
      </right>
      <top/>
      <bottom/>
      <diagonal/>
    </border>
    <border>
      <left style="thin">
        <color auto="1"/>
      </left>
      <right style="dashed">
        <color auto="1"/>
      </right>
      <top/>
      <bottom style="thin">
        <color auto="1"/>
      </bottom>
      <diagonal/>
    </border>
    <border>
      <left style="dashed">
        <color auto="1"/>
      </left>
      <right style="dashed">
        <color auto="1"/>
      </right>
      <top/>
      <bottom style="thin">
        <color auto="1"/>
      </bottom>
      <diagonal/>
    </border>
    <border>
      <left style="dashed">
        <color auto="1"/>
      </left>
      <right style="thin">
        <color auto="1"/>
      </right>
      <top/>
      <bottom style="thin">
        <color auto="1"/>
      </bottom>
      <diagonal/>
    </border>
    <border>
      <left style="thin">
        <color auto="1"/>
      </left>
      <right style="dashed">
        <color auto="1"/>
      </right>
      <top style="double">
        <color auto="1"/>
      </top>
      <bottom style="double">
        <color auto="1"/>
      </bottom>
      <diagonal/>
    </border>
    <border>
      <left style="dashed">
        <color auto="1"/>
      </left>
      <right style="dashed">
        <color auto="1"/>
      </right>
      <top style="double">
        <color auto="1"/>
      </top>
      <bottom style="double">
        <color auto="1"/>
      </bottom>
      <diagonal/>
    </border>
    <border>
      <left style="dashed">
        <color auto="1"/>
      </left>
      <right style="thin">
        <color auto="1"/>
      </right>
      <top style="double">
        <color auto="1"/>
      </top>
      <bottom style="double">
        <color auto="1"/>
      </bottom>
      <diagonal/>
    </border>
    <border>
      <left style="medium">
        <color auto="1"/>
      </left>
      <right/>
      <top/>
      <bottom style="medium">
        <color auto="1"/>
      </bottom>
      <diagonal/>
    </border>
    <border>
      <left style="dashed">
        <color auto="1"/>
      </left>
      <right style="dashed">
        <color auto="1"/>
      </right>
      <top/>
      <bottom style="medium">
        <color auto="1"/>
      </bottom>
      <diagonal/>
    </border>
    <border>
      <left style="medium">
        <color auto="1"/>
      </left>
      <right/>
      <top/>
      <bottom style="dashed">
        <color auto="1"/>
      </bottom>
      <diagonal/>
    </border>
    <border>
      <left style="medium">
        <color auto="1"/>
      </left>
      <right/>
      <top style="dashed">
        <color auto="1"/>
      </top>
      <bottom style="dashed">
        <color auto="1"/>
      </bottom>
      <diagonal/>
    </border>
  </borders>
  <cellStyleXfs count="3">
    <xf numFmtId="0" fontId="0" fillId="0" borderId="0"/>
    <xf numFmtId="167" fontId="1" fillId="0" borderId="0" applyFont="0" applyFill="0" applyBorder="0" applyAlignment="0" applyProtection="0"/>
    <xf numFmtId="9" fontId="1" fillId="0" borderId="0" applyFont="0" applyFill="0" applyBorder="0" applyAlignment="0" applyProtection="0"/>
  </cellStyleXfs>
  <cellXfs count="308">
    <xf numFmtId="0" fontId="0" fillId="0" borderId="0" xfId="0"/>
    <xf numFmtId="0" fontId="2" fillId="2" borderId="1" xfId="0" applyFont="1" applyFill="1" applyBorder="1" applyAlignment="1" applyProtection="1">
      <alignment vertical="center"/>
    </xf>
    <xf numFmtId="0" fontId="3" fillId="2" borderId="1" xfId="0" applyFont="1" applyFill="1" applyBorder="1" applyProtection="1"/>
    <xf numFmtId="0" fontId="0" fillId="3" borderId="0" xfId="0" applyFill="1" applyProtection="1"/>
    <xf numFmtId="0" fontId="4" fillId="3" borderId="0" xfId="0" applyFont="1" applyFill="1" applyProtection="1"/>
    <xf numFmtId="164" fontId="0" fillId="3" borderId="0" xfId="0" applyNumberFormat="1" applyFill="1" applyProtection="1"/>
    <xf numFmtId="0" fontId="5" fillId="3" borderId="0" xfId="0" applyFont="1" applyFill="1" applyProtection="1"/>
    <xf numFmtId="0" fontId="0" fillId="4" borderId="2" xfId="0" applyFill="1" applyBorder="1" applyProtection="1"/>
    <xf numFmtId="3" fontId="0" fillId="5" borderId="2" xfId="0" applyNumberFormat="1" applyFill="1" applyBorder="1" applyProtection="1"/>
    <xf numFmtId="0" fontId="0" fillId="4" borderId="3" xfId="0" applyFill="1" applyBorder="1" applyProtection="1"/>
    <xf numFmtId="0" fontId="0" fillId="4" borderId="4" xfId="0" applyFill="1" applyBorder="1" applyProtection="1"/>
    <xf numFmtId="0" fontId="0" fillId="4" borderId="5" xfId="0" applyFill="1" applyBorder="1" applyProtection="1"/>
    <xf numFmtId="0" fontId="1" fillId="3" borderId="0" xfId="0" applyFont="1" applyFill="1" applyProtection="1"/>
    <xf numFmtId="3" fontId="0" fillId="3" borderId="0" xfId="0" applyNumberFormat="1" applyFill="1" applyProtection="1"/>
    <xf numFmtId="0" fontId="0" fillId="4" borderId="2" xfId="0" applyNumberFormat="1" applyFill="1" applyBorder="1" applyProtection="1">
      <protection locked="0"/>
    </xf>
    <xf numFmtId="0" fontId="0" fillId="3" borderId="0" xfId="0" applyNumberFormat="1" applyFill="1" applyBorder="1" applyProtection="1"/>
    <xf numFmtId="9" fontId="0" fillId="4" borderId="2" xfId="2" applyFont="1" applyFill="1" applyBorder="1" applyProtection="1">
      <protection locked="0"/>
    </xf>
    <xf numFmtId="3" fontId="0" fillId="4" borderId="2" xfId="2" applyNumberFormat="1" applyFont="1" applyFill="1" applyBorder="1" applyProtection="1">
      <protection locked="0"/>
    </xf>
    <xf numFmtId="165" fontId="0" fillId="4" borderId="2" xfId="0" applyNumberFormat="1" applyFill="1" applyBorder="1" applyProtection="1">
      <protection locked="0"/>
    </xf>
    <xf numFmtId="0" fontId="6" fillId="3" borderId="0" xfId="0" applyFont="1" applyFill="1" applyAlignment="1" applyProtection="1">
      <alignment vertical="top"/>
    </xf>
    <xf numFmtId="9" fontId="0" fillId="4" borderId="3" xfId="2" applyFont="1" applyFill="1" applyBorder="1" applyProtection="1">
      <protection locked="0"/>
    </xf>
    <xf numFmtId="9" fontId="0" fillId="5" borderId="2" xfId="2" applyFont="1" applyFill="1" applyBorder="1" applyProtection="1"/>
    <xf numFmtId="9" fontId="0" fillId="4" borderId="4" xfId="2" applyFont="1" applyFill="1" applyBorder="1" applyProtection="1">
      <protection locked="0"/>
    </xf>
    <xf numFmtId="1" fontId="0" fillId="4" borderId="4" xfId="2" applyNumberFormat="1" applyFont="1" applyFill="1" applyBorder="1" applyProtection="1">
      <protection locked="0"/>
    </xf>
    <xf numFmtId="1" fontId="0" fillId="4" borderId="5" xfId="2" applyNumberFormat="1" applyFont="1" applyFill="1" applyBorder="1" applyAlignment="1" applyProtection="1">
      <alignment vertical="top"/>
      <protection locked="0"/>
    </xf>
    <xf numFmtId="0" fontId="0" fillId="4" borderId="2" xfId="0" applyFill="1" applyBorder="1" applyProtection="1">
      <protection locked="0"/>
    </xf>
    <xf numFmtId="0" fontId="1" fillId="3" borderId="0" xfId="0" applyFont="1" applyFill="1" applyAlignment="1" applyProtection="1">
      <alignment wrapText="1"/>
    </xf>
    <xf numFmtId="0" fontId="5" fillId="3" borderId="0" xfId="0" applyFont="1" applyFill="1" applyAlignment="1" applyProtection="1">
      <alignment horizontal="left" wrapText="1" indent="1"/>
    </xf>
    <xf numFmtId="3" fontId="1" fillId="4" borderId="3" xfId="0" applyNumberFormat="1" applyFont="1" applyFill="1" applyBorder="1" applyProtection="1">
      <protection locked="0"/>
    </xf>
    <xf numFmtId="0" fontId="1" fillId="3" borderId="0" xfId="0" applyFont="1" applyFill="1" applyAlignment="1" applyProtection="1">
      <alignment horizontal="left" wrapText="1" indent="1"/>
    </xf>
    <xf numFmtId="0" fontId="1" fillId="3" borderId="0" xfId="0" applyFont="1" applyFill="1" applyAlignment="1" applyProtection="1">
      <alignment horizontal="left" indent="1"/>
    </xf>
    <xf numFmtId="166" fontId="0" fillId="4" borderId="4" xfId="2" applyNumberFormat="1" applyFont="1" applyFill="1" applyBorder="1" applyProtection="1">
      <protection locked="0"/>
    </xf>
    <xf numFmtId="0" fontId="1" fillId="3" borderId="0" xfId="0" applyFont="1" applyFill="1" applyAlignment="1" applyProtection="1">
      <alignment horizontal="left" wrapText="1" indent="2"/>
    </xf>
    <xf numFmtId="166" fontId="0" fillId="4" borderId="5" xfId="2" applyNumberFormat="1" applyFont="1" applyFill="1" applyBorder="1" applyProtection="1">
      <protection locked="0"/>
    </xf>
    <xf numFmtId="9" fontId="0" fillId="4" borderId="4" xfId="2" applyNumberFormat="1" applyFont="1" applyFill="1" applyBorder="1" applyProtection="1">
      <protection locked="0"/>
    </xf>
    <xf numFmtId="167" fontId="0" fillId="4" borderId="5" xfId="1" applyFont="1" applyFill="1" applyBorder="1" applyProtection="1">
      <protection locked="0"/>
    </xf>
    <xf numFmtId="166" fontId="0" fillId="4" borderId="3" xfId="2" applyNumberFormat="1" applyFont="1" applyFill="1" applyBorder="1" applyProtection="1">
      <protection locked="0"/>
    </xf>
    <xf numFmtId="0" fontId="0" fillId="3" borderId="0" xfId="0" applyFill="1" applyAlignment="1" applyProtection="1">
      <alignment horizontal="left" indent="2"/>
    </xf>
    <xf numFmtId="3" fontId="0" fillId="4" borderId="6" xfId="0" applyNumberFormat="1" applyFill="1" applyBorder="1" applyProtection="1">
      <protection locked="0"/>
    </xf>
    <xf numFmtId="9" fontId="0" fillId="4" borderId="7" xfId="2" applyFont="1" applyFill="1" applyBorder="1" applyProtection="1">
      <protection locked="0"/>
    </xf>
    <xf numFmtId="3" fontId="5" fillId="3" borderId="0" xfId="0" applyNumberFormat="1" applyFont="1" applyFill="1" applyProtection="1"/>
    <xf numFmtId="1" fontId="0" fillId="3" borderId="0" xfId="0" applyNumberFormat="1" applyFill="1" applyBorder="1" applyProtection="1"/>
    <xf numFmtId="1" fontId="0" fillId="3" borderId="0" xfId="2" applyNumberFormat="1" applyFont="1" applyFill="1" applyBorder="1" applyProtection="1"/>
    <xf numFmtId="0" fontId="7" fillId="6" borderId="0" xfId="0" applyFont="1" applyFill="1" applyProtection="1"/>
    <xf numFmtId="0" fontId="8" fillId="6" borderId="0" xfId="0" applyFont="1" applyFill="1" applyProtection="1"/>
    <xf numFmtId="0" fontId="3" fillId="3" borderId="0" xfId="0" applyFont="1" applyFill="1" applyProtection="1"/>
    <xf numFmtId="0" fontId="4" fillId="3" borderId="0" xfId="0" applyFont="1" applyFill="1" applyAlignment="1" applyProtection="1">
      <alignment vertical="top"/>
    </xf>
    <xf numFmtId="0" fontId="1" fillId="3" borderId="0" xfId="0" applyFont="1" applyFill="1" applyAlignment="1" applyProtection="1">
      <alignment horizontal="left" wrapText="1"/>
    </xf>
    <xf numFmtId="0" fontId="1" fillId="3" borderId="0" xfId="0" applyFont="1" applyFill="1" applyAlignment="1" applyProtection="1">
      <alignment vertical="top"/>
    </xf>
    <xf numFmtId="0" fontId="1" fillId="3" borderId="0" xfId="0" applyFont="1" applyFill="1" applyAlignment="1" applyProtection="1">
      <alignment horizontal="left"/>
    </xf>
    <xf numFmtId="3" fontId="0" fillId="4" borderId="8" xfId="0" applyNumberFormat="1" applyFill="1" applyBorder="1" applyProtection="1">
      <protection locked="0"/>
    </xf>
    <xf numFmtId="0" fontId="1" fillId="3" borderId="0" xfId="0" applyFont="1" applyFill="1" applyAlignment="1" applyProtection="1">
      <alignment horizontal="left" vertical="center" wrapText="1"/>
    </xf>
    <xf numFmtId="9" fontId="0" fillId="4" borderId="6" xfId="2" applyFont="1" applyFill="1" applyBorder="1" applyProtection="1">
      <protection locked="0"/>
    </xf>
    <xf numFmtId="9" fontId="0" fillId="4" borderId="9" xfId="2" applyFont="1" applyFill="1" applyBorder="1" applyProtection="1">
      <protection locked="0"/>
    </xf>
    <xf numFmtId="3" fontId="0" fillId="4" borderId="7" xfId="0" applyNumberFormat="1" applyFill="1" applyBorder="1" applyProtection="1">
      <protection locked="0"/>
    </xf>
    <xf numFmtId="9" fontId="1" fillId="4" borderId="3" xfId="2" applyFill="1" applyBorder="1" applyProtection="1">
      <protection locked="0"/>
    </xf>
    <xf numFmtId="1" fontId="1" fillId="3" borderId="0" xfId="2" applyNumberFormat="1" applyFill="1" applyBorder="1" applyProtection="1"/>
    <xf numFmtId="9" fontId="1" fillId="4" borderId="5" xfId="2" applyFill="1" applyBorder="1" applyProtection="1">
      <protection locked="0"/>
    </xf>
    <xf numFmtId="9" fontId="1" fillId="4" borderId="2" xfId="2" applyFill="1" applyBorder="1" applyProtection="1">
      <protection locked="0"/>
    </xf>
    <xf numFmtId="10" fontId="0" fillId="3" borderId="0" xfId="0" applyNumberFormat="1" applyFill="1" applyProtection="1"/>
    <xf numFmtId="3" fontId="0" fillId="4" borderId="2" xfId="0" applyNumberFormat="1" applyFill="1" applyBorder="1" applyProtection="1">
      <protection locked="0"/>
    </xf>
    <xf numFmtId="1" fontId="1" fillId="4" borderId="3" xfId="2" applyNumberFormat="1" applyFont="1" applyFill="1" applyBorder="1" applyProtection="1">
      <protection locked="0"/>
    </xf>
    <xf numFmtId="4" fontId="0" fillId="3" borderId="0" xfId="0" applyNumberFormat="1" applyFill="1" applyBorder="1" applyProtection="1"/>
    <xf numFmtId="3" fontId="1" fillId="4" borderId="5" xfId="2" applyNumberFormat="1" applyFill="1" applyBorder="1" applyProtection="1">
      <protection locked="0"/>
    </xf>
    <xf numFmtId="0" fontId="1" fillId="3" borderId="0" xfId="0" applyFont="1" applyFill="1" applyAlignment="1" applyProtection="1">
      <alignment horizontal="center" vertical="center" wrapText="1"/>
    </xf>
    <xf numFmtId="0" fontId="0" fillId="3" borderId="0" xfId="0" applyFill="1" applyAlignment="1" applyProtection="1">
      <alignment wrapText="1"/>
    </xf>
    <xf numFmtId="0" fontId="0" fillId="3" borderId="0" xfId="0" applyFill="1" applyAlignment="1" applyProtection="1">
      <alignment horizontal="left" indent="1"/>
    </xf>
    <xf numFmtId="3" fontId="0" fillId="5" borderId="10" xfId="2" applyNumberFormat="1" applyFont="1" applyFill="1" applyBorder="1" applyProtection="1"/>
    <xf numFmtId="9" fontId="0" fillId="4" borderId="5" xfId="2" applyFont="1" applyFill="1" applyBorder="1" applyProtection="1">
      <protection locked="0"/>
    </xf>
    <xf numFmtId="0" fontId="0" fillId="4" borderId="3" xfId="0" applyFill="1" applyBorder="1" applyProtection="1">
      <protection locked="0"/>
    </xf>
    <xf numFmtId="0" fontId="0" fillId="3" borderId="0" xfId="0" applyFill="1" applyAlignment="1" applyProtection="1">
      <alignment horizontal="center"/>
    </xf>
    <xf numFmtId="3" fontId="0" fillId="4" borderId="3" xfId="0" applyNumberFormat="1" applyFill="1" applyBorder="1" applyProtection="1">
      <protection locked="0"/>
    </xf>
    <xf numFmtId="0" fontId="1" fillId="3" borderId="0" xfId="0" applyFont="1" applyFill="1" applyAlignment="1" applyProtection="1"/>
    <xf numFmtId="3" fontId="0" fillId="3" borderId="0" xfId="0" applyNumberFormat="1" applyFill="1" applyBorder="1" applyProtection="1"/>
    <xf numFmtId="9" fontId="0" fillId="3" borderId="0" xfId="2" applyFont="1" applyFill="1" applyProtection="1"/>
    <xf numFmtId="1" fontId="0" fillId="4" borderId="5" xfId="2" applyNumberFormat="1" applyFont="1" applyFill="1" applyBorder="1" applyProtection="1">
      <protection locked="0"/>
    </xf>
    <xf numFmtId="0" fontId="0" fillId="0" borderId="0" xfId="0" applyAlignment="1" applyProtection="1">
      <alignment horizontal="left"/>
    </xf>
    <xf numFmtId="168" fontId="0" fillId="4" borderId="2" xfId="0" applyNumberFormat="1" applyFill="1" applyBorder="1" applyProtection="1">
      <protection locked="0"/>
    </xf>
    <xf numFmtId="0" fontId="0" fillId="2" borderId="11" xfId="0" applyFill="1" applyBorder="1" applyProtection="1"/>
    <xf numFmtId="0" fontId="0" fillId="2" borderId="0" xfId="0" applyNumberFormat="1" applyFill="1" applyBorder="1" applyProtection="1"/>
    <xf numFmtId="0" fontId="0" fillId="2" borderId="0" xfId="0" applyFill="1" applyBorder="1" applyProtection="1"/>
    <xf numFmtId="0" fontId="11" fillId="3" borderId="0" xfId="0" applyFont="1" applyFill="1" applyProtection="1"/>
    <xf numFmtId="0" fontId="0" fillId="2" borderId="12" xfId="0" applyFill="1" applyBorder="1" applyProtection="1"/>
    <xf numFmtId="0" fontId="0" fillId="2" borderId="13" xfId="0" applyFill="1" applyBorder="1" applyProtection="1"/>
    <xf numFmtId="0" fontId="0" fillId="2" borderId="14" xfId="0" applyFill="1" applyBorder="1" applyProtection="1"/>
    <xf numFmtId="0" fontId="0" fillId="2" borderId="15" xfId="0" applyFill="1" applyBorder="1" applyProtection="1"/>
    <xf numFmtId="0" fontId="0" fillId="2" borderId="16" xfId="0" applyFill="1" applyBorder="1" applyProtection="1"/>
    <xf numFmtId="0" fontId="0" fillId="2" borderId="17" xfId="0" applyFill="1" applyBorder="1" applyProtection="1"/>
    <xf numFmtId="0" fontId="0" fillId="2" borderId="18" xfId="0" applyFill="1" applyBorder="1" applyProtection="1"/>
    <xf numFmtId="0" fontId="0" fillId="2" borderId="19" xfId="0" applyFill="1" applyBorder="1" applyProtection="1"/>
    <xf numFmtId="0" fontId="0" fillId="3" borderId="0" xfId="0" applyFill="1" applyBorder="1" applyProtection="1"/>
    <xf numFmtId="0" fontId="12" fillId="3" borderId="0" xfId="0" applyFont="1" applyFill="1" applyProtection="1"/>
    <xf numFmtId="0" fontId="3" fillId="3" borderId="0" xfId="0" applyFont="1" applyFill="1" applyBorder="1" applyProtection="1"/>
    <xf numFmtId="0" fontId="2" fillId="2" borderId="1" xfId="0" applyFont="1" applyFill="1" applyBorder="1" applyAlignment="1" applyProtection="1">
      <alignment horizontal="left" vertical="center" indent="1"/>
    </xf>
    <xf numFmtId="0" fontId="0" fillId="2" borderId="1" xfId="0" applyFill="1" applyBorder="1" applyProtection="1"/>
    <xf numFmtId="0" fontId="13" fillId="3" borderId="0" xfId="0" applyFont="1" applyFill="1" applyBorder="1" applyProtection="1"/>
    <xf numFmtId="0" fontId="13" fillId="3" borderId="0" xfId="0" applyFont="1" applyFill="1" applyProtection="1"/>
    <xf numFmtId="0" fontId="14" fillId="6" borderId="0" xfId="0" applyFont="1" applyFill="1" applyBorder="1" applyAlignment="1" applyProtection="1">
      <alignment horizontal="centerContinuous"/>
    </xf>
    <xf numFmtId="0" fontId="8" fillId="3" borderId="0" xfId="0" applyFont="1" applyFill="1" applyProtection="1"/>
    <xf numFmtId="0" fontId="0" fillId="2" borderId="0" xfId="0" applyFill="1" applyBorder="1" applyAlignment="1" applyProtection="1">
      <alignment vertical="center"/>
    </xf>
    <xf numFmtId="0" fontId="0" fillId="4" borderId="0" xfId="0" applyFill="1" applyBorder="1" applyAlignment="1" applyProtection="1">
      <alignment vertical="center"/>
      <protection locked="0"/>
    </xf>
    <xf numFmtId="0" fontId="0" fillId="3" borderId="0" xfId="0" applyFill="1" applyAlignment="1" applyProtection="1"/>
    <xf numFmtId="169" fontId="0" fillId="5" borderId="0" xfId="0" applyNumberFormat="1" applyFill="1" applyBorder="1" applyProtection="1"/>
    <xf numFmtId="168" fontId="0" fillId="5" borderId="0" xfId="0" applyNumberFormat="1" applyFill="1" applyBorder="1" applyAlignment="1" applyProtection="1"/>
    <xf numFmtId="0" fontId="15" fillId="3" borderId="0" xfId="0" applyFont="1" applyFill="1" applyBorder="1" applyAlignment="1" applyProtection="1">
      <alignment vertical="top"/>
    </xf>
    <xf numFmtId="0" fontId="15" fillId="3" borderId="0" xfId="0" applyFont="1" applyFill="1" applyBorder="1" applyAlignment="1" applyProtection="1">
      <alignment vertical="top" shrinkToFit="1"/>
    </xf>
    <xf numFmtId="0" fontId="0" fillId="2" borderId="20" xfId="0" applyFill="1" applyBorder="1" applyProtection="1"/>
    <xf numFmtId="168" fontId="0" fillId="5" borderId="20" xfId="0" applyNumberFormat="1" applyFill="1" applyBorder="1" applyAlignment="1" applyProtection="1"/>
    <xf numFmtId="0" fontId="14" fillId="6" borderId="0" xfId="0" applyFont="1" applyFill="1" applyBorder="1" applyAlignment="1" applyProtection="1">
      <alignment horizontal="centerContinuous" vertical="center"/>
    </xf>
    <xf numFmtId="168" fontId="0" fillId="3" borderId="0" xfId="0" applyNumberFormat="1" applyFill="1" applyProtection="1"/>
    <xf numFmtId="0" fontId="16" fillId="2" borderId="0" xfId="0" applyFont="1" applyFill="1" applyBorder="1" applyProtection="1"/>
    <xf numFmtId="166" fontId="0" fillId="5" borderId="0" xfId="2" applyNumberFormat="1" applyFont="1" applyFill="1" applyBorder="1" applyAlignment="1" applyProtection="1"/>
    <xf numFmtId="0" fontId="13" fillId="2" borderId="11" xfId="0" applyFont="1" applyFill="1" applyBorder="1" applyProtection="1"/>
    <xf numFmtId="0" fontId="13" fillId="2" borderId="0" xfId="0" applyFont="1" applyFill="1" applyProtection="1"/>
    <xf numFmtId="0" fontId="0" fillId="2" borderId="0" xfId="0" applyFill="1" applyProtection="1"/>
    <xf numFmtId="0" fontId="12" fillId="2" borderId="0" xfId="0" applyFont="1" applyFill="1" applyBorder="1" applyProtection="1"/>
    <xf numFmtId="0" fontId="12" fillId="2" borderId="0" xfId="0" applyFont="1" applyFill="1" applyProtection="1"/>
    <xf numFmtId="0" fontId="17" fillId="3" borderId="0" xfId="0" applyFont="1" applyFill="1" applyProtection="1"/>
    <xf numFmtId="0" fontId="14" fillId="3" borderId="0" xfId="0" applyFont="1" applyFill="1" applyBorder="1" applyAlignment="1" applyProtection="1">
      <alignment horizontal="center"/>
    </xf>
    <xf numFmtId="0" fontId="15" fillId="2" borderId="0" xfId="0" applyFont="1" applyFill="1" applyBorder="1" applyAlignment="1" applyProtection="1">
      <alignment vertical="top" shrinkToFit="1"/>
    </xf>
    <xf numFmtId="0" fontId="15" fillId="2" borderId="0" xfId="0" applyFont="1" applyFill="1" applyBorder="1" applyAlignment="1" applyProtection="1">
      <alignment vertical="top" shrinkToFit="1"/>
      <protection locked="0"/>
    </xf>
    <xf numFmtId="0" fontId="15" fillId="3" borderId="0" xfId="0" applyFont="1" applyFill="1" applyBorder="1" applyProtection="1"/>
    <xf numFmtId="0" fontId="18" fillId="3" borderId="0" xfId="0" applyFont="1" applyFill="1" applyProtection="1"/>
    <xf numFmtId="0" fontId="19" fillId="2" borderId="11" xfId="0" applyFont="1" applyFill="1" applyBorder="1" applyProtection="1"/>
    <xf numFmtId="0" fontId="15" fillId="2" borderId="11" xfId="0" applyFont="1" applyFill="1" applyBorder="1" applyProtection="1"/>
    <xf numFmtId="0" fontId="19" fillId="2" borderId="0" xfId="0" applyFont="1" applyFill="1" applyProtection="1"/>
    <xf numFmtId="0" fontId="15" fillId="2" borderId="0" xfId="0" applyFont="1" applyFill="1" applyProtection="1"/>
    <xf numFmtId="0" fontId="15" fillId="2" borderId="0" xfId="0" applyFont="1" applyFill="1" applyBorder="1" applyProtection="1"/>
    <xf numFmtId="0" fontId="5" fillId="3" borderId="18" xfId="0" applyFont="1" applyFill="1" applyBorder="1" applyAlignment="1" applyProtection="1">
      <alignment vertical="center"/>
    </xf>
    <xf numFmtId="0" fontId="5" fillId="3" borderId="18" xfId="0" applyFont="1" applyFill="1" applyBorder="1" applyAlignment="1" applyProtection="1">
      <alignment horizontal="left" vertical="center"/>
    </xf>
    <xf numFmtId="0" fontId="0" fillId="3" borderId="18" xfId="0" applyFill="1" applyBorder="1" applyAlignment="1" applyProtection="1">
      <alignment horizontal="center" vertical="center"/>
    </xf>
    <xf numFmtId="0" fontId="5" fillId="3" borderId="18" xfId="0" applyFont="1" applyFill="1" applyBorder="1" applyAlignment="1" applyProtection="1">
      <alignment horizontal="center" vertical="center"/>
    </xf>
    <xf numFmtId="9" fontId="1" fillId="3" borderId="0" xfId="2" applyFont="1" applyFill="1" applyProtection="1"/>
    <xf numFmtId="9" fontId="0" fillId="5" borderId="21" xfId="2" applyNumberFormat="1" applyFont="1" applyFill="1" applyBorder="1" applyProtection="1"/>
    <xf numFmtId="9" fontId="0" fillId="5" borderId="22" xfId="2" applyNumberFormat="1" applyFont="1" applyFill="1" applyBorder="1" applyProtection="1"/>
    <xf numFmtId="9" fontId="0" fillId="5" borderId="22" xfId="2" applyFont="1" applyFill="1" applyBorder="1" applyProtection="1"/>
    <xf numFmtId="9" fontId="0" fillId="5" borderId="23" xfId="2" applyFont="1" applyFill="1" applyBorder="1" applyProtection="1"/>
    <xf numFmtId="3" fontId="0" fillId="3" borderId="0" xfId="2" applyNumberFormat="1" applyFont="1" applyFill="1" applyProtection="1"/>
    <xf numFmtId="3" fontId="1" fillId="3" borderId="0" xfId="0" applyNumberFormat="1" applyFont="1" applyFill="1" applyProtection="1"/>
    <xf numFmtId="3" fontId="1" fillId="3" borderId="0" xfId="2" applyNumberFormat="1" applyFont="1" applyFill="1" applyProtection="1"/>
    <xf numFmtId="3" fontId="0" fillId="5" borderId="24" xfId="2" applyNumberFormat="1" applyFont="1" applyFill="1" applyBorder="1" applyProtection="1"/>
    <xf numFmtId="3" fontId="0" fillId="5" borderId="25" xfId="2" applyNumberFormat="1" applyFont="1" applyFill="1" applyBorder="1" applyProtection="1"/>
    <xf numFmtId="3" fontId="0" fillId="5" borderId="26" xfId="2" applyNumberFormat="1" applyFont="1" applyFill="1" applyBorder="1" applyProtection="1"/>
    <xf numFmtId="9" fontId="0" fillId="5" borderId="27" xfId="2" applyFont="1" applyFill="1" applyBorder="1" applyProtection="1"/>
    <xf numFmtId="9" fontId="0" fillId="5" borderId="28" xfId="2" applyFont="1" applyFill="1" applyBorder="1" applyProtection="1"/>
    <xf numFmtId="9" fontId="0" fillId="5" borderId="29" xfId="2" applyFont="1" applyFill="1" applyBorder="1" applyProtection="1"/>
    <xf numFmtId="166" fontId="0" fillId="3" borderId="0" xfId="2" applyNumberFormat="1" applyFont="1" applyFill="1" applyProtection="1"/>
    <xf numFmtId="3" fontId="0" fillId="5" borderId="21" xfId="0" applyNumberFormat="1" applyFill="1" applyBorder="1" applyProtection="1"/>
    <xf numFmtId="3" fontId="0" fillId="5" borderId="22" xfId="0" applyNumberFormat="1" applyFill="1" applyBorder="1" applyProtection="1"/>
    <xf numFmtId="3" fontId="0" fillId="5" borderId="23" xfId="0" applyNumberFormat="1" applyFill="1" applyBorder="1" applyProtection="1"/>
    <xf numFmtId="3" fontId="0" fillId="5" borderId="27" xfId="0" applyNumberFormat="1" applyFill="1" applyBorder="1" applyProtection="1"/>
    <xf numFmtId="3" fontId="0" fillId="5" borderId="28" xfId="0" applyNumberFormat="1" applyFill="1" applyBorder="1" applyProtection="1"/>
    <xf numFmtId="3" fontId="0" fillId="5" borderId="29" xfId="0" applyNumberFormat="1" applyFill="1" applyBorder="1" applyProtection="1"/>
    <xf numFmtId="9" fontId="6" fillId="3" borderId="0" xfId="2" applyFont="1" applyFill="1" applyBorder="1" applyProtection="1"/>
    <xf numFmtId="9" fontId="6" fillId="3" borderId="0" xfId="2" applyNumberFormat="1" applyFont="1" applyFill="1" applyBorder="1" applyProtection="1"/>
    <xf numFmtId="9" fontId="0" fillId="3" borderId="0" xfId="0" applyNumberFormat="1" applyFill="1" applyProtection="1"/>
    <xf numFmtId="9" fontId="1" fillId="3" borderId="0" xfId="0" applyNumberFormat="1" applyFont="1" applyFill="1" applyProtection="1"/>
    <xf numFmtId="9" fontId="0" fillId="5" borderId="6" xfId="0" applyNumberFormat="1" applyFill="1" applyBorder="1" applyProtection="1"/>
    <xf numFmtId="9" fontId="0" fillId="5" borderId="9" xfId="0" applyNumberFormat="1" applyFill="1" applyBorder="1" applyProtection="1"/>
    <xf numFmtId="9" fontId="0" fillId="5" borderId="7" xfId="0" applyNumberFormat="1" applyFill="1" applyBorder="1" applyProtection="1"/>
    <xf numFmtId="0" fontId="1" fillId="3" borderId="0" xfId="0" applyFont="1" applyFill="1" applyBorder="1" applyProtection="1"/>
    <xf numFmtId="9" fontId="0" fillId="5" borderId="30" xfId="2" applyFont="1" applyFill="1" applyBorder="1" applyProtection="1"/>
    <xf numFmtId="9" fontId="0" fillId="5" borderId="31" xfId="2" applyFont="1" applyFill="1" applyBorder="1" applyProtection="1"/>
    <xf numFmtId="9" fontId="0" fillId="5" borderId="32" xfId="2" applyFont="1" applyFill="1" applyBorder="1" applyProtection="1"/>
    <xf numFmtId="3" fontId="0" fillId="5" borderId="33" xfId="0" applyNumberFormat="1" applyFill="1" applyBorder="1" applyProtection="1"/>
    <xf numFmtId="3" fontId="0" fillId="5" borderId="31" xfId="0" applyNumberFormat="1" applyFill="1" applyBorder="1" applyProtection="1"/>
    <xf numFmtId="3" fontId="0" fillId="5" borderId="32" xfId="0" applyNumberFormat="1" applyFill="1" applyBorder="1" applyProtection="1"/>
    <xf numFmtId="3" fontId="0" fillId="3" borderId="14" xfId="2" applyNumberFormat="1" applyFont="1" applyFill="1" applyBorder="1" applyProtection="1"/>
    <xf numFmtId="3" fontId="0" fillId="5" borderId="34" xfId="2" applyNumberFormat="1" applyFont="1" applyFill="1" applyBorder="1" applyProtection="1"/>
    <xf numFmtId="3" fontId="0" fillId="5" borderId="28" xfId="2" applyNumberFormat="1" applyFont="1" applyFill="1" applyBorder="1" applyProtection="1"/>
    <xf numFmtId="3" fontId="0" fillId="5" borderId="29" xfId="2" applyNumberFormat="1" applyFont="1" applyFill="1" applyBorder="1" applyProtection="1"/>
    <xf numFmtId="1" fontId="0" fillId="5" borderId="6" xfId="2" applyNumberFormat="1" applyFont="1" applyFill="1" applyBorder="1" applyProtection="1"/>
    <xf numFmtId="1" fontId="0" fillId="5" borderId="9" xfId="0" applyNumberFormat="1" applyFill="1" applyBorder="1" applyProtection="1"/>
    <xf numFmtId="1" fontId="0" fillId="5" borderId="7" xfId="0" applyNumberFormat="1" applyFill="1" applyBorder="1" applyProtection="1"/>
    <xf numFmtId="1" fontId="0" fillId="3" borderId="0" xfId="0" applyNumberFormat="1" applyFill="1" applyProtection="1"/>
    <xf numFmtId="4" fontId="0" fillId="3" borderId="0" xfId="0" applyNumberFormat="1" applyFill="1" applyProtection="1"/>
    <xf numFmtId="9" fontId="0" fillId="5" borderId="6" xfId="2" applyFont="1" applyFill="1" applyBorder="1" applyProtection="1"/>
    <xf numFmtId="0" fontId="7" fillId="6" borderId="0" xfId="0" applyFont="1" applyFill="1" applyAlignment="1" applyProtection="1"/>
    <xf numFmtId="0" fontId="8" fillId="6" borderId="0" xfId="0" applyFont="1" applyFill="1" applyAlignment="1" applyProtection="1">
      <alignment horizontal="centerContinuous"/>
    </xf>
    <xf numFmtId="170" fontId="3" fillId="3" borderId="0" xfId="0" applyNumberFormat="1" applyFont="1" applyFill="1" applyProtection="1"/>
    <xf numFmtId="10" fontId="0" fillId="3" borderId="0" xfId="2" applyNumberFormat="1" applyFont="1" applyFill="1" applyProtection="1"/>
    <xf numFmtId="3" fontId="4" fillId="3" borderId="0" xfId="0" applyNumberFormat="1" applyFont="1" applyFill="1" applyProtection="1"/>
    <xf numFmtId="171" fontId="0" fillId="3" borderId="0" xfId="0" applyNumberFormat="1" applyFill="1" applyProtection="1"/>
    <xf numFmtId="165" fontId="0" fillId="5" borderId="6" xfId="0" applyNumberFormat="1" applyFill="1" applyBorder="1" applyProtection="1"/>
    <xf numFmtId="165" fontId="0" fillId="5" borderId="9" xfId="0" applyNumberFormat="1" applyFill="1" applyBorder="1" applyProtection="1"/>
    <xf numFmtId="165" fontId="0" fillId="5" borderId="7" xfId="0" applyNumberFormat="1" applyFill="1" applyBorder="1" applyProtection="1"/>
    <xf numFmtId="3" fontId="1" fillId="3" borderId="0" xfId="0" applyNumberFormat="1" applyFont="1" applyFill="1" applyAlignment="1" applyProtection="1"/>
    <xf numFmtId="165" fontId="0" fillId="5" borderId="27" xfId="0" applyNumberFormat="1" applyFill="1" applyBorder="1" applyProtection="1"/>
    <xf numFmtId="165" fontId="0" fillId="5" borderId="28" xfId="0" applyNumberFormat="1" applyFill="1" applyBorder="1" applyProtection="1"/>
    <xf numFmtId="165" fontId="0" fillId="5" borderId="29" xfId="0" applyNumberFormat="1" applyFill="1" applyBorder="1" applyProtection="1"/>
    <xf numFmtId="3" fontId="5" fillId="3" borderId="0" xfId="0" applyNumberFormat="1" applyFont="1" applyFill="1" applyAlignment="1" applyProtection="1">
      <alignment horizontal="center"/>
    </xf>
    <xf numFmtId="165" fontId="0" fillId="3" borderId="0" xfId="0" applyNumberFormat="1" applyFill="1" applyProtection="1"/>
    <xf numFmtId="3" fontId="8" fillId="3" borderId="0" xfId="0" applyNumberFormat="1" applyFont="1" applyFill="1" applyProtection="1"/>
    <xf numFmtId="3" fontId="1" fillId="3" borderId="0" xfId="0" applyNumberFormat="1" applyFont="1" applyFill="1" applyAlignment="1" applyProtection="1">
      <alignment horizontal="left" indent="1"/>
    </xf>
    <xf numFmtId="165" fontId="0" fillId="5" borderId="35" xfId="0" applyNumberFormat="1" applyFill="1" applyBorder="1" applyAlignment="1" applyProtection="1">
      <alignment horizontal="center" vertical="top"/>
    </xf>
    <xf numFmtId="165" fontId="0" fillId="5" borderId="36" xfId="0" applyNumberFormat="1" applyFill="1" applyBorder="1" applyProtection="1"/>
    <xf numFmtId="165" fontId="0" fillId="5" borderId="22" xfId="0" applyNumberFormat="1" applyFill="1" applyBorder="1" applyProtection="1"/>
    <xf numFmtId="165" fontId="0" fillId="5" borderId="23" xfId="0" applyNumberFormat="1" applyFill="1" applyBorder="1" applyProtection="1"/>
    <xf numFmtId="165" fontId="0" fillId="5" borderId="37" xfId="0" applyNumberFormat="1" applyFill="1" applyBorder="1" applyAlignment="1" applyProtection="1">
      <alignment horizontal="center" vertical="top"/>
    </xf>
    <xf numFmtId="165" fontId="0" fillId="5" borderId="38" xfId="0" applyNumberFormat="1" applyFill="1" applyBorder="1" applyProtection="1"/>
    <xf numFmtId="165" fontId="0" fillId="5" borderId="31" xfId="0" applyNumberFormat="1" applyFill="1" applyBorder="1" applyProtection="1"/>
    <xf numFmtId="165" fontId="0" fillId="5" borderId="32" xfId="0" applyNumberFormat="1" applyFill="1" applyBorder="1" applyProtection="1"/>
    <xf numFmtId="165" fontId="0" fillId="5" borderId="39" xfId="0" applyNumberFormat="1" applyFill="1" applyBorder="1" applyAlignment="1" applyProtection="1">
      <alignment horizontal="center" vertical="top"/>
    </xf>
    <xf numFmtId="165" fontId="0" fillId="5" borderId="34" xfId="0" applyNumberFormat="1" applyFill="1" applyBorder="1" applyProtection="1"/>
    <xf numFmtId="172" fontId="0" fillId="3" borderId="0" xfId="0" applyNumberFormat="1" applyFill="1" applyProtection="1"/>
    <xf numFmtId="165" fontId="0" fillId="5" borderId="21" xfId="0" applyNumberFormat="1" applyFill="1" applyBorder="1" applyProtection="1"/>
    <xf numFmtId="165" fontId="0" fillId="5" borderId="40" xfId="0" applyNumberFormat="1" applyFill="1" applyBorder="1" applyProtection="1"/>
    <xf numFmtId="165" fontId="0" fillId="5" borderId="41" xfId="0" applyNumberFormat="1" applyFill="1" applyBorder="1" applyProtection="1"/>
    <xf numFmtId="165" fontId="0" fillId="5" borderId="42" xfId="0" applyNumberFormat="1" applyFill="1" applyBorder="1" applyProtection="1"/>
    <xf numFmtId="3" fontId="0" fillId="3" borderId="0" xfId="0" applyNumberFormat="1" applyFill="1" applyAlignment="1" applyProtection="1"/>
    <xf numFmtId="171" fontId="0" fillId="3" borderId="0" xfId="0" applyNumberFormat="1" applyFill="1" applyBorder="1" applyProtection="1"/>
    <xf numFmtId="173" fontId="0" fillId="3" borderId="0" xfId="0" applyNumberFormat="1" applyFill="1" applyProtection="1"/>
    <xf numFmtId="174" fontId="0" fillId="3" borderId="0" xfId="0" applyNumberFormat="1" applyFill="1" applyProtection="1"/>
    <xf numFmtId="3" fontId="0" fillId="5" borderId="30" xfId="0" applyNumberFormat="1" applyFill="1" applyBorder="1" applyProtection="1"/>
    <xf numFmtId="165" fontId="1" fillId="3" borderId="0" xfId="0" applyNumberFormat="1" applyFont="1" applyFill="1" applyProtection="1"/>
    <xf numFmtId="3" fontId="0" fillId="3" borderId="16" xfId="0" applyNumberFormat="1" applyFill="1" applyBorder="1" applyProtection="1"/>
    <xf numFmtId="3" fontId="0" fillId="5" borderId="36" xfId="0" applyNumberFormat="1" applyFill="1" applyBorder="1" applyProtection="1"/>
    <xf numFmtId="3" fontId="0" fillId="3" borderId="19" xfId="0" applyNumberFormat="1" applyFill="1" applyBorder="1" applyProtection="1"/>
    <xf numFmtId="3" fontId="0" fillId="5" borderId="34" xfId="0" applyNumberFormat="1" applyFill="1" applyBorder="1" applyProtection="1"/>
    <xf numFmtId="3" fontId="0" fillId="5" borderId="6" xfId="0" applyNumberFormat="1" applyFill="1" applyBorder="1" applyProtection="1"/>
    <xf numFmtId="175" fontId="0" fillId="3" borderId="0" xfId="0" applyNumberFormat="1" applyFill="1" applyProtection="1"/>
    <xf numFmtId="3" fontId="0" fillId="5" borderId="43" xfId="0" applyNumberFormat="1" applyFill="1" applyBorder="1" applyProtection="1"/>
    <xf numFmtId="3" fontId="0" fillId="5" borderId="44" xfId="0" applyNumberFormat="1" applyFill="1" applyBorder="1" applyProtection="1"/>
    <xf numFmtId="3" fontId="0" fillId="5" borderId="45" xfId="0" applyNumberFormat="1" applyFill="1" applyBorder="1" applyProtection="1"/>
    <xf numFmtId="1" fontId="0" fillId="5" borderId="30" xfId="0" applyNumberFormat="1" applyFill="1" applyBorder="1" applyProtection="1"/>
    <xf numFmtId="1" fontId="0" fillId="5" borderId="31" xfId="0" applyNumberFormat="1" applyFill="1" applyBorder="1" applyProtection="1"/>
    <xf numFmtId="1" fontId="0" fillId="5" borderId="32" xfId="0" applyNumberFormat="1" applyFill="1" applyBorder="1" applyProtection="1"/>
    <xf numFmtId="1" fontId="0" fillId="5" borderId="27" xfId="0" applyNumberFormat="1" applyFill="1" applyBorder="1" applyProtection="1"/>
    <xf numFmtId="1" fontId="0" fillId="5" borderId="28" xfId="0" applyNumberFormat="1" applyFill="1" applyBorder="1" applyProtection="1"/>
    <xf numFmtId="1" fontId="0" fillId="5" borderId="29" xfId="0" applyNumberFormat="1" applyFill="1" applyBorder="1" applyProtection="1"/>
    <xf numFmtId="176" fontId="0" fillId="3" borderId="0" xfId="0" applyNumberFormat="1" applyFill="1" applyProtection="1"/>
    <xf numFmtId="165" fontId="5" fillId="3" borderId="0" xfId="0" applyNumberFormat="1" applyFont="1" applyFill="1" applyBorder="1" applyProtection="1"/>
    <xf numFmtId="165" fontId="4" fillId="3" borderId="0" xfId="0" applyNumberFormat="1" applyFont="1" applyFill="1" applyBorder="1" applyProtection="1"/>
    <xf numFmtId="1" fontId="0" fillId="5" borderId="21" xfId="0" applyNumberFormat="1" applyFill="1" applyBorder="1" applyProtection="1"/>
    <xf numFmtId="1" fontId="0" fillId="5" borderId="22" xfId="0" applyNumberFormat="1" applyFill="1" applyBorder="1" applyProtection="1"/>
    <xf numFmtId="1" fontId="0" fillId="5" borderId="23" xfId="0" applyNumberFormat="1" applyFill="1" applyBorder="1" applyProtection="1"/>
    <xf numFmtId="2" fontId="0" fillId="3" borderId="0" xfId="0" applyNumberFormat="1" applyFill="1" applyProtection="1"/>
    <xf numFmtId="4" fontId="0" fillId="5" borderId="6" xfId="0" applyNumberFormat="1" applyFill="1" applyBorder="1" applyProtection="1"/>
    <xf numFmtId="4" fontId="0" fillId="5" borderId="9" xfId="0" applyNumberFormat="1" applyFill="1" applyBorder="1" applyProtection="1"/>
    <xf numFmtId="4" fontId="0" fillId="5" borderId="7" xfId="0" applyNumberFormat="1" applyFill="1" applyBorder="1" applyProtection="1"/>
    <xf numFmtId="3" fontId="5" fillId="3" borderId="0" xfId="0" applyNumberFormat="1" applyFont="1" applyFill="1" applyBorder="1" applyProtection="1"/>
    <xf numFmtId="3" fontId="7" fillId="6" borderId="0" xfId="0" applyNumberFormat="1" applyFont="1" applyFill="1" applyProtection="1"/>
    <xf numFmtId="3" fontId="8" fillId="6" borderId="0" xfId="0" applyNumberFormat="1" applyFont="1" applyFill="1" applyProtection="1"/>
    <xf numFmtId="3" fontId="3" fillId="3" borderId="0" xfId="0" applyNumberFormat="1" applyFont="1" applyFill="1" applyProtection="1"/>
    <xf numFmtId="3" fontId="0" fillId="5" borderId="46" xfId="0" applyNumberFormat="1" applyFill="1" applyBorder="1" applyProtection="1"/>
    <xf numFmtId="3" fontId="0" fillId="5" borderId="47" xfId="0" applyNumberFormat="1" applyFill="1" applyBorder="1" applyProtection="1"/>
    <xf numFmtId="3" fontId="0" fillId="5" borderId="48" xfId="0" applyNumberFormat="1" applyFill="1" applyBorder="1" applyProtection="1"/>
    <xf numFmtId="177" fontId="0" fillId="3" borderId="0" xfId="0" applyNumberFormat="1" applyFill="1" applyProtection="1"/>
    <xf numFmtId="178" fontId="0" fillId="3" borderId="0" xfId="0" applyNumberFormat="1" applyFill="1" applyProtection="1"/>
    <xf numFmtId="173" fontId="3" fillId="3" borderId="0" xfId="0" applyNumberFormat="1" applyFont="1" applyFill="1" applyProtection="1"/>
    <xf numFmtId="178" fontId="3" fillId="3" borderId="0" xfId="0" applyNumberFormat="1" applyFont="1" applyFill="1" applyProtection="1"/>
    <xf numFmtId="165" fontId="4" fillId="3" borderId="0" xfId="0" applyNumberFormat="1" applyFont="1" applyFill="1" applyProtection="1"/>
    <xf numFmtId="3" fontId="0" fillId="5" borderId="9" xfId="0" applyNumberFormat="1" applyFill="1" applyBorder="1" applyProtection="1"/>
    <xf numFmtId="3" fontId="0" fillId="5" borderId="7" xfId="0" applyNumberFormat="1" applyFill="1" applyBorder="1" applyProtection="1"/>
    <xf numFmtId="3" fontId="0" fillId="3" borderId="0" xfId="0" applyNumberFormat="1" applyFill="1" applyAlignment="1" applyProtection="1">
      <alignment horizontal="left" indent="1"/>
    </xf>
    <xf numFmtId="179" fontId="3" fillId="3" borderId="0" xfId="0" applyNumberFormat="1" applyFont="1" applyFill="1" applyProtection="1"/>
    <xf numFmtId="1" fontId="0" fillId="3" borderId="0" xfId="2" applyNumberFormat="1" applyFont="1" applyFill="1" applyProtection="1"/>
    <xf numFmtId="1" fontId="1" fillId="3" borderId="0" xfId="0" applyNumberFormat="1" applyFont="1" applyFill="1" applyProtection="1"/>
    <xf numFmtId="1" fontId="1" fillId="3" borderId="0" xfId="2" applyNumberFormat="1" applyFont="1" applyFill="1" applyProtection="1"/>
    <xf numFmtId="1" fontId="0" fillId="5" borderId="21" xfId="2" applyNumberFormat="1" applyFont="1" applyFill="1" applyBorder="1" applyProtection="1"/>
    <xf numFmtId="1" fontId="0" fillId="5" borderId="22" xfId="2" applyNumberFormat="1" applyFont="1" applyFill="1" applyBorder="1" applyProtection="1"/>
    <xf numFmtId="1" fontId="0" fillId="5" borderId="23" xfId="2" applyNumberFormat="1" applyFont="1" applyFill="1" applyBorder="1" applyProtection="1"/>
    <xf numFmtId="1" fontId="0" fillId="5" borderId="27" xfId="2" applyNumberFormat="1" applyFont="1" applyFill="1" applyBorder="1" applyProtection="1"/>
    <xf numFmtId="1" fontId="0" fillId="5" borderId="28" xfId="2" applyNumberFormat="1" applyFont="1" applyFill="1" applyBorder="1" applyProtection="1"/>
    <xf numFmtId="1" fontId="0" fillId="5" borderId="29" xfId="2" applyNumberFormat="1" applyFont="1" applyFill="1" applyBorder="1" applyProtection="1"/>
    <xf numFmtId="4" fontId="1" fillId="3" borderId="0" xfId="0" applyNumberFormat="1" applyFont="1" applyFill="1" applyProtection="1"/>
    <xf numFmtId="3" fontId="0" fillId="5" borderId="37" xfId="0" applyNumberFormat="1" applyFill="1" applyBorder="1" applyAlignment="1" applyProtection="1">
      <alignment horizontal="center" vertical="top"/>
    </xf>
    <xf numFmtId="3" fontId="0" fillId="5" borderId="39" xfId="0" applyNumberFormat="1" applyFill="1" applyBorder="1" applyAlignment="1" applyProtection="1">
      <alignment horizontal="center" vertical="top"/>
    </xf>
    <xf numFmtId="10" fontId="0" fillId="5" borderId="22" xfId="2" applyNumberFormat="1" applyFont="1" applyFill="1" applyBorder="1" applyProtection="1"/>
    <xf numFmtId="9" fontId="0" fillId="5" borderId="28" xfId="2" applyNumberFormat="1" applyFont="1" applyFill="1" applyBorder="1" applyProtection="1"/>
    <xf numFmtId="1" fontId="5" fillId="3" borderId="0" xfId="0" applyNumberFormat="1" applyFont="1" applyFill="1" applyProtection="1"/>
    <xf numFmtId="165" fontId="1" fillId="3" borderId="0" xfId="0" applyNumberFormat="1" applyFont="1" applyFill="1" applyAlignment="1" applyProtection="1">
      <alignment horizontal="left" indent="1"/>
    </xf>
    <xf numFmtId="0" fontId="21" fillId="3" borderId="0" xfId="0" applyFont="1" applyFill="1" applyBorder="1" applyAlignment="1" applyProtection="1">
      <alignment horizontal="center" vertical="center"/>
    </xf>
    <xf numFmtId="0" fontId="5" fillId="3" borderId="0" xfId="0" applyFont="1" applyFill="1" applyBorder="1" applyProtection="1"/>
    <xf numFmtId="168" fontId="8" fillId="3" borderId="0" xfId="0" applyNumberFormat="1" applyFont="1" applyFill="1" applyProtection="1"/>
    <xf numFmtId="0" fontId="21" fillId="3" borderId="0" xfId="0" applyFont="1" applyFill="1" applyBorder="1" applyAlignment="1" applyProtection="1">
      <alignment horizontal="left" vertical="center"/>
    </xf>
    <xf numFmtId="9" fontId="21" fillId="3" borderId="0" xfId="0" applyNumberFormat="1" applyFont="1" applyFill="1" applyBorder="1" applyAlignment="1" applyProtection="1">
      <alignment horizontal="left" vertical="center"/>
    </xf>
    <xf numFmtId="0" fontId="22" fillId="3" borderId="0" xfId="0" applyFont="1" applyFill="1" applyBorder="1" applyAlignment="1" applyProtection="1">
      <alignment horizontal="center" vertical="center"/>
    </xf>
    <xf numFmtId="2" fontId="8" fillId="3" borderId="0" xfId="0" applyNumberFormat="1" applyFont="1" applyFill="1" applyProtection="1"/>
    <xf numFmtId="165" fontId="8" fillId="3" borderId="0" xfId="0" applyNumberFormat="1" applyFont="1" applyFill="1" applyBorder="1" applyProtection="1"/>
    <xf numFmtId="165" fontId="8" fillId="3" borderId="0" xfId="0" applyNumberFormat="1" applyFont="1" applyFill="1" applyProtection="1"/>
    <xf numFmtId="165" fontId="23" fillId="3" borderId="0" xfId="0" applyNumberFormat="1" applyFont="1" applyFill="1" applyBorder="1" applyAlignment="1" applyProtection="1">
      <alignment horizontal="center" vertical="center"/>
    </xf>
    <xf numFmtId="0" fontId="3" fillId="3" borderId="0" xfId="0" applyFont="1" applyFill="1" applyBorder="1" applyAlignment="1" applyProtection="1">
      <alignment wrapText="1"/>
    </xf>
    <xf numFmtId="1" fontId="21" fillId="3" borderId="0" xfId="0" applyNumberFormat="1" applyFont="1" applyFill="1" applyBorder="1" applyAlignment="1" applyProtection="1">
      <alignment horizontal="center" vertical="center" wrapText="1"/>
    </xf>
    <xf numFmtId="0" fontId="21" fillId="3" borderId="0" xfId="0" applyFont="1" applyFill="1" applyBorder="1" applyAlignment="1" applyProtection="1">
      <alignment horizontal="center" vertical="center" wrapText="1"/>
    </xf>
    <xf numFmtId="180" fontId="0" fillId="3" borderId="0" xfId="0" applyNumberFormat="1" applyFill="1" applyProtection="1"/>
    <xf numFmtId="3" fontId="0" fillId="2" borderId="11" xfId="0" applyNumberFormat="1" applyFill="1" applyBorder="1" applyProtection="1"/>
    <xf numFmtId="3" fontId="0" fillId="2" borderId="0" xfId="0" applyNumberFormat="1" applyFill="1" applyProtection="1"/>
    <xf numFmtId="10" fontId="3" fillId="2" borderId="1" xfId="0" applyNumberFormat="1" applyFont="1" applyFill="1" applyBorder="1" applyProtection="1"/>
    <xf numFmtId="2" fontId="0" fillId="3" borderId="0" xfId="0" applyNumberFormat="1" applyFill="1" applyBorder="1" applyProtection="1"/>
    <xf numFmtId="0" fontId="5" fillId="3" borderId="0" xfId="0" applyFont="1" applyFill="1" applyBorder="1" applyAlignment="1" applyProtection="1">
      <alignment wrapText="1"/>
    </xf>
    <xf numFmtId="0" fontId="5" fillId="3" borderId="49" xfId="0" applyFont="1" applyFill="1" applyBorder="1" applyAlignment="1" applyProtection="1">
      <alignment wrapText="1"/>
    </xf>
    <xf numFmtId="10" fontId="5" fillId="3" borderId="50" xfId="0" applyNumberFormat="1" applyFont="1" applyFill="1" applyBorder="1" applyAlignment="1" applyProtection="1">
      <alignment wrapText="1"/>
    </xf>
    <xf numFmtId="0" fontId="5" fillId="3" borderId="18" xfId="0" applyFont="1" applyFill="1" applyBorder="1" applyAlignment="1" applyProtection="1">
      <alignment wrapText="1"/>
    </xf>
    <xf numFmtId="0" fontId="0" fillId="3" borderId="51" xfId="0" applyFill="1" applyBorder="1" applyProtection="1"/>
    <xf numFmtId="19" fontId="0" fillId="3" borderId="25" xfId="0" applyNumberFormat="1" applyFill="1" applyBorder="1" applyProtection="1"/>
    <xf numFmtId="181" fontId="0" fillId="3" borderId="25" xfId="1" applyNumberFormat="1" applyFont="1" applyFill="1" applyBorder="1" applyProtection="1"/>
    <xf numFmtId="1" fontId="0" fillId="3" borderId="25" xfId="1" applyNumberFormat="1" applyFont="1" applyFill="1" applyBorder="1" applyProtection="1"/>
    <xf numFmtId="181" fontId="0" fillId="3" borderId="0" xfId="0" applyNumberFormat="1" applyFill="1" applyProtection="1"/>
    <xf numFmtId="0" fontId="0" fillId="3" borderId="52" xfId="0" applyFill="1" applyBorder="1" applyProtection="1"/>
    <xf numFmtId="19" fontId="0" fillId="3" borderId="31" xfId="0" applyNumberFormat="1" applyFill="1" applyBorder="1" applyProtection="1"/>
    <xf numFmtId="181" fontId="0" fillId="3" borderId="31" xfId="1" applyNumberFormat="1" applyFont="1" applyFill="1" applyBorder="1" applyProtection="1"/>
    <xf numFmtId="1" fontId="0" fillId="3" borderId="31" xfId="1" applyNumberFormat="1" applyFont="1" applyFill="1" applyBorder="1" applyProtection="1"/>
    <xf numFmtId="3" fontId="0" fillId="3" borderId="52" xfId="0" applyNumberFormat="1" applyFill="1" applyBorder="1" applyProtection="1"/>
    <xf numFmtId="169" fontId="0" fillId="3" borderId="31" xfId="0" applyNumberFormat="1" applyFill="1" applyBorder="1" applyProtection="1"/>
    <xf numFmtId="10" fontId="0" fillId="3" borderId="31" xfId="0" applyNumberFormat="1" applyFill="1" applyBorder="1" applyProtection="1"/>
    <xf numFmtId="0" fontId="14" fillId="6" borderId="0" xfId="0" applyFont="1" applyFill="1" applyBorder="1" applyAlignment="1" applyProtection="1">
      <alignment horizontal="center" vertical="center" wrapText="1"/>
    </xf>
    <xf numFmtId="0" fontId="14" fillId="6" borderId="0" xfId="0" applyFont="1" applyFill="1" applyBorder="1" applyAlignment="1" applyProtection="1">
      <alignment horizontal="center" vertical="center"/>
    </xf>
  </cellXfs>
  <cellStyles count="3">
    <cellStyle name="Comma" xfId="1" builtinId="3"/>
    <cellStyle name="Normal" xfId="0" builtinId="0"/>
    <cellStyle name="Percent" xfId="2" builtinId="5"/>
  </cellStyles>
  <dxfs count="14">
    <dxf>
      <font>
        <condense val="0"/>
        <extend val="0"/>
        <color indexed="43"/>
      </font>
    </dxf>
    <dxf>
      <border>
        <right style="thin">
          <color indexed="64"/>
        </right>
      </border>
    </dxf>
    <dxf>
      <font>
        <condense val="0"/>
        <extend val="0"/>
        <color indexed="9"/>
      </font>
      <fill>
        <patternFill>
          <bgColor indexed="9"/>
        </patternFill>
      </fill>
      <border>
        <left/>
        <right/>
        <top/>
        <bottom/>
      </border>
    </dxf>
    <dxf>
      <border>
        <right style="thin">
          <color indexed="64"/>
        </right>
      </border>
    </dxf>
    <dxf>
      <font>
        <condense val="0"/>
        <extend val="0"/>
        <color indexed="9"/>
      </font>
      <fill>
        <patternFill>
          <bgColor indexed="9"/>
        </patternFill>
      </fill>
      <border>
        <left/>
        <right/>
        <top/>
        <bottom/>
      </border>
    </dxf>
    <dxf>
      <font>
        <condense val="0"/>
        <extend val="0"/>
        <color indexed="43"/>
      </font>
    </dxf>
    <dxf>
      <font>
        <condense val="0"/>
        <extend val="0"/>
        <color indexed="9"/>
      </font>
      <fill>
        <patternFill>
          <bgColor indexed="9"/>
        </patternFill>
      </fill>
      <border>
        <left/>
        <right/>
        <top/>
        <bottom/>
      </border>
    </dxf>
    <dxf>
      <border>
        <right style="thin">
          <color indexed="64"/>
        </right>
      </border>
    </dxf>
    <dxf>
      <font>
        <condense val="0"/>
        <extend val="0"/>
        <color indexed="9"/>
      </font>
      <fill>
        <patternFill>
          <bgColor indexed="9"/>
        </patternFill>
      </fill>
      <border>
        <left/>
        <right/>
        <top/>
        <bottom/>
      </border>
    </dxf>
    <dxf>
      <font>
        <condense val="0"/>
        <extend val="0"/>
        <color indexed="43"/>
      </font>
    </dxf>
    <dxf>
      <font>
        <condense val="0"/>
        <extend val="0"/>
        <color indexed="43"/>
      </font>
    </dxf>
    <dxf>
      <font>
        <condense val="0"/>
        <extend val="0"/>
        <color indexed="9"/>
      </font>
      <fill>
        <patternFill>
          <bgColor indexed="9"/>
        </patternFill>
      </fill>
      <border>
        <left/>
        <right/>
        <top/>
        <bottom/>
      </border>
    </dxf>
    <dxf>
      <border>
        <right style="thin">
          <color indexed="64"/>
        </right>
      </border>
    </dxf>
    <dxf>
      <font>
        <condense val="0"/>
        <extend val="0"/>
        <color indexed="9"/>
      </font>
      <fill>
        <patternFill>
          <bgColor indexed="9"/>
        </patternFill>
      </fill>
      <border>
        <left/>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'Analysis - with risk'!$B$218</c:f>
          <c:strCache>
            <c:ptCount val="1"/>
            <c:pt idx="0">
              <c:v>Change in social welfare (100% coverage target over 10 years)</c:v>
            </c:pt>
          </c:strCache>
        </c:strRef>
      </c:tx>
      <c:layout>
        <c:manualLayout>
          <c:xMode val="edge"/>
          <c:yMode val="edge"/>
          <c:x val="0.22182483191688701"/>
          <c:y val="2.5640762296017298E-2"/>
        </c:manualLayout>
      </c:layout>
      <c:overlay val="0"/>
      <c:spPr>
        <a:noFill/>
        <a:ln w="25400">
          <a:noFill/>
        </a:ln>
      </c:spPr>
      <c:txPr>
        <a:bodyPr/>
        <a:lstStyle/>
        <a:p>
          <a:pPr>
            <a:defRPr sz="800" b="0"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3237936429045"/>
          <c:y val="0.117949308640368"/>
          <c:w val="0.84257676460543096"/>
          <c:h val="0.68718292860040397"/>
        </c:manualLayout>
      </c:layout>
      <c:barChart>
        <c:barDir val="col"/>
        <c:grouping val="clustered"/>
        <c:varyColors val="0"/>
        <c:ser>
          <c:idx val="0"/>
          <c:order val="0"/>
          <c:tx>
            <c:strRef>
              <c:f>'Analysis - with risk'!$C$219</c:f>
              <c:strCache>
                <c:ptCount val="1"/>
                <c:pt idx="0">
                  <c:v>Change in social welfare</c:v>
                </c:pt>
              </c:strCache>
            </c:strRef>
          </c:tx>
          <c:spPr>
            <a:solidFill>
              <a:srgbClr val="9999FF"/>
            </a:solidFill>
            <a:ln w="12700">
              <a:solidFill>
                <a:srgbClr val="000000"/>
              </a:solidFill>
              <a:prstDash val="solid"/>
            </a:ln>
          </c:spPr>
          <c:invertIfNegative val="0"/>
          <c:dPt>
            <c:idx val="0"/>
            <c:invertIfNegative val="0"/>
            <c:bubble3D val="0"/>
            <c:spPr>
              <a:gradFill rotWithShape="0">
                <a:gsLst>
                  <a:gs pos="0">
                    <a:srgbClr val="474776"/>
                  </a:gs>
                  <a:gs pos="50000">
                    <a:srgbClr val="9999FF"/>
                  </a:gs>
                  <a:gs pos="100000">
                    <a:srgbClr val="474776"/>
                  </a:gs>
                </a:gsLst>
                <a:lin ang="18900000" scaled="1"/>
              </a:gradFill>
              <a:ln w="12700">
                <a:solidFill>
                  <a:srgbClr val="000000"/>
                </a:solidFill>
                <a:prstDash val="solid"/>
              </a:ln>
            </c:spPr>
            <c:extLst>
              <c:ext xmlns:c16="http://schemas.microsoft.com/office/drawing/2014/chart" uri="{C3380CC4-5D6E-409C-BE32-E72D297353CC}">
                <c16:uniqueId val="{00000001-7C98-4C15-B4FF-D9AEE5715A69}"/>
              </c:ext>
            </c:extLst>
          </c:dPt>
          <c:dPt>
            <c:idx val="1"/>
            <c:invertIfNegative val="0"/>
            <c:bubble3D val="0"/>
            <c:spPr>
              <a:solidFill>
                <a:srgbClr val="FFCC00"/>
              </a:solidFill>
              <a:ln w="12700">
                <a:solidFill>
                  <a:srgbClr val="000000"/>
                </a:solidFill>
                <a:prstDash val="solid"/>
              </a:ln>
            </c:spPr>
            <c:extLst>
              <c:ext xmlns:c16="http://schemas.microsoft.com/office/drawing/2014/chart" uri="{C3380CC4-5D6E-409C-BE32-E72D297353CC}">
                <c16:uniqueId val="{00000003-7C98-4C15-B4FF-D9AEE5715A69}"/>
              </c:ext>
            </c:extLst>
          </c:dPt>
          <c:dPt>
            <c:idx val="2"/>
            <c:invertIfNegative val="0"/>
            <c:bubble3D val="0"/>
            <c:spPr>
              <a:solidFill>
                <a:srgbClr val="339966"/>
              </a:solidFill>
              <a:ln w="12700">
                <a:solidFill>
                  <a:srgbClr val="000000"/>
                </a:solidFill>
                <a:prstDash val="solid"/>
              </a:ln>
            </c:spPr>
            <c:extLst>
              <c:ext xmlns:c16="http://schemas.microsoft.com/office/drawing/2014/chart" uri="{C3380CC4-5D6E-409C-BE32-E72D297353CC}">
                <c16:uniqueId val="{00000005-7C98-4C15-B4FF-D9AEE5715A69}"/>
              </c:ext>
            </c:extLst>
          </c:dPt>
          <c:cat>
            <c:strRef>
              <c:f>'Analysis - with risk'!$D$218:$F$218</c:f>
              <c:strCache>
                <c:ptCount val="3"/>
                <c:pt idx="0">
                  <c:v>Currently connected (50%)</c:v>
                </c:pt>
                <c:pt idx="1">
                  <c:v>Currently unconnected</c:v>
                </c:pt>
                <c:pt idx="2">
                  <c:v>Total change</c:v>
                </c:pt>
              </c:strCache>
            </c:strRef>
          </c:cat>
          <c:val>
            <c:numRef>
              <c:f>'Analysis - with risk'!$D$219:$F$219</c:f>
              <c:numCache>
                <c:formatCode>#,##0</c:formatCode>
                <c:ptCount val="3"/>
                <c:pt idx="0">
                  <c:v>-1195.732375202477</c:v>
                </c:pt>
                <c:pt idx="1">
                  <c:v>1699.6974765374136</c:v>
                </c:pt>
                <c:pt idx="2">
                  <c:v>503.96510133493666</c:v>
                </c:pt>
              </c:numCache>
            </c:numRef>
          </c:val>
          <c:extLst>
            <c:ext xmlns:c16="http://schemas.microsoft.com/office/drawing/2014/chart" uri="{C3380CC4-5D6E-409C-BE32-E72D297353CC}">
              <c16:uniqueId val="{00000006-7C98-4C15-B4FF-D9AEE5715A69}"/>
            </c:ext>
          </c:extLst>
        </c:ser>
        <c:dLbls>
          <c:showLegendKey val="0"/>
          <c:showVal val="0"/>
          <c:showCatName val="0"/>
          <c:showSerName val="0"/>
          <c:showPercent val="0"/>
          <c:showBubbleSize val="0"/>
        </c:dLbls>
        <c:gapWidth val="150"/>
        <c:axId val="44758528"/>
        <c:axId val="140742016"/>
      </c:barChart>
      <c:catAx>
        <c:axId val="44758528"/>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0742016"/>
        <c:crosses val="autoZero"/>
        <c:auto val="1"/>
        <c:lblAlgn val="ctr"/>
        <c:lblOffset val="100"/>
        <c:tickLblSkip val="1"/>
        <c:tickMarkSkip val="1"/>
        <c:noMultiLvlLbl val="0"/>
      </c:catAx>
      <c:valAx>
        <c:axId val="140742016"/>
        <c:scaling>
          <c:orientation val="minMax"/>
        </c:scaling>
        <c:delete val="0"/>
        <c:axPos val="l"/>
        <c:title>
          <c:tx>
            <c:strRef>
              <c:f>'Analysis - with risk'!$A$219</c:f>
              <c:strCache>
                <c:ptCount val="1"/>
                <c:pt idx="0">
                  <c:v>Millions of pesos</c:v>
                </c:pt>
              </c:strCache>
            </c:strRef>
          </c:tx>
          <c:layout>
            <c:manualLayout>
              <c:xMode val="edge"/>
              <c:yMode val="edge"/>
              <c:x val="2.6833626485624599E-2"/>
              <c:y val="0.24615485564304501"/>
            </c:manualLayout>
          </c:layout>
          <c:overlay val="0"/>
          <c:spPr>
            <a:noFill/>
            <a:ln w="25400">
              <a:noFill/>
            </a:ln>
          </c:spPr>
          <c:txPr>
            <a:bodyPr/>
            <a:lstStyle/>
            <a:p>
              <a:pPr>
                <a:defRPr sz="800" b="0" i="0" u="none" strike="noStrike" baseline="0">
                  <a:solidFill>
                    <a:srgbClr val="000000"/>
                  </a:solidFill>
                  <a:latin typeface="Arial"/>
                  <a:ea typeface="Arial"/>
                  <a:cs typeface="Arial"/>
                </a:defRPr>
              </a:pPr>
              <a:endParaRPr lang="en-US"/>
            </a:p>
          </c:tx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4758528"/>
        <c:crosses val="autoZero"/>
        <c:crossBetween val="between"/>
      </c:valAx>
      <c:spPr>
        <a:noFill/>
        <a:ln w="25400">
          <a:noFill/>
        </a:ln>
      </c:spPr>
    </c:plotArea>
    <c:plotVisOnly val="1"/>
    <c:dispBlanksAs val="gap"/>
    <c:showDLblsOverMax val="0"/>
  </c:chart>
  <c:spPr>
    <a:no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'Analysis - with risk'!$B$215</c:f>
          <c:strCache>
            <c:ptCount val="1"/>
            <c:pt idx="0">
              <c:v>Service coverage</c:v>
            </c:pt>
          </c:strCache>
        </c:strRef>
      </c:tx>
      <c:layout>
        <c:manualLayout>
          <c:xMode val="edge"/>
          <c:yMode val="edge"/>
          <c:x val="0.44202976477834599"/>
          <c:y val="3.0675111263266001E-2"/>
        </c:manualLayout>
      </c:layout>
      <c:overlay val="0"/>
      <c:spPr>
        <a:noFill/>
        <a:ln w="25400">
          <a:noFill/>
        </a:ln>
      </c:spPr>
      <c:txPr>
        <a:bodyPr/>
        <a:lstStyle/>
        <a:p>
          <a:pPr>
            <a:defRPr sz="800" b="0"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10507441879391"/>
          <c:y val="0.14110471717047701"/>
          <c:w val="0.86775515836439598"/>
          <c:h val="0.576688844088035"/>
        </c:manualLayout>
      </c:layout>
      <c:lineChart>
        <c:grouping val="standard"/>
        <c:varyColors val="0"/>
        <c:ser>
          <c:idx val="3"/>
          <c:order val="0"/>
          <c:tx>
            <c:strRef>
              <c:f>'Analysis - with risk'!$C$216</c:f>
              <c:strCache>
                <c:ptCount val="1"/>
                <c:pt idx="0">
                  <c:v>Percentage coverage (%)</c:v>
                </c:pt>
              </c:strCache>
            </c:strRef>
          </c:tx>
          <c:spPr>
            <a:ln w="25400">
              <a:solidFill>
                <a:srgbClr val="000090"/>
              </a:solidFill>
              <a:prstDash val="solid"/>
            </a:ln>
          </c:spPr>
          <c:marker>
            <c:symbol val="none"/>
          </c:marker>
          <c:cat>
            <c:numRef>
              <c:f>'Analysis - with risk'!$D$215:$X$215</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'Analysis - with risk'!$D$216:$X$216</c:f>
              <c:numCache>
                <c:formatCode>#,##0</c:formatCode>
                <c:ptCount val="21"/>
                <c:pt idx="0">
                  <c:v>50</c:v>
                </c:pt>
                <c:pt idx="1">
                  <c:v>50.549347131529657</c:v>
                </c:pt>
                <c:pt idx="2">
                  <c:v>51.46561153756781</c:v>
                </c:pt>
                <c:pt idx="3">
                  <c:v>53.792909001062171</c:v>
                </c:pt>
                <c:pt idx="4">
                  <c:v>59.121276190317815</c:v>
                </c:pt>
                <c:pt idx="5">
                  <c:v>68.877033439907279</c:v>
                </c:pt>
                <c:pt idx="6">
                  <c:v>81.122966560092721</c:v>
                </c:pt>
                <c:pt idx="7">
                  <c:v>90.878723809682185</c:v>
                </c:pt>
                <c:pt idx="8">
                  <c:v>96.207090998937829</c:v>
                </c:pt>
                <c:pt idx="9">
                  <c:v>98.53438846243219</c:v>
                </c:pt>
                <c:pt idx="10">
                  <c:v>100</c:v>
                </c:pt>
                <c:pt idx="11">
                  <c:v>100</c:v>
                </c:pt>
                <c:pt idx="12">
                  <c:v>100</c:v>
                </c:pt>
                <c:pt idx="13">
                  <c:v>100</c:v>
                </c:pt>
                <c:pt idx="14">
                  <c:v>100</c:v>
                </c:pt>
                <c:pt idx="15">
                  <c:v>100</c:v>
                </c:pt>
                <c:pt idx="16">
                  <c:v>100</c:v>
                </c:pt>
                <c:pt idx="17">
                  <c:v>100</c:v>
                </c:pt>
                <c:pt idx="18">
                  <c:v>100</c:v>
                </c:pt>
                <c:pt idx="19">
                  <c:v>100</c:v>
                </c:pt>
                <c:pt idx="20">
                  <c:v>100</c:v>
                </c:pt>
              </c:numCache>
            </c:numRef>
          </c:val>
          <c:smooth val="0"/>
          <c:extLst>
            <c:ext xmlns:c16="http://schemas.microsoft.com/office/drawing/2014/chart" uri="{C3380CC4-5D6E-409C-BE32-E72D297353CC}">
              <c16:uniqueId val="{00000000-7647-4105-A17F-FB70BE25100A}"/>
            </c:ext>
          </c:extLst>
        </c:ser>
        <c:dLbls>
          <c:showLegendKey val="0"/>
          <c:showVal val="0"/>
          <c:showCatName val="0"/>
          <c:showSerName val="0"/>
          <c:showPercent val="0"/>
          <c:showBubbleSize val="0"/>
        </c:dLbls>
        <c:smooth val="0"/>
        <c:axId val="44760064"/>
        <c:axId val="140740288"/>
      </c:lineChart>
      <c:catAx>
        <c:axId val="44760064"/>
        <c:scaling>
          <c:orientation val="minMax"/>
        </c:scaling>
        <c:delete val="0"/>
        <c:axPos val="b"/>
        <c:title>
          <c:tx>
            <c:rich>
              <a:bodyPr/>
              <a:lstStyle/>
              <a:p>
                <a:pPr>
                  <a:defRPr sz="800" b="0" i="0" u="none" strike="noStrike" baseline="0">
                    <a:solidFill>
                      <a:srgbClr val="000000"/>
                    </a:solidFill>
                    <a:latin typeface="Arial"/>
                    <a:ea typeface="Arial"/>
                    <a:cs typeface="Arial"/>
                  </a:defRPr>
                </a:pPr>
                <a:r>
                  <a:rPr lang="en-US"/>
                  <a:t>Year</a:t>
                </a:r>
              </a:p>
            </c:rich>
          </c:tx>
          <c:layout>
            <c:manualLayout>
              <c:xMode val="edge"/>
              <c:yMode val="edge"/>
              <c:x val="0.51811689500757396"/>
              <c:y val="0.8466285518657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0740288"/>
        <c:crosses val="autoZero"/>
        <c:auto val="1"/>
        <c:lblAlgn val="ctr"/>
        <c:lblOffset val="100"/>
        <c:tickLblSkip val="1"/>
        <c:tickMarkSkip val="1"/>
        <c:noMultiLvlLbl val="0"/>
      </c:catAx>
      <c:valAx>
        <c:axId val="140740288"/>
        <c:scaling>
          <c:orientation val="minMax"/>
          <c:max val="105"/>
          <c:min val="0"/>
        </c:scaling>
        <c:delete val="0"/>
        <c:axPos val="l"/>
        <c:title>
          <c:tx>
            <c:rich>
              <a:bodyPr/>
              <a:lstStyle/>
              <a:p>
                <a:pPr>
                  <a:defRPr sz="800" b="0" i="0" u="none" strike="noStrike" baseline="0">
                    <a:solidFill>
                      <a:srgbClr val="000000"/>
                    </a:solidFill>
                    <a:latin typeface="Arial"/>
                    <a:ea typeface="Arial"/>
                    <a:cs typeface="Arial"/>
                  </a:defRPr>
                </a:pPr>
                <a:r>
                  <a:rPr lang="en-US"/>
                  <a:t>Percentage (%)</a:t>
                </a:r>
              </a:p>
            </c:rich>
          </c:tx>
          <c:layout>
            <c:manualLayout>
              <c:xMode val="edge"/>
              <c:yMode val="edge"/>
              <c:x val="9.0579480947545407E-3"/>
              <c:y val="0.1717795275590550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4760064"/>
        <c:crosses val="autoZero"/>
        <c:crossBetween val="between"/>
      </c:valAx>
      <c:spPr>
        <a:noFill/>
        <a:ln w="25400">
          <a:noFill/>
        </a:ln>
      </c:spPr>
    </c:plotArea>
    <c:plotVisOnly val="1"/>
    <c:dispBlanksAs val="gap"/>
    <c:showDLblsOverMax val="0"/>
  </c:chart>
  <c:spPr>
    <a:no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'Analysis - with risk'!$B$222</c:f>
          <c:strCache>
            <c:ptCount val="1"/>
            <c:pt idx="0">
              <c:v>Present value operator cash flow based on 5 year reset period</c:v>
            </c:pt>
          </c:strCache>
        </c:strRef>
      </c:tx>
      <c:layout>
        <c:manualLayout>
          <c:xMode val="edge"/>
          <c:yMode val="edge"/>
          <c:x val="0.223926528068883"/>
          <c:y val="1.19904654775296E-2"/>
        </c:manualLayout>
      </c:layout>
      <c:overlay val="0"/>
      <c:spPr>
        <a:noFill/>
        <a:ln w="25400">
          <a:noFill/>
        </a:ln>
      </c:spPr>
      <c:txPr>
        <a:bodyPr/>
        <a:lstStyle/>
        <a:p>
          <a:pPr>
            <a:defRPr sz="1000" b="0"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2576696535222601"/>
          <c:y val="7.4340701674679793E-2"/>
          <c:w val="0.86809880962633701"/>
          <c:h val="0.62350265920699199"/>
        </c:manualLayout>
      </c:layout>
      <c:barChart>
        <c:barDir val="col"/>
        <c:grouping val="clustered"/>
        <c:varyColors val="0"/>
        <c:ser>
          <c:idx val="1"/>
          <c:order val="0"/>
          <c:tx>
            <c:strRef>
              <c:f>'Analysis - with risk'!$C$224</c:f>
              <c:strCache>
                <c:ptCount val="1"/>
                <c:pt idx="0">
                  <c:v>5 year reset period (Forecast = Risk case)</c:v>
                </c:pt>
              </c:strCache>
            </c:strRef>
          </c:tx>
          <c:spPr>
            <a:solidFill>
              <a:srgbClr val="0000D4"/>
            </a:solidFill>
            <a:ln w="3175">
              <a:solidFill>
                <a:srgbClr val="000000"/>
              </a:solidFill>
              <a:prstDash val="solid"/>
            </a:ln>
          </c:spPr>
          <c:invertIfNegative val="0"/>
          <c:cat>
            <c:strRef>
              <c:f>'Analysis - with risk'!$D$222:$Y$222</c:f>
              <c:strCache>
                <c:ptCount val="22"/>
                <c:pt idx="0">
                  <c:v>less than -120</c:v>
                </c:pt>
                <c:pt idx="1">
                  <c:v>-120 to -109.5</c:v>
                </c:pt>
                <c:pt idx="2">
                  <c:v>-109.5 to -99</c:v>
                </c:pt>
                <c:pt idx="3">
                  <c:v>-99 to -88.5</c:v>
                </c:pt>
                <c:pt idx="4">
                  <c:v>-88.5 to -78</c:v>
                </c:pt>
                <c:pt idx="5">
                  <c:v>-78 to -67.5</c:v>
                </c:pt>
                <c:pt idx="6">
                  <c:v>-67.5 to -57</c:v>
                </c:pt>
                <c:pt idx="7">
                  <c:v>-57 to -46.5</c:v>
                </c:pt>
                <c:pt idx="8">
                  <c:v>-46.5 to -36</c:v>
                </c:pt>
                <c:pt idx="9">
                  <c:v>-36 to -25.5</c:v>
                </c:pt>
                <c:pt idx="10">
                  <c:v>-25.5 to -15</c:v>
                </c:pt>
                <c:pt idx="11">
                  <c:v>-15 to -4.5</c:v>
                </c:pt>
                <c:pt idx="12">
                  <c:v>-4.5 to 6</c:v>
                </c:pt>
                <c:pt idx="13">
                  <c:v>6 to 16.5</c:v>
                </c:pt>
                <c:pt idx="14">
                  <c:v>16.5 to 27</c:v>
                </c:pt>
                <c:pt idx="15">
                  <c:v>27 to 37.5</c:v>
                </c:pt>
                <c:pt idx="16">
                  <c:v>37.5 to 48</c:v>
                </c:pt>
                <c:pt idx="17">
                  <c:v>48 to 58.5</c:v>
                </c:pt>
                <c:pt idx="18">
                  <c:v>58.5 to 69</c:v>
                </c:pt>
                <c:pt idx="19">
                  <c:v>69 to 79.5</c:v>
                </c:pt>
                <c:pt idx="20">
                  <c:v>79.5 to 90</c:v>
                </c:pt>
                <c:pt idx="21">
                  <c:v>more than 90</c:v>
                </c:pt>
              </c:strCache>
            </c:strRef>
          </c:cat>
          <c:val>
            <c:numRef>
              <c:f>'Analysis - with risk'!$D$224:$Y$224</c:f>
              <c:numCache>
                <c:formatCode>#,##0</c:formatCode>
                <c:ptCount val="22"/>
                <c:pt idx="0">
                  <c:v>0</c:v>
                </c:pt>
                <c:pt idx="1">
                  <c:v>0.1</c:v>
                </c:pt>
                <c:pt idx="2">
                  <c:v>0</c:v>
                </c:pt>
                <c:pt idx="3">
                  <c:v>0.1</c:v>
                </c:pt>
                <c:pt idx="4">
                  <c:v>0</c:v>
                </c:pt>
                <c:pt idx="5">
                  <c:v>0.70000000000000007</c:v>
                </c:pt>
                <c:pt idx="6">
                  <c:v>0.5</c:v>
                </c:pt>
                <c:pt idx="7">
                  <c:v>2.5</c:v>
                </c:pt>
                <c:pt idx="8">
                  <c:v>3.6999999999999997</c:v>
                </c:pt>
                <c:pt idx="9">
                  <c:v>6.2</c:v>
                </c:pt>
                <c:pt idx="10">
                  <c:v>8.6</c:v>
                </c:pt>
                <c:pt idx="11">
                  <c:v>10.299999999999999</c:v>
                </c:pt>
                <c:pt idx="12">
                  <c:v>14.000000000000002</c:v>
                </c:pt>
                <c:pt idx="13">
                  <c:v>14.000000000000002</c:v>
                </c:pt>
                <c:pt idx="14">
                  <c:v>13.8</c:v>
                </c:pt>
                <c:pt idx="15">
                  <c:v>11.3</c:v>
                </c:pt>
                <c:pt idx="16">
                  <c:v>8.2000000000000011</c:v>
                </c:pt>
                <c:pt idx="17">
                  <c:v>3.3000000000000003</c:v>
                </c:pt>
                <c:pt idx="18">
                  <c:v>1.7999999999999998</c:v>
                </c:pt>
                <c:pt idx="19">
                  <c:v>0.6</c:v>
                </c:pt>
                <c:pt idx="20">
                  <c:v>0.3</c:v>
                </c:pt>
                <c:pt idx="21">
                  <c:v>0</c:v>
                </c:pt>
              </c:numCache>
            </c:numRef>
          </c:val>
          <c:extLst>
            <c:ext xmlns:c16="http://schemas.microsoft.com/office/drawing/2014/chart" uri="{C3380CC4-5D6E-409C-BE32-E72D297353CC}">
              <c16:uniqueId val="{00000000-283E-4836-997B-CA9ED4D4234D}"/>
            </c:ext>
          </c:extLst>
        </c:ser>
        <c:ser>
          <c:idx val="0"/>
          <c:order val="1"/>
          <c:tx>
            <c:strRef>
              <c:f>'Analysis - with risk'!$C$223</c:f>
              <c:strCache>
                <c:ptCount val="1"/>
                <c:pt idx="0">
                  <c:v>5 year reset period (Forecast = No risk case)</c:v>
                </c:pt>
              </c:strCache>
            </c:strRef>
          </c:tx>
          <c:spPr>
            <a:pattFill prst="wdUpDiag">
              <a:fgClr>
                <a:srgbClr xmlns:mc="http://schemas.openxmlformats.org/markup-compatibility/2006" xmlns:a14="http://schemas.microsoft.com/office/drawing/2010/main" val="FFFFFF" mc:Ignorable="a14" a14:legacySpreadsheetColorIndex="1"/>
              </a:fgClr>
              <a:bgClr>
                <a:srgbClr xmlns:mc="http://schemas.openxmlformats.org/markup-compatibility/2006" xmlns:a14="http://schemas.microsoft.com/office/drawing/2010/main" val="FFFFFF" mc:Ignorable="a14" a14:legacySpreadsheetColorIndex="1"/>
              </a:bgClr>
            </a:pattFill>
            <a:ln w="12700">
              <a:solidFill>
                <a:srgbClr val="000000"/>
              </a:solidFill>
              <a:prstDash val="solid"/>
            </a:ln>
          </c:spPr>
          <c:invertIfNegative val="0"/>
          <c:cat>
            <c:strRef>
              <c:f>'Analysis - with risk'!$D$222:$Y$222</c:f>
              <c:strCache>
                <c:ptCount val="22"/>
                <c:pt idx="0">
                  <c:v>less than -120</c:v>
                </c:pt>
                <c:pt idx="1">
                  <c:v>-120 to -109.5</c:v>
                </c:pt>
                <c:pt idx="2">
                  <c:v>-109.5 to -99</c:v>
                </c:pt>
                <c:pt idx="3">
                  <c:v>-99 to -88.5</c:v>
                </c:pt>
                <c:pt idx="4">
                  <c:v>-88.5 to -78</c:v>
                </c:pt>
                <c:pt idx="5">
                  <c:v>-78 to -67.5</c:v>
                </c:pt>
                <c:pt idx="6">
                  <c:v>-67.5 to -57</c:v>
                </c:pt>
                <c:pt idx="7">
                  <c:v>-57 to -46.5</c:v>
                </c:pt>
                <c:pt idx="8">
                  <c:v>-46.5 to -36</c:v>
                </c:pt>
                <c:pt idx="9">
                  <c:v>-36 to -25.5</c:v>
                </c:pt>
                <c:pt idx="10">
                  <c:v>-25.5 to -15</c:v>
                </c:pt>
                <c:pt idx="11">
                  <c:v>-15 to -4.5</c:v>
                </c:pt>
                <c:pt idx="12">
                  <c:v>-4.5 to 6</c:v>
                </c:pt>
                <c:pt idx="13">
                  <c:v>6 to 16.5</c:v>
                </c:pt>
                <c:pt idx="14">
                  <c:v>16.5 to 27</c:v>
                </c:pt>
                <c:pt idx="15">
                  <c:v>27 to 37.5</c:v>
                </c:pt>
                <c:pt idx="16">
                  <c:v>37.5 to 48</c:v>
                </c:pt>
                <c:pt idx="17">
                  <c:v>48 to 58.5</c:v>
                </c:pt>
                <c:pt idx="18">
                  <c:v>58.5 to 69</c:v>
                </c:pt>
                <c:pt idx="19">
                  <c:v>69 to 79.5</c:v>
                </c:pt>
                <c:pt idx="20">
                  <c:v>79.5 to 90</c:v>
                </c:pt>
                <c:pt idx="21">
                  <c:v>more than 90</c:v>
                </c:pt>
              </c:strCache>
            </c:strRef>
          </c:cat>
          <c:val>
            <c:numRef>
              <c:f>'Analysis - with risk'!$D$223:$Y$223</c:f>
              <c:numCache>
                <c:formatCode>#,##0</c:formatCode>
                <c:ptCount val="22"/>
                <c:pt idx="0">
                  <c:v>0</c:v>
                </c:pt>
                <c:pt idx="1">
                  <c:v>0</c:v>
                </c:pt>
                <c:pt idx="2">
                  <c:v>0</c:v>
                </c:pt>
                <c:pt idx="3">
                  <c:v>0</c:v>
                </c:pt>
                <c:pt idx="4">
                  <c:v>0</c:v>
                </c:pt>
                <c:pt idx="5">
                  <c:v>0</c:v>
                </c:pt>
                <c:pt idx="6">
                  <c:v>0</c:v>
                </c:pt>
                <c:pt idx="7">
                  <c:v>0</c:v>
                </c:pt>
                <c:pt idx="8">
                  <c:v>0</c:v>
                </c:pt>
                <c:pt idx="9">
                  <c:v>0</c:v>
                </c:pt>
                <c:pt idx="10">
                  <c:v>0</c:v>
                </c:pt>
                <c:pt idx="11">
                  <c:v>0</c:v>
                </c:pt>
                <c:pt idx="12">
                  <c:v>14.000000000000002</c:v>
                </c:pt>
                <c:pt idx="13">
                  <c:v>0</c:v>
                </c:pt>
                <c:pt idx="14">
                  <c:v>0</c:v>
                </c:pt>
                <c:pt idx="15">
                  <c:v>0</c:v>
                </c:pt>
                <c:pt idx="16">
                  <c:v>0</c:v>
                </c:pt>
                <c:pt idx="17">
                  <c:v>0</c:v>
                </c:pt>
                <c:pt idx="18">
                  <c:v>0</c:v>
                </c:pt>
                <c:pt idx="19">
                  <c:v>0</c:v>
                </c:pt>
                <c:pt idx="20">
                  <c:v>0</c:v>
                </c:pt>
                <c:pt idx="21">
                  <c:v>0</c:v>
                </c:pt>
              </c:numCache>
            </c:numRef>
          </c:val>
          <c:extLst>
            <c:ext xmlns:c16="http://schemas.microsoft.com/office/drawing/2014/chart" uri="{C3380CC4-5D6E-409C-BE32-E72D297353CC}">
              <c16:uniqueId val="{00000001-283E-4836-997B-CA9ED4D4234D}"/>
            </c:ext>
          </c:extLst>
        </c:ser>
        <c:dLbls>
          <c:showLegendKey val="0"/>
          <c:showVal val="0"/>
          <c:showCatName val="0"/>
          <c:showSerName val="0"/>
          <c:showPercent val="0"/>
          <c:showBubbleSize val="0"/>
        </c:dLbls>
        <c:gapWidth val="100"/>
        <c:overlap val="100"/>
        <c:axId val="96815104"/>
        <c:axId val="140748480"/>
      </c:barChart>
      <c:catAx>
        <c:axId val="9681510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50" b="0" i="0" u="none" strike="noStrike" baseline="0">
                <a:solidFill>
                  <a:srgbClr val="000000"/>
                </a:solidFill>
                <a:latin typeface="Arial"/>
                <a:ea typeface="Arial"/>
                <a:cs typeface="Arial"/>
              </a:defRPr>
            </a:pPr>
            <a:endParaRPr lang="en-US"/>
          </a:p>
        </c:txPr>
        <c:crossAx val="140748480"/>
        <c:crosses val="autoZero"/>
        <c:auto val="1"/>
        <c:lblAlgn val="ctr"/>
        <c:lblOffset val="100"/>
        <c:tickLblSkip val="1"/>
        <c:tickMarkSkip val="1"/>
        <c:noMultiLvlLbl val="0"/>
      </c:catAx>
      <c:valAx>
        <c:axId val="140748480"/>
        <c:scaling>
          <c:orientation val="minMax"/>
        </c:scaling>
        <c:delete val="0"/>
        <c:axPos val="l"/>
        <c:title>
          <c:tx>
            <c:rich>
              <a:bodyPr/>
              <a:lstStyle/>
              <a:p>
                <a:pPr>
                  <a:defRPr sz="950" b="0" i="0" u="none" strike="noStrike" baseline="0">
                    <a:solidFill>
                      <a:srgbClr val="000000"/>
                    </a:solidFill>
                    <a:latin typeface="Arial"/>
                    <a:ea typeface="Arial"/>
                    <a:cs typeface="Arial"/>
                  </a:defRPr>
                </a:pPr>
                <a:r>
                  <a:rPr lang="en-US"/>
                  <a:t>Frequency (%)</a:t>
                </a:r>
              </a:p>
            </c:rich>
          </c:tx>
          <c:layout>
            <c:manualLayout>
              <c:xMode val="edge"/>
              <c:yMode val="edge"/>
              <c:x val="7.6686682150342699E-3"/>
              <c:y val="0.27578017033585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96815104"/>
        <c:crosses val="autoZero"/>
        <c:crossBetween val="between"/>
      </c:valAx>
      <c:spPr>
        <a:noFill/>
        <a:ln w="25400">
          <a:noFill/>
        </a:ln>
      </c:spPr>
    </c:plotArea>
    <c:legend>
      <c:legendPos val="r"/>
      <c:layout>
        <c:manualLayout>
          <c:xMode val="edge"/>
          <c:yMode val="edge"/>
          <c:x val="3.7769784172661899E-2"/>
          <c:y val="0.88775349509882695"/>
          <c:w val="0.47122287996374507"/>
          <c:h val="0.10204054850286604"/>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'Analysis - with risk'!$B$210</c:f>
          <c:strCache>
            <c:ptCount val="1"/>
            <c:pt idx="0">
              <c:v>Customer tariff based on 5 year reset period</c:v>
            </c:pt>
          </c:strCache>
        </c:strRef>
      </c:tx>
      <c:layout>
        <c:manualLayout>
          <c:xMode val="edge"/>
          <c:yMode val="edge"/>
          <c:x val="0.312839296986611"/>
          <c:y val="2.3041531573259201E-2"/>
        </c:manualLayout>
      </c:layout>
      <c:overlay val="0"/>
      <c:spPr>
        <a:noFill/>
        <a:ln w="25400">
          <a:noFill/>
        </a:ln>
      </c:spPr>
      <c:txPr>
        <a:bodyPr/>
        <a:lstStyle/>
        <a:p>
          <a:pPr>
            <a:defRPr sz="800" b="0"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1392415122428"/>
          <c:y val="9.2166106004522796E-2"/>
          <c:w val="0.86618521327666997"/>
          <c:h val="0.56682155192781503"/>
        </c:manualLayout>
      </c:layout>
      <c:lineChart>
        <c:grouping val="standard"/>
        <c:varyColors val="0"/>
        <c:ser>
          <c:idx val="1"/>
          <c:order val="0"/>
          <c:tx>
            <c:strRef>
              <c:f>'Analysis - with risk'!$C$212</c:f>
              <c:strCache>
                <c:ptCount val="1"/>
                <c:pt idx="0">
                  <c:v>Customer tariff (Forecast = No risk case)</c:v>
                </c:pt>
              </c:strCache>
            </c:strRef>
          </c:tx>
          <c:spPr>
            <a:ln w="25400">
              <a:solidFill>
                <a:srgbClr val="DD0806"/>
              </a:solidFill>
              <a:prstDash val="solid"/>
            </a:ln>
          </c:spPr>
          <c:marker>
            <c:symbol val="diamond"/>
            <c:size val="5"/>
            <c:spPr>
              <a:solidFill>
                <a:srgbClr val="DD0806"/>
              </a:solidFill>
              <a:ln>
                <a:solidFill>
                  <a:srgbClr val="DD0806"/>
                </a:solidFill>
                <a:prstDash val="solid"/>
              </a:ln>
            </c:spPr>
          </c:marker>
          <c:cat>
            <c:numRef>
              <c:f>'Analysis - with risk'!$E$2:$X$2</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f>'Analysis - with risk'!$E$212:$X$212</c:f>
              <c:numCache>
                <c:formatCode>#,##0</c:formatCode>
                <c:ptCount val="20"/>
                <c:pt idx="0">
                  <c:v>46.131118260729544</c:v>
                </c:pt>
                <c:pt idx="1">
                  <c:v>46.131118260729544</c:v>
                </c:pt>
                <c:pt idx="2">
                  <c:v>46.131118260729544</c:v>
                </c:pt>
                <c:pt idx="3">
                  <c:v>46.131118260729544</c:v>
                </c:pt>
                <c:pt idx="4">
                  <c:v>46.131118260729544</c:v>
                </c:pt>
                <c:pt idx="5">
                  <c:v>49.350805258913269</c:v>
                </c:pt>
                <c:pt idx="6">
                  <c:v>49.350805258913269</c:v>
                </c:pt>
                <c:pt idx="7">
                  <c:v>49.350805258913269</c:v>
                </c:pt>
                <c:pt idx="8">
                  <c:v>49.350805258913269</c:v>
                </c:pt>
                <c:pt idx="9">
                  <c:v>49.350805258913269</c:v>
                </c:pt>
                <c:pt idx="10">
                  <c:v>61.281669156207627</c:v>
                </c:pt>
                <c:pt idx="11">
                  <c:v>61.281669156207627</c:v>
                </c:pt>
                <c:pt idx="12">
                  <c:v>61.281669156207627</c:v>
                </c:pt>
                <c:pt idx="13">
                  <c:v>61.281669156207627</c:v>
                </c:pt>
                <c:pt idx="14">
                  <c:v>61.281669156207627</c:v>
                </c:pt>
                <c:pt idx="15">
                  <c:v>80.243221427968166</c:v>
                </c:pt>
                <c:pt idx="16">
                  <c:v>80.243221427968166</c:v>
                </c:pt>
                <c:pt idx="17">
                  <c:v>80.243221427968166</c:v>
                </c:pt>
                <c:pt idx="18">
                  <c:v>80.243221427968166</c:v>
                </c:pt>
                <c:pt idx="19">
                  <c:v>80.243221427968166</c:v>
                </c:pt>
              </c:numCache>
            </c:numRef>
          </c:val>
          <c:smooth val="0"/>
          <c:extLst>
            <c:ext xmlns:c16="http://schemas.microsoft.com/office/drawing/2014/chart" uri="{C3380CC4-5D6E-409C-BE32-E72D297353CC}">
              <c16:uniqueId val="{00000000-7EA9-4C75-BC87-9D210337965B}"/>
            </c:ext>
          </c:extLst>
        </c:ser>
        <c:ser>
          <c:idx val="0"/>
          <c:order val="1"/>
          <c:tx>
            <c:strRef>
              <c:f>'Analysis - with risk'!$C$213</c:f>
              <c:strCache>
                <c:ptCount val="1"/>
                <c:pt idx="0">
                  <c:v>Customer tariff (Forecast = Risk case)</c:v>
                </c:pt>
              </c:strCache>
            </c:strRef>
          </c:tx>
          <c:spPr>
            <a:ln w="25400">
              <a:solidFill>
                <a:srgbClr val="3366FF"/>
              </a:solidFill>
              <a:prstDash val="solid"/>
            </a:ln>
          </c:spPr>
          <c:marker>
            <c:symbol val="none"/>
          </c:marker>
          <c:cat>
            <c:numRef>
              <c:f>'Analysis - with risk'!$D$2:$X$2</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'Analysis - with risk'!$E$213:$X$213</c:f>
              <c:numCache>
                <c:formatCode>#,##0</c:formatCode>
                <c:ptCount val="20"/>
                <c:pt idx="0">
                  <c:v>46.131118260729536</c:v>
                </c:pt>
                <c:pt idx="1">
                  <c:v>46.131118260729536</c:v>
                </c:pt>
                <c:pt idx="2">
                  <c:v>46.131118260729536</c:v>
                </c:pt>
                <c:pt idx="3">
                  <c:v>46.131118260729536</c:v>
                </c:pt>
                <c:pt idx="4">
                  <c:v>46.131118260729536</c:v>
                </c:pt>
                <c:pt idx="5">
                  <c:v>46.899596383314126</c:v>
                </c:pt>
                <c:pt idx="6">
                  <c:v>46.899596383314126</c:v>
                </c:pt>
                <c:pt idx="7">
                  <c:v>46.899596383314126</c:v>
                </c:pt>
                <c:pt idx="8">
                  <c:v>46.899596383314126</c:v>
                </c:pt>
                <c:pt idx="9">
                  <c:v>46.899596383314126</c:v>
                </c:pt>
                <c:pt idx="10">
                  <c:v>58.609933113267239</c:v>
                </c:pt>
                <c:pt idx="11">
                  <c:v>58.609933113267239</c:v>
                </c:pt>
                <c:pt idx="12">
                  <c:v>58.609933113267239</c:v>
                </c:pt>
                <c:pt idx="13">
                  <c:v>58.609933113267239</c:v>
                </c:pt>
                <c:pt idx="14">
                  <c:v>58.609933113267239</c:v>
                </c:pt>
                <c:pt idx="15">
                  <c:v>75.717451654949429</c:v>
                </c:pt>
                <c:pt idx="16">
                  <c:v>75.717451654949429</c:v>
                </c:pt>
                <c:pt idx="17">
                  <c:v>75.717451654949429</c:v>
                </c:pt>
                <c:pt idx="18">
                  <c:v>75.717451654949429</c:v>
                </c:pt>
                <c:pt idx="19">
                  <c:v>75.717451654949429</c:v>
                </c:pt>
              </c:numCache>
            </c:numRef>
          </c:val>
          <c:smooth val="0"/>
          <c:extLst>
            <c:ext xmlns:c16="http://schemas.microsoft.com/office/drawing/2014/chart" uri="{C3380CC4-5D6E-409C-BE32-E72D297353CC}">
              <c16:uniqueId val="{00000001-7EA9-4C75-BC87-9D210337965B}"/>
            </c:ext>
          </c:extLst>
        </c:ser>
        <c:ser>
          <c:idx val="2"/>
          <c:order val="2"/>
          <c:tx>
            <c:strRef>
              <c:f>'Analysis - with risk'!$C$211</c:f>
              <c:strCache>
                <c:ptCount val="1"/>
                <c:pt idx="0">
                  <c:v>Customer tariff (No reset)</c:v>
                </c:pt>
              </c:strCache>
            </c:strRef>
          </c:tx>
          <c:spPr>
            <a:ln w="12700">
              <a:solidFill>
                <a:srgbClr val="000000"/>
              </a:solidFill>
              <a:prstDash val="sysDash"/>
            </a:ln>
          </c:spPr>
          <c:marker>
            <c:symbol val="none"/>
          </c:marker>
          <c:cat>
            <c:numRef>
              <c:f>'Analysis - with risk'!$D$2:$X$2</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'Analysis - with risk'!$E$211:$X$211</c:f>
              <c:numCache>
                <c:formatCode>#,##0</c:formatCode>
                <c:ptCount val="20"/>
                <c:pt idx="0">
                  <c:v>57.812094572503639</c:v>
                </c:pt>
                <c:pt idx="1">
                  <c:v>57.812094572503639</c:v>
                </c:pt>
                <c:pt idx="2">
                  <c:v>57.812094572503639</c:v>
                </c:pt>
                <c:pt idx="3">
                  <c:v>57.812094572503639</c:v>
                </c:pt>
                <c:pt idx="4">
                  <c:v>57.812094572503639</c:v>
                </c:pt>
                <c:pt idx="5">
                  <c:v>57.812094572503639</c:v>
                </c:pt>
                <c:pt idx="6">
                  <c:v>57.812094572503639</c:v>
                </c:pt>
                <c:pt idx="7">
                  <c:v>57.812094572503639</c:v>
                </c:pt>
                <c:pt idx="8">
                  <c:v>57.812094572503639</c:v>
                </c:pt>
                <c:pt idx="9">
                  <c:v>57.812094572503639</c:v>
                </c:pt>
                <c:pt idx="10">
                  <c:v>57.812094572503639</c:v>
                </c:pt>
                <c:pt idx="11">
                  <c:v>57.812094572503639</c:v>
                </c:pt>
                <c:pt idx="12">
                  <c:v>57.812094572503639</c:v>
                </c:pt>
                <c:pt idx="13">
                  <c:v>57.812094572503639</c:v>
                </c:pt>
                <c:pt idx="14">
                  <c:v>57.812094572503639</c:v>
                </c:pt>
                <c:pt idx="15">
                  <c:v>57.812094572503639</c:v>
                </c:pt>
                <c:pt idx="16">
                  <c:v>57.812094572503639</c:v>
                </c:pt>
                <c:pt idx="17">
                  <c:v>57.812094572503639</c:v>
                </c:pt>
                <c:pt idx="18">
                  <c:v>57.812094572503639</c:v>
                </c:pt>
                <c:pt idx="19">
                  <c:v>57.812094572503639</c:v>
                </c:pt>
              </c:numCache>
            </c:numRef>
          </c:val>
          <c:smooth val="0"/>
          <c:extLst>
            <c:ext xmlns:c16="http://schemas.microsoft.com/office/drawing/2014/chart" uri="{C3380CC4-5D6E-409C-BE32-E72D297353CC}">
              <c16:uniqueId val="{00000002-7EA9-4C75-BC87-9D210337965B}"/>
            </c:ext>
          </c:extLst>
        </c:ser>
        <c:dLbls>
          <c:showLegendKey val="0"/>
          <c:showVal val="0"/>
          <c:showCatName val="0"/>
          <c:showSerName val="0"/>
          <c:showPercent val="0"/>
          <c:showBubbleSize val="0"/>
        </c:dLbls>
        <c:marker val="1"/>
        <c:smooth val="0"/>
        <c:axId val="96815616"/>
        <c:axId val="140750208"/>
      </c:lineChart>
      <c:catAx>
        <c:axId val="96815616"/>
        <c:scaling>
          <c:orientation val="minMax"/>
        </c:scaling>
        <c:delete val="0"/>
        <c:axPos val="b"/>
        <c:title>
          <c:tx>
            <c:rich>
              <a:bodyPr/>
              <a:lstStyle/>
              <a:p>
                <a:pPr>
                  <a:defRPr sz="800" b="0" i="0" u="none" strike="noStrike" baseline="0">
                    <a:solidFill>
                      <a:srgbClr val="000000"/>
                    </a:solidFill>
                    <a:latin typeface="Arial"/>
                    <a:ea typeface="Arial"/>
                    <a:cs typeface="Arial"/>
                  </a:defRPr>
                </a:pPr>
                <a:r>
                  <a:rPr lang="en-US"/>
                  <a:t>Year</a:t>
                </a:r>
              </a:p>
            </c:rich>
          </c:tx>
          <c:layout>
            <c:manualLayout>
              <c:xMode val="edge"/>
              <c:yMode val="edge"/>
              <c:x val="0.52079603973553901"/>
              <c:y val="0.74654521126035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0750208"/>
        <c:crosses val="autoZero"/>
        <c:auto val="1"/>
        <c:lblAlgn val="ctr"/>
        <c:lblOffset val="100"/>
        <c:tickLblSkip val="1"/>
        <c:tickMarkSkip val="1"/>
        <c:noMultiLvlLbl val="0"/>
      </c:catAx>
      <c:valAx>
        <c:axId val="140750208"/>
        <c:scaling>
          <c:orientation val="minMax"/>
        </c:scaling>
        <c:delete val="0"/>
        <c:axPos val="l"/>
        <c:title>
          <c:tx>
            <c:strRef>
              <c:f>'Analysis - with risk'!$A$210</c:f>
              <c:strCache>
                <c:ptCount val="1"/>
                <c:pt idx="0">
                  <c:v>pesos per m3</c:v>
                </c:pt>
              </c:strCache>
            </c:strRef>
          </c:tx>
          <c:layout>
            <c:manualLayout>
              <c:xMode val="edge"/>
              <c:yMode val="edge"/>
              <c:x val="9.0416625137047704E-3"/>
              <c:y val="0.211981884617364"/>
            </c:manualLayout>
          </c:layout>
          <c:overlay val="0"/>
          <c:spPr>
            <a:noFill/>
            <a:ln w="25400">
              <a:noFill/>
            </a:ln>
          </c:spPr>
          <c:txPr>
            <a:bodyPr/>
            <a:lstStyle/>
            <a:p>
              <a:pPr>
                <a:defRPr sz="800" b="0" i="0" u="none" strike="noStrike" baseline="0">
                  <a:solidFill>
                    <a:srgbClr val="000000"/>
                  </a:solidFill>
                  <a:latin typeface="Arial"/>
                  <a:ea typeface="Arial"/>
                  <a:cs typeface="Arial"/>
                </a:defRPr>
              </a:pPr>
              <a:endParaRPr lang="en-US"/>
            </a:p>
          </c:tx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6815616"/>
        <c:crosses val="autoZero"/>
        <c:crossBetween val="between"/>
      </c:valAx>
      <c:spPr>
        <a:noFill/>
        <a:ln w="25400">
          <a:noFill/>
        </a:ln>
      </c:spPr>
    </c:plotArea>
    <c:legend>
      <c:legendPos val="r"/>
      <c:layout>
        <c:manualLayout>
          <c:xMode val="edge"/>
          <c:yMode val="edge"/>
          <c:x val="6.5400843881856505E-2"/>
          <c:y val="0.79738665019813704"/>
          <c:w val="0.8143451609688025"/>
          <c:h val="0.17647110287684598"/>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'Analysis - with risk'!$B$196</c:f>
          <c:strCache>
            <c:ptCount val="1"/>
            <c:pt idx="0">
              <c:v>Billable demand</c:v>
            </c:pt>
          </c:strCache>
        </c:strRef>
      </c:tx>
      <c:layout>
        <c:manualLayout>
          <c:xMode val="edge"/>
          <c:yMode val="edge"/>
          <c:x val="0.419729652867884"/>
          <c:y val="1.7006738340399799E-2"/>
        </c:manualLayout>
      </c:layout>
      <c:overlay val="0"/>
      <c:spPr>
        <a:noFill/>
        <a:ln w="25400">
          <a:noFill/>
        </a:ln>
      </c:spPr>
      <c:txPr>
        <a:bodyPr/>
        <a:lstStyle/>
        <a:p>
          <a:pPr>
            <a:defRPr sz="975" b="0"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4119935966150801"/>
          <c:y val="0.105442527112986"/>
          <c:w val="0.83365649334397396"/>
          <c:h val="0.68367574031323197"/>
        </c:manualLayout>
      </c:layout>
      <c:lineChart>
        <c:grouping val="standard"/>
        <c:varyColors val="0"/>
        <c:ser>
          <c:idx val="0"/>
          <c:order val="0"/>
          <c:tx>
            <c:strRef>
              <c:f>'Analysis - with risk'!$C$197</c:f>
              <c:strCache>
                <c:ptCount val="1"/>
                <c:pt idx="0">
                  <c:v>Forecast (No risk case)</c:v>
                </c:pt>
              </c:strCache>
            </c:strRef>
          </c:tx>
          <c:spPr>
            <a:ln w="25400">
              <a:solidFill>
                <a:srgbClr val="DD0806"/>
              </a:solidFill>
              <a:prstDash val="solid"/>
            </a:ln>
          </c:spPr>
          <c:marker>
            <c:symbol val="none"/>
          </c:marker>
          <c:cat>
            <c:numRef>
              <c:f>'Analysis - with risk'!$D$196:$X$196</c:f>
              <c:numCache>
                <c:formatCode>General</c:formatCode>
                <c:ptCount val="21"/>
              </c:numCache>
            </c:numRef>
          </c:cat>
          <c:val>
            <c:numRef>
              <c:f>'Analysis - with risk'!$D$197:$X$197</c:f>
              <c:numCache>
                <c:formatCode>#,##0</c:formatCode>
                <c:ptCount val="21"/>
                <c:pt idx="0">
                  <c:v>1.3687499999999999</c:v>
                </c:pt>
                <c:pt idx="1">
                  <c:v>1.4117051345640335</c:v>
                </c:pt>
                <c:pt idx="2">
                  <c:v>1.4663223205731397</c:v>
                </c:pt>
                <c:pt idx="3">
                  <c:v>1.5636137776346484</c:v>
                </c:pt>
                <c:pt idx="4">
                  <c:v>1.7532026231958293</c:v>
                </c:pt>
                <c:pt idx="5">
                  <c:v>2.083778215198731</c:v>
                </c:pt>
                <c:pt idx="6">
                  <c:v>2.5038488888808801</c:v>
                </c:pt>
                <c:pt idx="7">
                  <c:v>2.8616341902584765</c:v>
                </c:pt>
                <c:pt idx="8">
                  <c:v>3.0906042901457167</c:v>
                </c:pt>
                <c:pt idx="9">
                  <c:v>3.2293361036334907</c:v>
                </c:pt>
                <c:pt idx="10">
                  <c:v>3.3435900504634635</c:v>
                </c:pt>
                <c:pt idx="11">
                  <c:v>3.411135049982954</c:v>
                </c:pt>
                <c:pt idx="12">
                  <c:v>3.4800445490048451</c:v>
                </c:pt>
                <c:pt idx="13">
                  <c:v>3.5503461122475488</c:v>
                </c:pt>
                <c:pt idx="14">
                  <c:v>3.6220678612737327</c:v>
                </c:pt>
                <c:pt idx="15">
                  <c:v>3.6952384857393064</c:v>
                </c:pt>
                <c:pt idx="16">
                  <c:v>3.7698872548696807</c:v>
                </c:pt>
                <c:pt idx="17">
                  <c:v>3.8460440291678353</c:v>
                </c:pt>
                <c:pt idx="18">
                  <c:v>3.9237392723589291</c:v>
                </c:pt>
                <c:pt idx="19">
                  <c:v>4.0030040635761868</c:v>
                </c:pt>
                <c:pt idx="20">
                  <c:v>4.0838701097929739</c:v>
                </c:pt>
              </c:numCache>
            </c:numRef>
          </c:val>
          <c:smooth val="0"/>
          <c:extLst>
            <c:ext xmlns:c16="http://schemas.microsoft.com/office/drawing/2014/chart" uri="{C3380CC4-5D6E-409C-BE32-E72D297353CC}">
              <c16:uniqueId val="{00000000-370A-4B66-93F3-5E573445E479}"/>
            </c:ext>
          </c:extLst>
        </c:ser>
        <c:ser>
          <c:idx val="1"/>
          <c:order val="1"/>
          <c:tx>
            <c:strRef>
              <c:f>'Analysis - with risk'!$C$198</c:f>
              <c:strCache>
                <c:ptCount val="1"/>
                <c:pt idx="0">
                  <c:v>Forecast (Risk case)</c:v>
                </c:pt>
              </c:strCache>
            </c:strRef>
          </c:tx>
          <c:spPr>
            <a:ln w="25400">
              <a:solidFill>
                <a:srgbClr val="000000"/>
              </a:solidFill>
              <a:prstDash val="sysDash"/>
            </a:ln>
          </c:spPr>
          <c:marker>
            <c:symbol val="none"/>
          </c:marker>
          <c:cat>
            <c:numRef>
              <c:f>'Analysis - with risk'!$D$196:$X$196</c:f>
              <c:numCache>
                <c:formatCode>General</c:formatCode>
                <c:ptCount val="21"/>
              </c:numCache>
            </c:numRef>
          </c:cat>
          <c:val>
            <c:numRef>
              <c:f>'Analysis - with risk'!$D$198:$X$198</c:f>
              <c:numCache>
                <c:formatCode>#,##0</c:formatCode>
                <c:ptCount val="21"/>
                <c:pt idx="0">
                  <c:v>1.3687499999999999</c:v>
                </c:pt>
                <c:pt idx="1">
                  <c:v>1.4510814868641946</c:v>
                </c:pt>
                <c:pt idx="2">
                  <c:v>1.5810557848501099</c:v>
                </c:pt>
                <c:pt idx="3">
                  <c:v>1.713349217428914</c:v>
                </c:pt>
                <c:pt idx="4">
                  <c:v>1.9065341069298427</c:v>
                </c:pt>
                <c:pt idx="5">
                  <c:v>2.2767758678883103</c:v>
                </c:pt>
                <c:pt idx="6">
                  <c:v>2.720400670622908</c:v>
                </c:pt>
                <c:pt idx="7">
                  <c:v>2.9357681098980439</c:v>
                </c:pt>
                <c:pt idx="8">
                  <c:v>3.1606101408943013</c:v>
                </c:pt>
                <c:pt idx="9">
                  <c:v>3.3361348136524422</c:v>
                </c:pt>
                <c:pt idx="10">
                  <c:v>3.3745857373054662</c:v>
                </c:pt>
                <c:pt idx="11">
                  <c:v>3.3079984468096715</c:v>
                </c:pt>
                <c:pt idx="12">
                  <c:v>3.2888266760405367</c:v>
                </c:pt>
                <c:pt idx="13">
                  <c:v>3.3637723997115554</c:v>
                </c:pt>
                <c:pt idx="14">
                  <c:v>3.5384211365993541</c:v>
                </c:pt>
                <c:pt idx="15">
                  <c:v>3.6357731990948969</c:v>
                </c:pt>
                <c:pt idx="16">
                  <c:v>3.7612423433640232</c:v>
                </c:pt>
                <c:pt idx="17">
                  <c:v>3.6008761845741875</c:v>
                </c:pt>
                <c:pt idx="18">
                  <c:v>3.6097771840947765</c:v>
                </c:pt>
                <c:pt idx="19">
                  <c:v>3.638704068976502</c:v>
                </c:pt>
                <c:pt idx="20">
                  <c:v>3.8915164725151019</c:v>
                </c:pt>
              </c:numCache>
            </c:numRef>
          </c:val>
          <c:smooth val="0"/>
          <c:extLst>
            <c:ext xmlns:c16="http://schemas.microsoft.com/office/drawing/2014/chart" uri="{C3380CC4-5D6E-409C-BE32-E72D297353CC}">
              <c16:uniqueId val="{00000001-370A-4B66-93F3-5E573445E479}"/>
            </c:ext>
          </c:extLst>
        </c:ser>
        <c:dLbls>
          <c:showLegendKey val="0"/>
          <c:showVal val="0"/>
          <c:showCatName val="0"/>
          <c:showSerName val="0"/>
          <c:showPercent val="0"/>
          <c:showBubbleSize val="0"/>
        </c:dLbls>
        <c:smooth val="0"/>
        <c:axId val="101171200"/>
        <c:axId val="140753088"/>
      </c:lineChart>
      <c:catAx>
        <c:axId val="101171200"/>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US"/>
                  <a:t>Year</a:t>
                </a:r>
              </a:p>
            </c:rich>
          </c:tx>
          <c:layout>
            <c:manualLayout>
              <c:xMode val="edge"/>
              <c:yMode val="edge"/>
              <c:x val="0.52417838289401197"/>
              <c:y val="0.8367375832828589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40753088"/>
        <c:crosses val="autoZero"/>
        <c:auto val="1"/>
        <c:lblAlgn val="ctr"/>
        <c:lblOffset val="100"/>
        <c:tickLblSkip val="1"/>
        <c:tickMarkSkip val="1"/>
        <c:noMultiLvlLbl val="0"/>
      </c:catAx>
      <c:valAx>
        <c:axId val="140753088"/>
        <c:scaling>
          <c:orientation val="minMax"/>
        </c:scaling>
        <c:delete val="0"/>
        <c:axPos val="l"/>
        <c:title>
          <c:tx>
            <c:strRef>
              <c:f>'Analysis - with risk'!$A$196</c:f>
              <c:strCache>
                <c:ptCount val="1"/>
                <c:pt idx="0">
                  <c:v>Millions of m3</c:v>
                </c:pt>
              </c:strCache>
            </c:strRef>
          </c:tx>
          <c:layout>
            <c:manualLayout>
              <c:xMode val="edge"/>
              <c:yMode val="edge"/>
              <c:x val="9.6711754145855904E-3"/>
              <c:y val="0.30272221380981201"/>
            </c:manualLayout>
          </c:layout>
          <c:overlay val="0"/>
          <c:spPr>
            <a:noFill/>
            <a:ln w="25400">
              <a:noFill/>
            </a:ln>
          </c:spPr>
          <c:txPr>
            <a:bodyPr/>
            <a:lstStyle/>
            <a:p>
              <a:pPr>
                <a:defRPr sz="1000" b="0" i="0" u="none" strike="noStrike" baseline="0">
                  <a:solidFill>
                    <a:srgbClr val="000000"/>
                  </a:solidFill>
                  <a:latin typeface="Arial"/>
                  <a:ea typeface="Arial"/>
                  <a:cs typeface="Arial"/>
                </a:defRPr>
              </a:pPr>
              <a:endParaRPr lang="en-US"/>
            </a:p>
          </c:txPr>
        </c:title>
        <c:numFmt formatCode="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01171200"/>
        <c:crosses val="autoZero"/>
        <c:crossBetween val="between"/>
      </c:valAx>
      <c:spPr>
        <a:noFill/>
        <a:ln w="25400">
          <a:noFill/>
        </a:ln>
      </c:spPr>
    </c:plotArea>
    <c:legend>
      <c:legendPos val="r"/>
      <c:layout>
        <c:manualLayout>
          <c:xMode val="edge"/>
          <c:yMode val="edge"/>
          <c:x val="7.4492099322799099E-2"/>
          <c:y val="0.89904073288915798"/>
          <c:w val="0.85101509038232492"/>
          <c:h val="9.1346532404602998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975" b="0" i="0" u="none" strike="noStrike" baseline="0">
          <a:solidFill>
            <a:srgbClr val="000000"/>
          </a:solidFill>
          <a:latin typeface="Arial"/>
          <a:ea typeface="Arial"/>
          <a:cs typeface="Arial"/>
        </a:defRPr>
      </a:pPr>
      <a:endParaRPr lang="en-US"/>
    </a:p>
  </c:txPr>
  <c:printSettings>
    <c:headerFooter/>
    <c:pageMargins b="1" l="0.75" r="0.75" t="1" header="0.5" footer="0.5"/>
    <c:pageSetup paperSize="9" orientation="landscape"/>
  </c:printSettings>
</c:chartSpace>
</file>

<file path=xl/ctrlProps/ctrlProp1.xml><?xml version="1.0" encoding="utf-8"?>
<formControlPr xmlns="http://schemas.microsoft.com/office/spreadsheetml/2009/9/main" objectType="GBox"/>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GBox"/>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Radio" firstButton="1" fmlaLink="$J$4" lockText="1"/>
</file>

<file path=xl/ctrlProps/ctrlProp7.xml><?xml version="1.0" encoding="utf-8"?>
<formControlPr xmlns="http://schemas.microsoft.com/office/spreadsheetml/2009/9/main" objectType="Radio" lockText="1"/>
</file>

<file path=xl/ctrlProps/ctrlProp8.xml><?xml version="1.0" encoding="utf-8"?>
<formControlPr xmlns="http://schemas.microsoft.com/office/spreadsheetml/2009/9/main" objectType="Radio" checked="Checked" lockText="1"/>
</file>

<file path=xl/ctrlProps/ctrlProp9.xml><?xml version="1.0" encoding="utf-8"?>
<formControlPr xmlns="http://schemas.microsoft.com/office/spreadsheetml/2009/9/main" objectType="GBox"/>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165100</xdr:colOff>
      <xdr:row>130</xdr:row>
      <xdr:rowOff>0</xdr:rowOff>
    </xdr:from>
    <xdr:to>
      <xdr:col>7</xdr:col>
      <xdr:colOff>127000</xdr:colOff>
      <xdr:row>130</xdr:row>
      <xdr:rowOff>0</xdr:rowOff>
    </xdr:to>
    <xdr:sp macro="" textlink="">
      <xdr:nvSpPr>
        <xdr:cNvPr id="2" name="Rectangle 28">
          <a:extLst>
            <a:ext uri="{FF2B5EF4-FFF2-40B4-BE49-F238E27FC236}">
              <a16:creationId xmlns:a16="http://schemas.microsoft.com/office/drawing/2014/main" id="{00000000-0008-0000-0000-000002000000}"/>
            </a:ext>
          </a:extLst>
        </xdr:cNvPr>
        <xdr:cNvSpPr>
          <a:spLocks noChangeArrowheads="1"/>
        </xdr:cNvSpPr>
      </xdr:nvSpPr>
      <xdr:spPr bwMode="auto">
        <a:xfrm>
          <a:off x="165100" y="21437600"/>
          <a:ext cx="7988300" cy="0"/>
        </a:xfrm>
        <a:prstGeom prst="rect">
          <a:avLst/>
        </a:prstGeom>
        <a:noFill/>
        <a:ln w="12700">
          <a:solidFill>
            <a:srgbClr xmlns:mc="http://schemas.openxmlformats.org/markup-compatibility/2006" xmlns:a14="http://schemas.microsoft.com/office/drawing/2010/main" val="000000" mc:Ignorable="a14" a14:legacySpreadsheetColorIndex="64"/>
          </a:solidFill>
          <a:miter lim="800000"/>
          <a:headEnd/>
          <a:tailEnd/>
        </a:ln>
        <a:effectLst>
          <a:outerShdw blurRad="63500" dist="38099" dir="2700000" algn="ctr" rotWithShape="0">
            <a:srgbClr val="000000">
              <a:alpha val="74998"/>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txBody>
        <a:bodyPr rtlCol="0"/>
        <a:lstStyle/>
        <a:p>
          <a:endParaRPr lang="en-US"/>
        </a:p>
      </xdr:txBody>
    </xdr:sp>
    <xdr:clientData/>
  </xdr:twoCellAnchor>
  <xdr:twoCellAnchor>
    <xdr:from>
      <xdr:col>0</xdr:col>
      <xdr:colOff>165100</xdr:colOff>
      <xdr:row>130</xdr:row>
      <xdr:rowOff>0</xdr:rowOff>
    </xdr:from>
    <xdr:to>
      <xdr:col>7</xdr:col>
      <xdr:colOff>127000</xdr:colOff>
      <xdr:row>130</xdr:row>
      <xdr:rowOff>0</xdr:rowOff>
    </xdr:to>
    <xdr:sp macro="" textlink="">
      <xdr:nvSpPr>
        <xdr:cNvPr id="3" name="Rectangle 29">
          <a:extLst>
            <a:ext uri="{FF2B5EF4-FFF2-40B4-BE49-F238E27FC236}">
              <a16:creationId xmlns:a16="http://schemas.microsoft.com/office/drawing/2014/main" id="{00000000-0008-0000-0000-000003000000}"/>
            </a:ext>
          </a:extLst>
        </xdr:cNvPr>
        <xdr:cNvSpPr>
          <a:spLocks noChangeArrowheads="1"/>
        </xdr:cNvSpPr>
      </xdr:nvSpPr>
      <xdr:spPr bwMode="auto">
        <a:xfrm>
          <a:off x="165100" y="21437600"/>
          <a:ext cx="7988300" cy="0"/>
        </a:xfrm>
        <a:prstGeom prst="rect">
          <a:avLst/>
        </a:prstGeom>
        <a:noFill/>
        <a:ln w="12700">
          <a:solidFill>
            <a:srgbClr xmlns:mc="http://schemas.openxmlformats.org/markup-compatibility/2006" xmlns:a14="http://schemas.microsoft.com/office/drawing/2010/main" val="000000" mc:Ignorable="a14" a14:legacySpreadsheetColorIndex="64"/>
          </a:solidFill>
          <a:miter lim="800000"/>
          <a:headEnd/>
          <a:tailEnd/>
        </a:ln>
        <a:effectLst>
          <a:outerShdw blurRad="63500" dist="38099" dir="2700000" algn="ctr" rotWithShape="0">
            <a:srgbClr val="000000">
              <a:alpha val="74998"/>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txBody>
        <a:bodyPr rtlCol="0"/>
        <a:lstStyle/>
        <a:p>
          <a:endParaRPr lang="en-US"/>
        </a:p>
      </xdr:txBody>
    </xdr:sp>
    <xdr:clientData/>
  </xdr:twoCellAnchor>
  <xdr:twoCellAnchor>
    <xdr:from>
      <xdr:col>0</xdr:col>
      <xdr:colOff>165100</xdr:colOff>
      <xdr:row>130</xdr:row>
      <xdr:rowOff>0</xdr:rowOff>
    </xdr:from>
    <xdr:to>
      <xdr:col>7</xdr:col>
      <xdr:colOff>127000</xdr:colOff>
      <xdr:row>130</xdr:row>
      <xdr:rowOff>0</xdr:rowOff>
    </xdr:to>
    <xdr:sp macro="" textlink="">
      <xdr:nvSpPr>
        <xdr:cNvPr id="4" name="Rectangle 30">
          <a:extLst>
            <a:ext uri="{FF2B5EF4-FFF2-40B4-BE49-F238E27FC236}">
              <a16:creationId xmlns:a16="http://schemas.microsoft.com/office/drawing/2014/main" id="{00000000-0008-0000-0000-000004000000}"/>
            </a:ext>
          </a:extLst>
        </xdr:cNvPr>
        <xdr:cNvSpPr>
          <a:spLocks noChangeArrowheads="1"/>
        </xdr:cNvSpPr>
      </xdr:nvSpPr>
      <xdr:spPr bwMode="auto">
        <a:xfrm>
          <a:off x="165100" y="21437600"/>
          <a:ext cx="7988300" cy="0"/>
        </a:xfrm>
        <a:prstGeom prst="rect">
          <a:avLst/>
        </a:prstGeom>
        <a:noFill/>
        <a:ln w="12700">
          <a:solidFill>
            <a:srgbClr xmlns:mc="http://schemas.openxmlformats.org/markup-compatibility/2006" xmlns:a14="http://schemas.microsoft.com/office/drawing/2010/main" val="000000" mc:Ignorable="a14" a14:legacySpreadsheetColorIndex="64"/>
          </a:solidFill>
          <a:miter lim="800000"/>
          <a:headEnd/>
          <a:tailEnd/>
        </a:ln>
        <a:effectLst>
          <a:outerShdw blurRad="63500" dist="38099" dir="2700000" algn="ctr" rotWithShape="0">
            <a:srgbClr val="000000">
              <a:alpha val="74998"/>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txBody>
        <a:bodyPr rtlCol="0"/>
        <a:lstStyle/>
        <a:p>
          <a:endParaRPr lang="en-US"/>
        </a:p>
      </xdr:txBody>
    </xdr:sp>
    <xdr:clientData/>
  </xdr:twoCellAnchor>
  <xdr:twoCellAnchor>
    <xdr:from>
      <xdr:col>0</xdr:col>
      <xdr:colOff>165100</xdr:colOff>
      <xdr:row>130</xdr:row>
      <xdr:rowOff>0</xdr:rowOff>
    </xdr:from>
    <xdr:to>
      <xdr:col>7</xdr:col>
      <xdr:colOff>127000</xdr:colOff>
      <xdr:row>130</xdr:row>
      <xdr:rowOff>0</xdr:rowOff>
    </xdr:to>
    <xdr:sp macro="" textlink="">
      <xdr:nvSpPr>
        <xdr:cNvPr id="5" name="Rectangle 31">
          <a:extLst>
            <a:ext uri="{FF2B5EF4-FFF2-40B4-BE49-F238E27FC236}">
              <a16:creationId xmlns:a16="http://schemas.microsoft.com/office/drawing/2014/main" id="{00000000-0008-0000-0000-000005000000}"/>
            </a:ext>
          </a:extLst>
        </xdr:cNvPr>
        <xdr:cNvSpPr>
          <a:spLocks noChangeArrowheads="1"/>
        </xdr:cNvSpPr>
      </xdr:nvSpPr>
      <xdr:spPr bwMode="auto">
        <a:xfrm>
          <a:off x="165100" y="21437600"/>
          <a:ext cx="7988300" cy="0"/>
        </a:xfrm>
        <a:prstGeom prst="rect">
          <a:avLst/>
        </a:prstGeom>
        <a:noFill/>
        <a:ln w="12700">
          <a:solidFill>
            <a:srgbClr xmlns:mc="http://schemas.openxmlformats.org/markup-compatibility/2006" xmlns:a14="http://schemas.microsoft.com/office/drawing/2010/main" val="000000" mc:Ignorable="a14" a14:legacySpreadsheetColorIndex="64"/>
          </a:solidFill>
          <a:miter lim="800000"/>
          <a:headEnd/>
          <a:tailEnd/>
        </a:ln>
        <a:effectLst>
          <a:outerShdw blurRad="63500" dist="38099" dir="2700000" algn="ctr" rotWithShape="0">
            <a:srgbClr val="000000">
              <a:alpha val="74998"/>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txBody>
        <a:bodyPr rtlCol="0"/>
        <a:lstStyle/>
        <a:p>
          <a:endParaRPr lang="en-US"/>
        </a:p>
      </xdr:txBody>
    </xdr:sp>
    <xdr:clientData/>
  </xdr:twoCellAnchor>
  <xdr:twoCellAnchor>
    <xdr:from>
      <xdr:col>0</xdr:col>
      <xdr:colOff>165100</xdr:colOff>
      <xdr:row>130</xdr:row>
      <xdr:rowOff>0</xdr:rowOff>
    </xdr:from>
    <xdr:to>
      <xdr:col>7</xdr:col>
      <xdr:colOff>127000</xdr:colOff>
      <xdr:row>130</xdr:row>
      <xdr:rowOff>0</xdr:rowOff>
    </xdr:to>
    <xdr:sp macro="" textlink="">
      <xdr:nvSpPr>
        <xdr:cNvPr id="6" name="Rectangle 32">
          <a:extLst>
            <a:ext uri="{FF2B5EF4-FFF2-40B4-BE49-F238E27FC236}">
              <a16:creationId xmlns:a16="http://schemas.microsoft.com/office/drawing/2014/main" id="{00000000-0008-0000-0000-000006000000}"/>
            </a:ext>
          </a:extLst>
        </xdr:cNvPr>
        <xdr:cNvSpPr>
          <a:spLocks noChangeArrowheads="1"/>
        </xdr:cNvSpPr>
      </xdr:nvSpPr>
      <xdr:spPr bwMode="auto">
        <a:xfrm>
          <a:off x="165100" y="21437600"/>
          <a:ext cx="7988300" cy="0"/>
        </a:xfrm>
        <a:prstGeom prst="rect">
          <a:avLst/>
        </a:prstGeom>
        <a:noFill/>
        <a:ln w="12700">
          <a:solidFill>
            <a:srgbClr xmlns:mc="http://schemas.openxmlformats.org/markup-compatibility/2006" xmlns:a14="http://schemas.microsoft.com/office/drawing/2010/main" val="000000" mc:Ignorable="a14" a14:legacySpreadsheetColorIndex="64"/>
          </a:solidFill>
          <a:miter lim="800000"/>
          <a:headEnd/>
          <a:tailEnd/>
        </a:ln>
        <a:effectLst>
          <a:outerShdw blurRad="63500" dist="38099" dir="2700000" algn="ctr" rotWithShape="0">
            <a:srgbClr val="000000">
              <a:alpha val="74998"/>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txBody>
        <a:bodyPr rtlCol="0"/>
        <a:lstStyle/>
        <a:p>
          <a:endParaRPr lang="en-US"/>
        </a:p>
      </xdr:txBody>
    </xdr:sp>
    <xdr:clientData/>
  </xdr:twoCellAnchor>
  <xdr:twoCellAnchor>
    <xdr:from>
      <xdr:col>0</xdr:col>
      <xdr:colOff>165100</xdr:colOff>
      <xdr:row>130</xdr:row>
      <xdr:rowOff>0</xdr:rowOff>
    </xdr:from>
    <xdr:to>
      <xdr:col>7</xdr:col>
      <xdr:colOff>127000</xdr:colOff>
      <xdr:row>130</xdr:row>
      <xdr:rowOff>0</xdr:rowOff>
    </xdr:to>
    <xdr:sp macro="" textlink="">
      <xdr:nvSpPr>
        <xdr:cNvPr id="7" name="Rectangle 33">
          <a:extLst>
            <a:ext uri="{FF2B5EF4-FFF2-40B4-BE49-F238E27FC236}">
              <a16:creationId xmlns:a16="http://schemas.microsoft.com/office/drawing/2014/main" id="{00000000-0008-0000-0000-000007000000}"/>
            </a:ext>
          </a:extLst>
        </xdr:cNvPr>
        <xdr:cNvSpPr>
          <a:spLocks noChangeArrowheads="1"/>
        </xdr:cNvSpPr>
      </xdr:nvSpPr>
      <xdr:spPr bwMode="auto">
        <a:xfrm>
          <a:off x="165100" y="21437600"/>
          <a:ext cx="7988300" cy="0"/>
        </a:xfrm>
        <a:prstGeom prst="rect">
          <a:avLst/>
        </a:prstGeom>
        <a:noFill/>
        <a:ln w="12700">
          <a:solidFill>
            <a:srgbClr xmlns:mc="http://schemas.openxmlformats.org/markup-compatibility/2006" xmlns:a14="http://schemas.microsoft.com/office/drawing/2010/main" val="000000" mc:Ignorable="a14" a14:legacySpreadsheetColorIndex="64"/>
          </a:solidFill>
          <a:miter lim="800000"/>
          <a:headEnd/>
          <a:tailEnd/>
        </a:ln>
        <a:effectLst>
          <a:outerShdw blurRad="63500" dist="38099" dir="2700000" algn="ctr" rotWithShape="0">
            <a:srgbClr val="000000">
              <a:alpha val="74998"/>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txBody>
        <a:bodyPr rtlCol="0"/>
        <a:lstStyle/>
        <a:p>
          <a:endParaRPr lang="en-US"/>
        </a:p>
      </xdr:txBody>
    </xdr:sp>
    <xdr:clientData/>
  </xdr:twoCellAnchor>
  <xdr:twoCellAnchor>
    <xdr:from>
      <xdr:col>0</xdr:col>
      <xdr:colOff>177800</xdr:colOff>
      <xdr:row>130</xdr:row>
      <xdr:rowOff>0</xdr:rowOff>
    </xdr:from>
    <xdr:to>
      <xdr:col>9</xdr:col>
      <xdr:colOff>50800</xdr:colOff>
      <xdr:row>130</xdr:row>
      <xdr:rowOff>0</xdr:rowOff>
    </xdr:to>
    <xdr:sp macro="" textlink="">
      <xdr:nvSpPr>
        <xdr:cNvPr id="8" name="Rectangle 37">
          <a:extLst>
            <a:ext uri="{FF2B5EF4-FFF2-40B4-BE49-F238E27FC236}">
              <a16:creationId xmlns:a16="http://schemas.microsoft.com/office/drawing/2014/main" id="{00000000-0008-0000-0000-000008000000}"/>
            </a:ext>
          </a:extLst>
        </xdr:cNvPr>
        <xdr:cNvSpPr>
          <a:spLocks noChangeArrowheads="1"/>
        </xdr:cNvSpPr>
      </xdr:nvSpPr>
      <xdr:spPr bwMode="auto">
        <a:xfrm>
          <a:off x="177800" y="21437600"/>
          <a:ext cx="9753600" cy="0"/>
        </a:xfrm>
        <a:prstGeom prst="rect">
          <a:avLst/>
        </a:prstGeom>
        <a:noFill/>
        <a:ln w="12700">
          <a:solidFill>
            <a:srgbClr xmlns:mc="http://schemas.openxmlformats.org/markup-compatibility/2006" xmlns:a14="http://schemas.microsoft.com/office/drawing/2010/main" val="000000" mc:Ignorable="a14" a14:legacySpreadsheetColorIndex="64"/>
          </a:solidFill>
          <a:miter lim="800000"/>
          <a:headEnd/>
          <a:tailEnd/>
        </a:ln>
        <a:effectLst>
          <a:outerShdw blurRad="63500" dist="38099" dir="2700000" algn="ctr" rotWithShape="0">
            <a:srgbClr val="000000">
              <a:alpha val="74998"/>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txBody>
        <a:bodyPr rtlCol="0"/>
        <a:lstStyle/>
        <a:p>
          <a:endParaRPr lang="en-US"/>
        </a:p>
      </xdr:txBody>
    </xdr:sp>
    <xdr:clientData/>
  </xdr:twoCellAnchor>
  <xdr:twoCellAnchor>
    <xdr:from>
      <xdr:col>0</xdr:col>
      <xdr:colOff>177800</xdr:colOff>
      <xdr:row>130</xdr:row>
      <xdr:rowOff>0</xdr:rowOff>
    </xdr:from>
    <xdr:to>
      <xdr:col>9</xdr:col>
      <xdr:colOff>50800</xdr:colOff>
      <xdr:row>130</xdr:row>
      <xdr:rowOff>0</xdr:rowOff>
    </xdr:to>
    <xdr:sp macro="" textlink="">
      <xdr:nvSpPr>
        <xdr:cNvPr id="9" name="Rectangle 40">
          <a:extLst>
            <a:ext uri="{FF2B5EF4-FFF2-40B4-BE49-F238E27FC236}">
              <a16:creationId xmlns:a16="http://schemas.microsoft.com/office/drawing/2014/main" id="{00000000-0008-0000-0000-000009000000}"/>
            </a:ext>
          </a:extLst>
        </xdr:cNvPr>
        <xdr:cNvSpPr>
          <a:spLocks noChangeArrowheads="1"/>
        </xdr:cNvSpPr>
      </xdr:nvSpPr>
      <xdr:spPr bwMode="auto">
        <a:xfrm>
          <a:off x="177800" y="21437600"/>
          <a:ext cx="9753600" cy="0"/>
        </a:xfrm>
        <a:prstGeom prst="rect">
          <a:avLst/>
        </a:prstGeom>
        <a:noFill/>
        <a:ln w="12700">
          <a:solidFill>
            <a:srgbClr xmlns:mc="http://schemas.openxmlformats.org/markup-compatibility/2006" xmlns:a14="http://schemas.microsoft.com/office/drawing/2010/main" val="000000" mc:Ignorable="a14" a14:legacySpreadsheetColorIndex="64"/>
          </a:solidFill>
          <a:miter lim="800000"/>
          <a:headEnd/>
          <a:tailEnd/>
        </a:ln>
        <a:effectLst>
          <a:outerShdw blurRad="63500" dist="38099" dir="2700000" algn="ctr" rotWithShape="0">
            <a:srgbClr val="000000">
              <a:alpha val="74998"/>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txBody>
        <a:bodyPr rtlCol="0"/>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635000</xdr:colOff>
      <xdr:row>15</xdr:row>
      <xdr:rowOff>139700</xdr:rowOff>
    </xdr:from>
    <xdr:to>
      <xdr:col>10</xdr:col>
      <xdr:colOff>88900</xdr:colOff>
      <xdr:row>40</xdr:row>
      <xdr:rowOff>88900</xdr:rowOff>
    </xdr:to>
    <xdr:sp macro="" textlink="">
      <xdr:nvSpPr>
        <xdr:cNvPr id="2" name="Rectangle 43">
          <a:extLst>
            <a:ext uri="{FF2B5EF4-FFF2-40B4-BE49-F238E27FC236}">
              <a16:creationId xmlns:a16="http://schemas.microsoft.com/office/drawing/2014/main" id="{00000000-0008-0000-0100-000002000000}"/>
            </a:ext>
          </a:extLst>
        </xdr:cNvPr>
        <xdr:cNvSpPr>
          <a:spLocks noChangeArrowheads="1"/>
        </xdr:cNvSpPr>
      </xdr:nvSpPr>
      <xdr:spPr bwMode="auto">
        <a:xfrm>
          <a:off x="1612900" y="2336800"/>
          <a:ext cx="5549900" cy="37592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endParaRPr lang="en-US"/>
        </a:p>
      </xdr:txBody>
    </xdr:sp>
    <xdr:clientData/>
  </xdr:twoCellAnchor>
  <xdr:twoCellAnchor editAs="oneCell">
    <xdr:from>
      <xdr:col>1</xdr:col>
      <xdr:colOff>0</xdr:colOff>
      <xdr:row>3</xdr:row>
      <xdr:rowOff>9525</xdr:rowOff>
    </xdr:from>
    <xdr:to>
      <xdr:col>11</xdr:col>
      <xdr:colOff>746091</xdr:colOff>
      <xdr:row>15</xdr:row>
      <xdr:rowOff>0</xdr:rowOff>
    </xdr:to>
    <xdr:sp macro="" textlink="">
      <xdr:nvSpPr>
        <xdr:cNvPr id="3" name="Text Box 1">
          <a:extLst>
            <a:ext uri="{FF2B5EF4-FFF2-40B4-BE49-F238E27FC236}">
              <a16:creationId xmlns:a16="http://schemas.microsoft.com/office/drawing/2014/main" id="{00000000-0008-0000-0100-000003000000}"/>
            </a:ext>
          </a:extLst>
        </xdr:cNvPr>
        <xdr:cNvSpPr txBox="1">
          <a:spLocks noChangeArrowheads="1"/>
        </xdr:cNvSpPr>
      </xdr:nvSpPr>
      <xdr:spPr bwMode="auto">
        <a:xfrm>
          <a:off x="215900" y="365125"/>
          <a:ext cx="8366091" cy="1831975"/>
        </a:xfrm>
        <a:prstGeom prst="rect">
          <a:avLst/>
        </a:prstGeom>
        <a:noFill/>
        <a:ln>
          <a:noFill/>
        </a:ln>
        <a:extLst>
          <a:ext uri="{909E8E84-426E-40DD-AFC4-6F175D3DCCD1}">
            <a14:hiddenFill xmlns:a14="http://schemas.microsoft.com/office/drawing/2010/main">
              <a:solidFill>
                <a:srgbClr val="D9E5F3"/>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CA" sz="1000" b="0" i="0" u="none" strike="noStrike" baseline="0">
              <a:solidFill>
                <a:srgbClr val="000080"/>
              </a:solidFill>
              <a:latin typeface="Arial"/>
              <a:cs typeface="Arial"/>
            </a:rPr>
            <a:t>Welcome to the policy simulation model. The model illustrates some issues discussed in the Toolkit, suggests outputs that the government's modelers might produce, and illustrates possible approaches to the modeling.  It includes:</a:t>
          </a:r>
        </a:p>
        <a:p>
          <a:pPr algn="l" rtl="0">
            <a:defRPr sz="1000"/>
          </a:pPr>
          <a:r>
            <a:rPr lang="en-CA" sz="1000" b="0" i="0" u="none" strike="noStrike" baseline="0">
              <a:solidFill>
                <a:srgbClr val="000080"/>
              </a:solidFill>
              <a:latin typeface="Arial"/>
              <a:cs typeface="Arial"/>
            </a:rPr>
            <a:t> - Two assumption sheets, one on policy choices and the other for facts about the uility and the world. </a:t>
          </a:r>
        </a:p>
        <a:p>
          <a:pPr algn="l" rtl="0">
            <a:defRPr sz="1000"/>
          </a:pPr>
          <a:r>
            <a:rPr lang="en-CA" sz="1000" b="0" i="0" u="none" strike="noStrike" baseline="0">
              <a:solidFill>
                <a:srgbClr val="000080"/>
              </a:solidFill>
              <a:latin typeface="Arial"/>
              <a:cs typeface="Arial"/>
            </a:rPr>
            <a:t> - Two calculation sheets, one assuming that there are no unexpected changes in the variables, and the other allowing for random variations in demand, inflation and exchange rate.</a:t>
          </a:r>
        </a:p>
        <a:p>
          <a:pPr algn="l" rtl="0">
            <a:defRPr sz="1000"/>
          </a:pPr>
          <a:r>
            <a:rPr lang="en-CA" sz="1000" b="0" i="0" u="none" strike="noStrike" baseline="0">
              <a:solidFill>
                <a:srgbClr val="000080"/>
              </a:solidFill>
              <a:latin typeface="Arial"/>
              <a:cs typeface="Arial"/>
            </a:rPr>
            <a:t>The input cells are highlighted in blue (         ). The calculation cells are highlighted in yellow (         ) and cannot be altered.</a:t>
          </a:r>
        </a:p>
        <a:p>
          <a:pPr algn="l" rtl="0">
            <a:defRPr sz="1000"/>
          </a:pPr>
          <a:r>
            <a:rPr lang="en-CA" sz="1000" b="0" i="0" u="none" strike="noStrike" baseline="0">
              <a:solidFill>
                <a:srgbClr val="000080"/>
              </a:solidFill>
              <a:latin typeface="Arial"/>
              <a:cs typeface="Arial"/>
            </a:rPr>
            <a:t>The outputs from the model are presented alongside the input assumptions.</a:t>
          </a:r>
        </a:p>
        <a:p>
          <a:pPr algn="l" rtl="0">
            <a:defRPr sz="1000"/>
          </a:pPr>
          <a:endParaRPr lang="en-CA" sz="1000" b="0" i="0" u="none" strike="noStrike" baseline="0">
            <a:solidFill>
              <a:srgbClr val="000080"/>
            </a:solidFill>
            <a:latin typeface="Arial"/>
            <a:cs typeface="Arial"/>
          </a:endParaRPr>
        </a:p>
        <a:p>
          <a:pPr algn="l" rtl="0">
            <a:defRPr sz="1000"/>
          </a:pPr>
          <a:r>
            <a:rPr lang="en-CA" sz="1000" b="0" i="0" u="none" strike="noStrike" baseline="0">
              <a:solidFill>
                <a:srgbClr val="000080"/>
              </a:solidFill>
              <a:latin typeface="Arial"/>
              <a:cs typeface="Arial"/>
            </a:rPr>
            <a:t>The model is not intended to be used in the analysis of any real-world arrangement.</a:t>
          </a:r>
        </a:p>
        <a:p>
          <a:pPr algn="l" rtl="0">
            <a:defRPr sz="1000"/>
          </a:pPr>
          <a:endParaRPr lang="en-CA" sz="1000" b="0" i="0" u="none" strike="noStrike" baseline="0">
            <a:solidFill>
              <a:srgbClr val="000080"/>
            </a:solidFill>
            <a:latin typeface="Arial"/>
            <a:cs typeface="Arial"/>
          </a:endParaRPr>
        </a:p>
        <a:p>
          <a:pPr algn="l" rtl="0">
            <a:defRPr sz="1000"/>
          </a:pPr>
          <a:r>
            <a:rPr lang="en-CA" sz="1000" b="0" i="0" u="none" strike="noStrike" baseline="0">
              <a:solidFill>
                <a:srgbClr val="000080"/>
              </a:solidFill>
              <a:latin typeface="Arial"/>
              <a:cs typeface="Arial"/>
            </a:rPr>
            <a:t>Please see the guide to policy simulation model for more information.</a:t>
          </a:r>
        </a:p>
      </xdr:txBody>
    </xdr:sp>
    <xdr:clientData/>
  </xdr:twoCellAnchor>
  <xdr:twoCellAnchor>
    <xdr:from>
      <xdr:col>4</xdr:col>
      <xdr:colOff>190500</xdr:colOff>
      <xdr:row>8</xdr:row>
      <xdr:rowOff>12700</xdr:rowOff>
    </xdr:from>
    <xdr:to>
      <xdr:col>4</xdr:col>
      <xdr:colOff>520700</xdr:colOff>
      <xdr:row>9</xdr:row>
      <xdr:rowOff>0</xdr:rowOff>
    </xdr:to>
    <xdr:sp macro="" textlink="">
      <xdr:nvSpPr>
        <xdr:cNvPr id="4" name="Rectangle 6">
          <a:extLst>
            <a:ext uri="{FF2B5EF4-FFF2-40B4-BE49-F238E27FC236}">
              <a16:creationId xmlns:a16="http://schemas.microsoft.com/office/drawing/2014/main" id="{00000000-0008-0000-0100-000004000000}"/>
            </a:ext>
          </a:extLst>
        </xdr:cNvPr>
        <xdr:cNvSpPr>
          <a:spLocks noChangeArrowheads="1"/>
        </xdr:cNvSpPr>
      </xdr:nvSpPr>
      <xdr:spPr bwMode="auto">
        <a:xfrm>
          <a:off x="2692400" y="1143000"/>
          <a:ext cx="330200" cy="139700"/>
        </a:xfrm>
        <a:prstGeom prst="rect">
          <a:avLst/>
        </a:prstGeom>
        <a:solidFill>
          <a:srgbClr xmlns:mc="http://schemas.openxmlformats.org/markup-compatibility/2006" xmlns:a14="http://schemas.microsoft.com/office/drawing/2010/main" val="CCFFFF" mc:Ignorable="a14" a14:legacySpreadsheetColorIndex="41"/>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endParaRPr lang="en-US"/>
        </a:p>
      </xdr:txBody>
    </xdr:sp>
    <xdr:clientData/>
  </xdr:twoCellAnchor>
  <xdr:twoCellAnchor>
    <xdr:from>
      <xdr:col>8</xdr:col>
      <xdr:colOff>584200</xdr:colOff>
      <xdr:row>8</xdr:row>
      <xdr:rowOff>25400</xdr:rowOff>
    </xdr:from>
    <xdr:to>
      <xdr:col>9</xdr:col>
      <xdr:colOff>152400</xdr:colOff>
      <xdr:row>9</xdr:row>
      <xdr:rowOff>12700</xdr:rowOff>
    </xdr:to>
    <xdr:sp macro="" textlink="">
      <xdr:nvSpPr>
        <xdr:cNvPr id="5" name="Rectangle 7">
          <a:extLst>
            <a:ext uri="{FF2B5EF4-FFF2-40B4-BE49-F238E27FC236}">
              <a16:creationId xmlns:a16="http://schemas.microsoft.com/office/drawing/2014/main" id="{00000000-0008-0000-0100-000005000000}"/>
            </a:ext>
          </a:extLst>
        </xdr:cNvPr>
        <xdr:cNvSpPr>
          <a:spLocks noChangeArrowheads="1"/>
        </xdr:cNvSpPr>
      </xdr:nvSpPr>
      <xdr:spPr bwMode="auto">
        <a:xfrm>
          <a:off x="6134100" y="1155700"/>
          <a:ext cx="330200" cy="13970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txBody>
        <a:bodyPr rtlCol="0"/>
        <a:lstStyle/>
        <a:p>
          <a:endParaRPr lang="en-US"/>
        </a:p>
      </xdr:txBody>
    </xdr:sp>
    <xdr:clientData/>
  </xdr:twoCellAnchor>
  <xdr:twoCellAnchor editAs="oneCell">
    <xdr:from>
      <xdr:col>2</xdr:col>
      <xdr:colOff>685800</xdr:colOff>
      <xdr:row>16</xdr:row>
      <xdr:rowOff>50800</xdr:rowOff>
    </xdr:from>
    <xdr:to>
      <xdr:col>10</xdr:col>
      <xdr:colOff>38100</xdr:colOff>
      <xdr:row>40</xdr:row>
      <xdr:rowOff>50800</xdr:rowOff>
    </xdr:to>
    <xdr:pic>
      <xdr:nvPicPr>
        <xdr:cNvPr id="6" name="Picture 42">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63700" y="2400300"/>
          <a:ext cx="5448300" cy="3657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17</xdr:col>
      <xdr:colOff>25400</xdr:colOff>
      <xdr:row>11</xdr:row>
      <xdr:rowOff>114300</xdr:rowOff>
    </xdr:from>
    <xdr:to>
      <xdr:col>29</xdr:col>
      <xdr:colOff>0</xdr:colOff>
      <xdr:row>37</xdr:row>
      <xdr:rowOff>12700</xdr:rowOff>
    </xdr:to>
    <xdr:sp macro="" textlink="">
      <xdr:nvSpPr>
        <xdr:cNvPr id="2" name="Rectangle 168">
          <a:extLst>
            <a:ext uri="{FF2B5EF4-FFF2-40B4-BE49-F238E27FC236}">
              <a16:creationId xmlns:a16="http://schemas.microsoft.com/office/drawing/2014/main" id="{00000000-0008-0000-0200-000002000000}"/>
            </a:ext>
          </a:extLst>
        </xdr:cNvPr>
        <xdr:cNvSpPr>
          <a:spLocks noChangeArrowheads="1"/>
        </xdr:cNvSpPr>
      </xdr:nvSpPr>
      <xdr:spPr bwMode="auto">
        <a:xfrm>
          <a:off x="10896600" y="2159000"/>
          <a:ext cx="7124700" cy="38608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blurRad="63500" dist="53882" dir="2700000" algn="ctr" rotWithShape="0">
            <a:srgbClr xmlns:mc="http://schemas.openxmlformats.org/markup-compatibility/2006" xmlns:a14="http://schemas.microsoft.com/office/drawing/2010/main" val="333333" mc:Ignorable="a14" a14:legacySpreadsheetColorIndex="63">
              <a:alpha val="50000"/>
            </a:srgbClr>
          </a:outerShdw>
        </a:effectLst>
      </xdr:spPr>
      <xdr:txBody>
        <a:bodyPr rtlCol="0"/>
        <a:lstStyle/>
        <a:p>
          <a:endParaRPr lang="en-US"/>
        </a:p>
      </xdr:txBody>
    </xdr:sp>
    <xdr:clientData/>
  </xdr:twoCellAnchor>
  <xdr:twoCellAnchor>
    <xdr:from>
      <xdr:col>7</xdr:col>
      <xdr:colOff>25400</xdr:colOff>
      <xdr:row>2</xdr:row>
      <xdr:rowOff>88900</xdr:rowOff>
    </xdr:from>
    <xdr:to>
      <xdr:col>16</xdr:col>
      <xdr:colOff>38100</xdr:colOff>
      <xdr:row>24</xdr:row>
      <xdr:rowOff>76200</xdr:rowOff>
    </xdr:to>
    <xdr:sp macro="" textlink="">
      <xdr:nvSpPr>
        <xdr:cNvPr id="3" name="Rectangle 175">
          <a:extLst>
            <a:ext uri="{FF2B5EF4-FFF2-40B4-BE49-F238E27FC236}">
              <a16:creationId xmlns:a16="http://schemas.microsoft.com/office/drawing/2014/main" id="{00000000-0008-0000-0200-000003000000}"/>
            </a:ext>
          </a:extLst>
        </xdr:cNvPr>
        <xdr:cNvSpPr>
          <a:spLocks noChangeArrowheads="1"/>
        </xdr:cNvSpPr>
      </xdr:nvSpPr>
      <xdr:spPr bwMode="auto">
        <a:xfrm>
          <a:off x="4470400" y="660400"/>
          <a:ext cx="6121400" cy="34417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blurRad="63500" dist="53882" dir="2700000" algn="ctr" rotWithShape="0">
            <a:srgbClr val="000000">
              <a:alpha val="74998"/>
            </a:srgbClr>
          </a:outerShdw>
        </a:effectLst>
      </xdr:spPr>
      <xdr:txBody>
        <a:bodyPr rtlCol="0"/>
        <a:lstStyle/>
        <a:p>
          <a:endParaRPr lang="en-US"/>
        </a:p>
      </xdr:txBody>
    </xdr:sp>
    <xdr:clientData/>
  </xdr:twoCellAnchor>
  <xdr:twoCellAnchor>
    <xdr:from>
      <xdr:col>1</xdr:col>
      <xdr:colOff>0</xdr:colOff>
      <xdr:row>1</xdr:row>
      <xdr:rowOff>0</xdr:rowOff>
    </xdr:from>
    <xdr:to>
      <xdr:col>5</xdr:col>
      <xdr:colOff>0</xdr:colOff>
      <xdr:row>2</xdr:row>
      <xdr:rowOff>0</xdr:rowOff>
    </xdr:to>
    <xdr:sp macro="" textlink="">
      <xdr:nvSpPr>
        <xdr:cNvPr id="4" name="Rectangle 5">
          <a:extLst>
            <a:ext uri="{FF2B5EF4-FFF2-40B4-BE49-F238E27FC236}">
              <a16:creationId xmlns:a16="http://schemas.microsoft.com/office/drawing/2014/main" id="{00000000-0008-0000-0200-000004000000}"/>
            </a:ext>
          </a:extLst>
        </xdr:cNvPr>
        <xdr:cNvSpPr>
          <a:spLocks noChangeArrowheads="1"/>
        </xdr:cNvSpPr>
      </xdr:nvSpPr>
      <xdr:spPr bwMode="auto">
        <a:xfrm>
          <a:off x="114300" y="152400"/>
          <a:ext cx="4013200" cy="419100"/>
        </a:xfrm>
        <a:prstGeom prst="rect">
          <a:avLst/>
        </a:prstGeom>
        <a:noFill/>
        <a:ln w="12700">
          <a:solidFill>
            <a:srgbClr xmlns:mc="http://schemas.openxmlformats.org/markup-compatibility/2006" xmlns:a14="http://schemas.microsoft.com/office/drawing/2010/main" val="000000" mc:Ignorable="a14" a14:legacySpreadsheetColorIndex="64"/>
          </a:solidFill>
          <a:miter lim="800000"/>
          <a:headEnd/>
          <a:tailEnd/>
        </a:ln>
        <a:effectLst>
          <a:outerShdw blurRad="63500" dist="38099" dir="2700000" algn="ctr" rotWithShape="0">
            <a:srgbClr val="000000">
              <a:alpha val="74998"/>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txBody>
        <a:bodyPr rtlCol="0"/>
        <a:lstStyle/>
        <a:p>
          <a:endParaRPr lang="en-US"/>
        </a:p>
      </xdr:txBody>
    </xdr:sp>
    <xdr:clientData/>
  </xdr:twoCellAnchor>
  <xdr:twoCellAnchor>
    <xdr:from>
      <xdr:col>7</xdr:col>
      <xdr:colOff>0</xdr:colOff>
      <xdr:row>25</xdr:row>
      <xdr:rowOff>101600</xdr:rowOff>
    </xdr:from>
    <xdr:to>
      <xdr:col>16</xdr:col>
      <xdr:colOff>38100</xdr:colOff>
      <xdr:row>37</xdr:row>
      <xdr:rowOff>0</xdr:rowOff>
    </xdr:to>
    <xdr:sp macro="" textlink="">
      <xdr:nvSpPr>
        <xdr:cNvPr id="5" name="Rectangle 147">
          <a:extLst>
            <a:ext uri="{FF2B5EF4-FFF2-40B4-BE49-F238E27FC236}">
              <a16:creationId xmlns:a16="http://schemas.microsoft.com/office/drawing/2014/main" id="{00000000-0008-0000-0200-000005000000}"/>
            </a:ext>
          </a:extLst>
        </xdr:cNvPr>
        <xdr:cNvSpPr>
          <a:spLocks noChangeArrowheads="1"/>
        </xdr:cNvSpPr>
      </xdr:nvSpPr>
      <xdr:spPr bwMode="auto">
        <a:xfrm>
          <a:off x="4445000" y="4279900"/>
          <a:ext cx="6146800" cy="17272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blurRad="63500" dist="53882" dir="2700000" algn="ctr" rotWithShape="0">
            <a:srgbClr val="000000">
              <a:alpha val="74998"/>
            </a:srgbClr>
          </a:outerShdw>
        </a:effectLst>
      </xdr:spPr>
      <xdr:txBody>
        <a:bodyPr rtlCol="0"/>
        <a:lstStyle/>
        <a:p>
          <a:endParaRPr lang="en-US"/>
        </a:p>
      </xdr:txBody>
    </xdr:sp>
    <xdr:clientData/>
  </xdr:twoCellAnchor>
  <xdr:twoCellAnchor editAs="oneCell">
    <xdr:from>
      <xdr:col>7</xdr:col>
      <xdr:colOff>25400</xdr:colOff>
      <xdr:row>25</xdr:row>
      <xdr:rowOff>101600</xdr:rowOff>
    </xdr:from>
    <xdr:to>
      <xdr:col>16</xdr:col>
      <xdr:colOff>0</xdr:colOff>
      <xdr:row>37</xdr:row>
      <xdr:rowOff>25400</xdr:rowOff>
    </xdr:to>
    <xdr:graphicFrame macro="">
      <xdr:nvGraphicFramePr>
        <xdr:cNvPr id="6" name="Ch_SocWelfare">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1</xdr:row>
      <xdr:rowOff>0</xdr:rowOff>
    </xdr:from>
    <xdr:to>
      <xdr:col>15</xdr:col>
      <xdr:colOff>711200</xdr:colOff>
      <xdr:row>2</xdr:row>
      <xdr:rowOff>0</xdr:rowOff>
    </xdr:to>
    <xdr:sp macro="" textlink="">
      <xdr:nvSpPr>
        <xdr:cNvPr id="7" name="Rectangle 167">
          <a:extLst>
            <a:ext uri="{FF2B5EF4-FFF2-40B4-BE49-F238E27FC236}">
              <a16:creationId xmlns:a16="http://schemas.microsoft.com/office/drawing/2014/main" id="{00000000-0008-0000-0200-000007000000}"/>
            </a:ext>
          </a:extLst>
        </xdr:cNvPr>
        <xdr:cNvSpPr>
          <a:spLocks noChangeArrowheads="1"/>
        </xdr:cNvSpPr>
      </xdr:nvSpPr>
      <xdr:spPr bwMode="auto">
        <a:xfrm>
          <a:off x="4445000" y="152400"/>
          <a:ext cx="6096000" cy="419100"/>
        </a:xfrm>
        <a:prstGeom prst="rect">
          <a:avLst/>
        </a:prstGeom>
        <a:noFill/>
        <a:ln w="12700">
          <a:solidFill>
            <a:srgbClr xmlns:mc="http://schemas.openxmlformats.org/markup-compatibility/2006" xmlns:a14="http://schemas.microsoft.com/office/drawing/2010/main" val="000000" mc:Ignorable="a14" a14:legacySpreadsheetColorIndex="64"/>
          </a:solidFill>
          <a:miter lim="800000"/>
          <a:headEnd/>
          <a:tailEnd/>
        </a:ln>
        <a:effectLst>
          <a:outerShdw blurRad="63500" dist="38099" dir="2700000" algn="ctr" rotWithShape="0">
            <a:srgbClr val="000000">
              <a:alpha val="74998"/>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txBody>
        <a:bodyPr rtlCol="0"/>
        <a:lstStyle/>
        <a:p>
          <a:endParaRPr lang="en-US"/>
        </a:p>
      </xdr:txBody>
    </xdr:sp>
    <xdr:clientData/>
  </xdr:twoCellAnchor>
  <xdr:twoCellAnchor editAs="absolute">
    <xdr:from>
      <xdr:col>7</xdr:col>
      <xdr:colOff>88900</xdr:colOff>
      <xdr:row>14</xdr:row>
      <xdr:rowOff>139700</xdr:rowOff>
    </xdr:from>
    <xdr:to>
      <xdr:col>15</xdr:col>
      <xdr:colOff>711200</xdr:colOff>
      <xdr:row>24</xdr:row>
      <xdr:rowOff>76200</xdr:rowOff>
    </xdr:to>
    <xdr:graphicFrame macro="">
      <xdr:nvGraphicFramePr>
        <xdr:cNvPr id="8" name="Ch_Coverage">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1</xdr:row>
      <xdr:rowOff>0</xdr:rowOff>
    </xdr:from>
    <xdr:to>
      <xdr:col>29</xdr:col>
      <xdr:colOff>0</xdr:colOff>
      <xdr:row>2</xdr:row>
      <xdr:rowOff>0</xdr:rowOff>
    </xdr:to>
    <xdr:sp macro="" textlink="">
      <xdr:nvSpPr>
        <xdr:cNvPr id="9" name="Rectangle 179">
          <a:extLst>
            <a:ext uri="{FF2B5EF4-FFF2-40B4-BE49-F238E27FC236}">
              <a16:creationId xmlns:a16="http://schemas.microsoft.com/office/drawing/2014/main" id="{00000000-0008-0000-0200-000009000000}"/>
            </a:ext>
          </a:extLst>
        </xdr:cNvPr>
        <xdr:cNvSpPr>
          <a:spLocks noChangeArrowheads="1"/>
        </xdr:cNvSpPr>
      </xdr:nvSpPr>
      <xdr:spPr bwMode="auto">
        <a:xfrm>
          <a:off x="10871200" y="152400"/>
          <a:ext cx="7150100" cy="419100"/>
        </a:xfrm>
        <a:prstGeom prst="rect">
          <a:avLst/>
        </a:prstGeom>
        <a:noFill/>
        <a:ln w="12700">
          <a:solidFill>
            <a:srgbClr xmlns:mc="http://schemas.openxmlformats.org/markup-compatibility/2006" xmlns:a14="http://schemas.microsoft.com/office/drawing/2010/main" val="000000" mc:Ignorable="a14" a14:legacySpreadsheetColorIndex="64"/>
          </a:solidFill>
          <a:miter lim="800000"/>
          <a:headEnd/>
          <a:tailEnd/>
        </a:ln>
        <a:effectLst>
          <a:outerShdw blurRad="63500" dist="38099" dir="2700000" algn="ctr" rotWithShape="0">
            <a:srgbClr val="000000">
              <a:alpha val="74998"/>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txBody>
        <a:bodyPr rtlCol="0"/>
        <a:lstStyle/>
        <a:p>
          <a:endParaRPr lang="en-US"/>
        </a:p>
      </xdr:txBody>
    </xdr:sp>
    <xdr:clientData/>
  </xdr:twoCellAnchor>
  <mc:AlternateContent xmlns:mc="http://schemas.openxmlformats.org/markup-compatibility/2006">
    <mc:Choice xmlns:a14="http://schemas.microsoft.com/office/drawing/2010/main" Requires="a14">
      <xdr:twoCellAnchor editAs="oneCell">
        <xdr:from>
          <xdr:col>17</xdr:col>
          <xdr:colOff>0</xdr:colOff>
          <xdr:row>3</xdr:row>
          <xdr:rowOff>0</xdr:rowOff>
        </xdr:from>
        <xdr:to>
          <xdr:col>20</xdr:col>
          <xdr:colOff>0</xdr:colOff>
          <xdr:row>6</xdr:row>
          <xdr:rowOff>0</xdr:rowOff>
        </xdr:to>
        <xdr:sp macro="" textlink="">
          <xdr:nvSpPr>
            <xdr:cNvPr id="3073" name="Group Box 1" hidden="1">
              <a:extLst>
                <a:ext uri="{63B3BB69-23CF-44E3-9099-C40C66FF867C}">
                  <a14:compatExt spid="_x0000_s3073"/>
                </a:ext>
                <a:ext uri="{FF2B5EF4-FFF2-40B4-BE49-F238E27FC236}">
                  <a16:creationId xmlns:a16="http://schemas.microsoft.com/office/drawing/2014/main" id="{00000000-0008-0000-0200-0000010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1</xdr:col>
      <xdr:colOff>0</xdr:colOff>
      <xdr:row>2</xdr:row>
      <xdr:rowOff>101600</xdr:rowOff>
    </xdr:from>
    <xdr:to>
      <xdr:col>5</xdr:col>
      <xdr:colOff>0</xdr:colOff>
      <xdr:row>26</xdr:row>
      <xdr:rowOff>50800</xdr:rowOff>
    </xdr:to>
    <xdr:sp macro="" textlink="">
      <xdr:nvSpPr>
        <xdr:cNvPr id="11" name="Rectangle 201">
          <a:extLst>
            <a:ext uri="{FF2B5EF4-FFF2-40B4-BE49-F238E27FC236}">
              <a16:creationId xmlns:a16="http://schemas.microsoft.com/office/drawing/2014/main" id="{00000000-0008-0000-0200-00000B000000}"/>
            </a:ext>
          </a:extLst>
        </xdr:cNvPr>
        <xdr:cNvSpPr>
          <a:spLocks noChangeArrowheads="1"/>
        </xdr:cNvSpPr>
      </xdr:nvSpPr>
      <xdr:spPr bwMode="auto">
        <a:xfrm>
          <a:off x="114300" y="673100"/>
          <a:ext cx="4013200" cy="3708400"/>
        </a:xfrm>
        <a:prstGeom prst="rect">
          <a:avLst/>
        </a:prstGeom>
        <a:noFill/>
        <a:ln w="12700">
          <a:solidFill>
            <a:srgbClr xmlns:mc="http://schemas.openxmlformats.org/markup-compatibility/2006" xmlns:a14="http://schemas.microsoft.com/office/drawing/2010/main" val="000000" mc:Ignorable="a14" a14:legacySpreadsheetColorIndex="64"/>
          </a:solidFill>
          <a:miter lim="800000"/>
          <a:headEnd/>
          <a:tailEnd/>
        </a:ln>
        <a:effectLst>
          <a:outerShdw blurRad="63500" dist="38099" dir="2700000" algn="ctr" rotWithShape="0">
            <a:srgbClr val="000000">
              <a:alpha val="74998"/>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txBody>
        <a:bodyPr rtlCol="0"/>
        <a:lstStyle/>
        <a:p>
          <a:endParaRPr lang="en-US"/>
        </a:p>
      </xdr:txBody>
    </xdr:sp>
    <xdr:clientData/>
  </xdr:twoCellAnchor>
  <mc:AlternateContent xmlns:mc="http://schemas.openxmlformats.org/markup-compatibility/2006">
    <mc:Choice xmlns:a14="http://schemas.microsoft.com/office/drawing/2010/main" Requires="a14">
      <xdr:twoCellAnchor>
        <xdr:from>
          <xdr:col>21</xdr:col>
          <xdr:colOff>541020</xdr:colOff>
          <xdr:row>1</xdr:row>
          <xdr:rowOff>68580</xdr:rowOff>
        </xdr:from>
        <xdr:to>
          <xdr:col>24</xdr:col>
          <xdr:colOff>190500</xdr:colOff>
          <xdr:row>1</xdr:row>
          <xdr:rowOff>350520</xdr:rowOff>
        </xdr:to>
        <xdr:sp macro="" textlink="">
          <xdr:nvSpPr>
            <xdr:cNvPr id="3074" name="Button 2" hidden="1">
              <a:extLst>
                <a:ext uri="{63B3BB69-23CF-44E3-9099-C40C66FF867C}">
                  <a14:compatExt spid="_x0000_s3074"/>
                </a:ext>
                <a:ext uri="{FF2B5EF4-FFF2-40B4-BE49-F238E27FC236}">
                  <a16:creationId xmlns:a16="http://schemas.microsoft.com/office/drawing/2014/main" id="{00000000-0008-0000-0200-0000020C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000000"/>
                  </a:solidFill>
                  <a:latin typeface="Arial"/>
                  <a:cs typeface="Arial"/>
                </a:rPr>
                <a:t>Run simulation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3</xdr:row>
          <xdr:rowOff>0</xdr:rowOff>
        </xdr:from>
        <xdr:to>
          <xdr:col>24</xdr:col>
          <xdr:colOff>0</xdr:colOff>
          <xdr:row>11</xdr:row>
          <xdr:rowOff>0</xdr:rowOff>
        </xdr:to>
        <xdr:sp macro="" textlink="">
          <xdr:nvSpPr>
            <xdr:cNvPr id="3075" name="Group Box 3" hidden="1">
              <a:extLst>
                <a:ext uri="{63B3BB69-23CF-44E3-9099-C40C66FF867C}">
                  <a14:compatExt spid="_x0000_s3075"/>
                </a:ext>
                <a:ext uri="{FF2B5EF4-FFF2-40B4-BE49-F238E27FC236}">
                  <a16:creationId xmlns:a16="http://schemas.microsoft.com/office/drawing/2014/main" id="{00000000-0008-0000-0200-0000030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27</xdr:row>
          <xdr:rowOff>30480</xdr:rowOff>
        </xdr:from>
        <xdr:to>
          <xdr:col>2</xdr:col>
          <xdr:colOff>1409700</xdr:colOff>
          <xdr:row>29</xdr:row>
          <xdr:rowOff>76200</xdr:rowOff>
        </xdr:to>
        <xdr:sp macro="" textlink="">
          <xdr:nvSpPr>
            <xdr:cNvPr id="3076" name="Button 4" hidden="1">
              <a:extLst>
                <a:ext uri="{63B3BB69-23CF-44E3-9099-C40C66FF867C}">
                  <a14:compatExt spid="_x0000_s3076"/>
                </a:ext>
                <a:ext uri="{FF2B5EF4-FFF2-40B4-BE49-F238E27FC236}">
                  <a16:creationId xmlns:a16="http://schemas.microsoft.com/office/drawing/2014/main" id="{00000000-0008-0000-0200-0000040C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000000"/>
                  </a:solidFill>
                  <a:latin typeface="Arial"/>
                  <a:cs typeface="Arial"/>
                </a:rPr>
                <a:t>Save assumptions as default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2011680</xdr:colOff>
          <xdr:row>27</xdr:row>
          <xdr:rowOff>38100</xdr:rowOff>
        </xdr:from>
        <xdr:to>
          <xdr:col>4</xdr:col>
          <xdr:colOff>114300</xdr:colOff>
          <xdr:row>29</xdr:row>
          <xdr:rowOff>76200</xdr:rowOff>
        </xdr:to>
        <xdr:sp macro="" textlink="">
          <xdr:nvSpPr>
            <xdr:cNvPr id="3077" name="Button 5" hidden="1">
              <a:extLst>
                <a:ext uri="{63B3BB69-23CF-44E3-9099-C40C66FF867C}">
                  <a14:compatExt spid="_x0000_s3077"/>
                </a:ext>
                <a:ext uri="{FF2B5EF4-FFF2-40B4-BE49-F238E27FC236}">
                  <a16:creationId xmlns:a16="http://schemas.microsoft.com/office/drawing/2014/main" id="{00000000-0008-0000-0200-0000050C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000000"/>
                  </a:solidFill>
                  <a:latin typeface="Arial"/>
                  <a:cs typeface="Arial"/>
                </a:rPr>
                <a:t>Restore default assumptions</a:t>
              </a:r>
            </a:p>
          </xdr:txBody>
        </xdr:sp>
        <xdr:clientData fPrintsWithSheet="0"/>
      </xdr:twoCellAnchor>
    </mc:Choice>
    <mc:Fallback/>
  </mc:AlternateContent>
  <xdr:twoCellAnchor editAs="absolute">
    <xdr:from>
      <xdr:col>17</xdr:col>
      <xdr:colOff>38100</xdr:colOff>
      <xdr:row>12</xdr:row>
      <xdr:rowOff>38100</xdr:rowOff>
    </xdr:from>
    <xdr:to>
      <xdr:col>28</xdr:col>
      <xdr:colOff>736600</xdr:colOff>
      <xdr:row>36</xdr:row>
      <xdr:rowOff>114300</xdr:rowOff>
    </xdr:to>
    <xdr:graphicFrame macro="">
      <xdr:nvGraphicFramePr>
        <xdr:cNvPr id="16" name="Ch_FreqDistReset">
          <a:extLst>
            <a:ext uri="{FF2B5EF4-FFF2-40B4-BE49-F238E27FC236}">
              <a16:creationId xmlns:a16="http://schemas.microsoft.com/office/drawing/2014/main" id="{00000000-0008-0000-02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88900</xdr:colOff>
      <xdr:row>12</xdr:row>
      <xdr:rowOff>28575</xdr:rowOff>
    </xdr:from>
    <xdr:to>
      <xdr:col>28</xdr:col>
      <xdr:colOff>717480</xdr:colOff>
      <xdr:row>36</xdr:row>
      <xdr:rowOff>104775</xdr:rowOff>
    </xdr:to>
    <xdr:sp macro="" textlink="">
      <xdr:nvSpPr>
        <xdr:cNvPr id="17" name="Ch_RiskRunSimNote">
          <a:extLst>
            <a:ext uri="{FF2B5EF4-FFF2-40B4-BE49-F238E27FC236}">
              <a16:creationId xmlns:a16="http://schemas.microsoft.com/office/drawing/2014/main" id="{00000000-0008-0000-0200-000011000000}"/>
            </a:ext>
          </a:extLst>
        </xdr:cNvPr>
        <xdr:cNvSpPr>
          <a:spLocks noChangeArrowheads="1"/>
        </xdr:cNvSpPr>
      </xdr:nvSpPr>
      <xdr:spPr bwMode="auto">
        <a:xfrm>
          <a:off x="10960100" y="2225675"/>
          <a:ext cx="6991280" cy="37338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54864" tIns="45720" rIns="54864" bIns="45720" anchor="ctr" upright="1"/>
        <a:lstStyle/>
        <a:p>
          <a:pPr algn="ctr" rtl="0">
            <a:lnSpc>
              <a:spcPts val="2900"/>
            </a:lnSpc>
            <a:defRPr sz="1000"/>
          </a:pPr>
          <a:r>
            <a:rPr lang="en-CA" sz="2600" b="0" i="0" u="none" strike="noStrike" baseline="0">
              <a:solidFill>
                <a:srgbClr xmlns:mc="http://schemas.openxmlformats.org/markup-compatibility/2006" xmlns:a14="http://schemas.microsoft.com/office/drawing/2010/main" val="FF0000" mc:Ignorable="a14" a14:legacySpreadsheetColorIndex="10"/>
              </a:solidFill>
              <a:latin typeface="Arial"/>
              <a:cs typeface="Arial"/>
            </a:rPr>
            <a:t>Run simulation to see frequency distribution</a:t>
          </a:r>
        </a:p>
      </xdr:txBody>
    </xdr:sp>
    <xdr:clientData/>
  </xdr:twoCellAnchor>
  <xdr:twoCellAnchor>
    <xdr:from>
      <xdr:col>7</xdr:col>
      <xdr:colOff>101600</xdr:colOff>
      <xdr:row>2</xdr:row>
      <xdr:rowOff>127000</xdr:rowOff>
    </xdr:from>
    <xdr:to>
      <xdr:col>16</xdr:col>
      <xdr:colOff>12700</xdr:colOff>
      <xdr:row>14</xdr:row>
      <xdr:rowOff>139700</xdr:rowOff>
    </xdr:to>
    <xdr:graphicFrame macro="">
      <xdr:nvGraphicFramePr>
        <xdr:cNvPr id="18" name="Ch_Risk">
          <a:extLst>
            <a:ext uri="{FF2B5EF4-FFF2-40B4-BE49-F238E27FC236}">
              <a16:creationId xmlns:a16="http://schemas.microsoft.com/office/drawing/2014/main" id="{00000000-0008-0000-02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165100</xdr:colOff>
      <xdr:row>3</xdr:row>
      <xdr:rowOff>0</xdr:rowOff>
    </xdr:from>
    <xdr:to>
      <xdr:col>6</xdr:col>
      <xdr:colOff>177800</xdr:colOff>
      <xdr:row>15</xdr:row>
      <xdr:rowOff>114300</xdr:rowOff>
    </xdr:to>
    <xdr:sp macro="" textlink="">
      <xdr:nvSpPr>
        <xdr:cNvPr id="2" name="Rectangle 473">
          <a:extLst>
            <a:ext uri="{FF2B5EF4-FFF2-40B4-BE49-F238E27FC236}">
              <a16:creationId xmlns:a16="http://schemas.microsoft.com/office/drawing/2014/main" id="{00000000-0008-0000-0300-000002000000}"/>
            </a:ext>
          </a:extLst>
        </xdr:cNvPr>
        <xdr:cNvSpPr>
          <a:spLocks noChangeArrowheads="1"/>
        </xdr:cNvSpPr>
      </xdr:nvSpPr>
      <xdr:spPr bwMode="auto">
        <a:xfrm>
          <a:off x="165100" y="863600"/>
          <a:ext cx="6718300" cy="1943100"/>
        </a:xfrm>
        <a:prstGeom prst="rect">
          <a:avLst/>
        </a:prstGeom>
        <a:noFill/>
        <a:ln w="12700">
          <a:solidFill>
            <a:srgbClr xmlns:mc="http://schemas.openxmlformats.org/markup-compatibility/2006" xmlns:a14="http://schemas.microsoft.com/office/drawing/2010/main" val="000000" mc:Ignorable="a14" a14:legacySpreadsheetColorIndex="64"/>
          </a:solidFill>
          <a:miter lim="800000"/>
          <a:headEnd/>
          <a:tailEnd/>
        </a:ln>
        <a:effectLst>
          <a:outerShdw blurRad="63500" dist="38099" dir="2700000" algn="ctr" rotWithShape="0">
            <a:srgbClr val="000000">
              <a:alpha val="74998"/>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txBody>
        <a:bodyPr rtlCol="0"/>
        <a:lstStyle/>
        <a:p>
          <a:endParaRPr lang="en-US"/>
        </a:p>
      </xdr:txBody>
    </xdr:sp>
    <xdr:clientData/>
  </xdr:twoCellAnchor>
  <xdr:twoCellAnchor>
    <xdr:from>
      <xdr:col>0</xdr:col>
      <xdr:colOff>165100</xdr:colOff>
      <xdr:row>18</xdr:row>
      <xdr:rowOff>114300</xdr:rowOff>
    </xdr:from>
    <xdr:to>
      <xdr:col>6</xdr:col>
      <xdr:colOff>177800</xdr:colOff>
      <xdr:row>26</xdr:row>
      <xdr:rowOff>101600</xdr:rowOff>
    </xdr:to>
    <xdr:sp macro="" textlink="">
      <xdr:nvSpPr>
        <xdr:cNvPr id="3" name="Rectangle 475">
          <a:extLst>
            <a:ext uri="{FF2B5EF4-FFF2-40B4-BE49-F238E27FC236}">
              <a16:creationId xmlns:a16="http://schemas.microsoft.com/office/drawing/2014/main" id="{00000000-0008-0000-0300-000003000000}"/>
            </a:ext>
          </a:extLst>
        </xdr:cNvPr>
        <xdr:cNvSpPr>
          <a:spLocks noChangeArrowheads="1"/>
        </xdr:cNvSpPr>
      </xdr:nvSpPr>
      <xdr:spPr bwMode="auto">
        <a:xfrm>
          <a:off x="165100" y="3327400"/>
          <a:ext cx="6718300" cy="1358900"/>
        </a:xfrm>
        <a:prstGeom prst="rect">
          <a:avLst/>
        </a:prstGeom>
        <a:noFill/>
        <a:ln w="12700">
          <a:solidFill>
            <a:srgbClr xmlns:mc="http://schemas.openxmlformats.org/markup-compatibility/2006" xmlns:a14="http://schemas.microsoft.com/office/drawing/2010/main" val="000000" mc:Ignorable="a14" a14:legacySpreadsheetColorIndex="64"/>
          </a:solidFill>
          <a:miter lim="800000"/>
          <a:headEnd/>
          <a:tailEnd/>
        </a:ln>
        <a:effectLst>
          <a:outerShdw blurRad="63500" dist="38099" dir="2700000" algn="ctr" rotWithShape="0">
            <a:srgbClr val="000000">
              <a:alpha val="74998"/>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txBody>
        <a:bodyPr rtlCol="0"/>
        <a:lstStyle/>
        <a:p>
          <a:endParaRPr lang="en-US"/>
        </a:p>
      </xdr:txBody>
    </xdr:sp>
    <xdr:clientData/>
  </xdr:twoCellAnchor>
  <xdr:twoCellAnchor>
    <xdr:from>
      <xdr:col>0</xdr:col>
      <xdr:colOff>165100</xdr:colOff>
      <xdr:row>44</xdr:row>
      <xdr:rowOff>114300</xdr:rowOff>
    </xdr:from>
    <xdr:to>
      <xdr:col>6</xdr:col>
      <xdr:colOff>177800</xdr:colOff>
      <xdr:row>61</xdr:row>
      <xdr:rowOff>101600</xdr:rowOff>
    </xdr:to>
    <xdr:sp macro="" textlink="">
      <xdr:nvSpPr>
        <xdr:cNvPr id="4" name="Rectangle 476">
          <a:extLst>
            <a:ext uri="{FF2B5EF4-FFF2-40B4-BE49-F238E27FC236}">
              <a16:creationId xmlns:a16="http://schemas.microsoft.com/office/drawing/2014/main" id="{00000000-0008-0000-0300-000004000000}"/>
            </a:ext>
          </a:extLst>
        </xdr:cNvPr>
        <xdr:cNvSpPr>
          <a:spLocks noChangeArrowheads="1"/>
        </xdr:cNvSpPr>
      </xdr:nvSpPr>
      <xdr:spPr bwMode="auto">
        <a:xfrm>
          <a:off x="165100" y="7937500"/>
          <a:ext cx="6718300" cy="2730500"/>
        </a:xfrm>
        <a:prstGeom prst="rect">
          <a:avLst/>
        </a:prstGeom>
        <a:noFill/>
        <a:ln w="12700">
          <a:solidFill>
            <a:srgbClr xmlns:mc="http://schemas.openxmlformats.org/markup-compatibility/2006" xmlns:a14="http://schemas.microsoft.com/office/drawing/2010/main" val="000000" mc:Ignorable="a14" a14:legacySpreadsheetColorIndex="64"/>
          </a:solidFill>
          <a:miter lim="800000"/>
          <a:headEnd/>
          <a:tailEnd/>
        </a:ln>
        <a:effectLst>
          <a:outerShdw blurRad="63500" dist="38099" dir="2700000" algn="ctr" rotWithShape="0">
            <a:srgbClr val="000000">
              <a:alpha val="74998"/>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txBody>
        <a:bodyPr rtlCol="0"/>
        <a:lstStyle/>
        <a:p>
          <a:endParaRPr lang="en-US"/>
        </a:p>
      </xdr:txBody>
    </xdr:sp>
    <xdr:clientData/>
  </xdr:twoCellAnchor>
  <xdr:twoCellAnchor>
    <xdr:from>
      <xdr:col>0</xdr:col>
      <xdr:colOff>165100</xdr:colOff>
      <xdr:row>37</xdr:row>
      <xdr:rowOff>76200</xdr:rowOff>
    </xdr:from>
    <xdr:to>
      <xdr:col>6</xdr:col>
      <xdr:colOff>177800</xdr:colOff>
      <xdr:row>41</xdr:row>
      <xdr:rowOff>101600</xdr:rowOff>
    </xdr:to>
    <xdr:sp macro="" textlink="">
      <xdr:nvSpPr>
        <xdr:cNvPr id="5" name="Rectangle 478">
          <a:extLst>
            <a:ext uri="{FF2B5EF4-FFF2-40B4-BE49-F238E27FC236}">
              <a16:creationId xmlns:a16="http://schemas.microsoft.com/office/drawing/2014/main" id="{00000000-0008-0000-0300-000005000000}"/>
            </a:ext>
          </a:extLst>
        </xdr:cNvPr>
        <xdr:cNvSpPr>
          <a:spLocks noChangeArrowheads="1"/>
        </xdr:cNvSpPr>
      </xdr:nvSpPr>
      <xdr:spPr bwMode="auto">
        <a:xfrm>
          <a:off x="165100" y="6616700"/>
          <a:ext cx="6718300" cy="787400"/>
        </a:xfrm>
        <a:prstGeom prst="rect">
          <a:avLst/>
        </a:prstGeom>
        <a:noFill/>
        <a:ln w="12700">
          <a:solidFill>
            <a:srgbClr xmlns:mc="http://schemas.openxmlformats.org/markup-compatibility/2006" xmlns:a14="http://schemas.microsoft.com/office/drawing/2010/main" val="000000" mc:Ignorable="a14" a14:legacySpreadsheetColorIndex="64"/>
          </a:solidFill>
          <a:miter lim="800000"/>
          <a:headEnd/>
          <a:tailEnd/>
        </a:ln>
        <a:effectLst>
          <a:outerShdw blurRad="63500" dist="38099" dir="2700000" algn="ctr" rotWithShape="0">
            <a:srgbClr val="000000">
              <a:alpha val="74998"/>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txBody>
        <a:bodyPr rtlCol="0"/>
        <a:lstStyle/>
        <a:p>
          <a:endParaRPr lang="en-US"/>
        </a:p>
      </xdr:txBody>
    </xdr:sp>
    <xdr:clientData/>
  </xdr:twoCellAnchor>
  <xdr:twoCellAnchor>
    <xdr:from>
      <xdr:col>0</xdr:col>
      <xdr:colOff>165100</xdr:colOff>
      <xdr:row>30</xdr:row>
      <xdr:rowOff>0</xdr:rowOff>
    </xdr:from>
    <xdr:to>
      <xdr:col>6</xdr:col>
      <xdr:colOff>177800</xdr:colOff>
      <xdr:row>34</xdr:row>
      <xdr:rowOff>114300</xdr:rowOff>
    </xdr:to>
    <xdr:sp macro="" textlink="">
      <xdr:nvSpPr>
        <xdr:cNvPr id="6" name="Rectangle 573">
          <a:extLst>
            <a:ext uri="{FF2B5EF4-FFF2-40B4-BE49-F238E27FC236}">
              <a16:creationId xmlns:a16="http://schemas.microsoft.com/office/drawing/2014/main" id="{00000000-0008-0000-0300-000006000000}"/>
            </a:ext>
          </a:extLst>
        </xdr:cNvPr>
        <xdr:cNvSpPr>
          <a:spLocks noChangeArrowheads="1"/>
        </xdr:cNvSpPr>
      </xdr:nvSpPr>
      <xdr:spPr bwMode="auto">
        <a:xfrm>
          <a:off x="165100" y="5257800"/>
          <a:ext cx="6718300" cy="876300"/>
        </a:xfrm>
        <a:prstGeom prst="rect">
          <a:avLst/>
        </a:prstGeom>
        <a:noFill/>
        <a:ln w="12700">
          <a:solidFill>
            <a:srgbClr xmlns:mc="http://schemas.openxmlformats.org/markup-compatibility/2006" xmlns:a14="http://schemas.microsoft.com/office/drawing/2010/main" val="000000" mc:Ignorable="a14" a14:legacySpreadsheetColorIndex="64"/>
          </a:solidFill>
          <a:miter lim="800000"/>
          <a:headEnd/>
          <a:tailEnd/>
        </a:ln>
        <a:effectLst>
          <a:outerShdw blurRad="63500" dist="38099" dir="2700000" algn="ctr" rotWithShape="0">
            <a:srgbClr val="000000">
              <a:alpha val="74998"/>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txBody>
        <a:bodyPr rtlCol="0"/>
        <a:lstStyle/>
        <a:p>
          <a:endParaRPr lang="en-US"/>
        </a:p>
      </xdr:txBody>
    </xdr:sp>
    <xdr:clientData/>
  </xdr:twoCellAnchor>
  <xdr:twoCellAnchor>
    <xdr:from>
      <xdr:col>0</xdr:col>
      <xdr:colOff>165100</xdr:colOff>
      <xdr:row>64</xdr:row>
      <xdr:rowOff>88900</xdr:rowOff>
    </xdr:from>
    <xdr:to>
      <xdr:col>6</xdr:col>
      <xdr:colOff>177800</xdr:colOff>
      <xdr:row>68</xdr:row>
      <xdr:rowOff>88900</xdr:rowOff>
    </xdr:to>
    <xdr:sp macro="" textlink="">
      <xdr:nvSpPr>
        <xdr:cNvPr id="7" name="Rectangle 588">
          <a:extLst>
            <a:ext uri="{FF2B5EF4-FFF2-40B4-BE49-F238E27FC236}">
              <a16:creationId xmlns:a16="http://schemas.microsoft.com/office/drawing/2014/main" id="{00000000-0008-0000-0300-000007000000}"/>
            </a:ext>
          </a:extLst>
        </xdr:cNvPr>
        <xdr:cNvSpPr>
          <a:spLocks noChangeArrowheads="1"/>
        </xdr:cNvSpPr>
      </xdr:nvSpPr>
      <xdr:spPr bwMode="auto">
        <a:xfrm>
          <a:off x="165100" y="11176000"/>
          <a:ext cx="6718300" cy="609600"/>
        </a:xfrm>
        <a:prstGeom prst="rect">
          <a:avLst/>
        </a:prstGeom>
        <a:noFill/>
        <a:ln w="12700">
          <a:solidFill>
            <a:srgbClr xmlns:mc="http://schemas.openxmlformats.org/markup-compatibility/2006" xmlns:a14="http://schemas.microsoft.com/office/drawing/2010/main" val="000000" mc:Ignorable="a14" a14:legacySpreadsheetColorIndex="64"/>
          </a:solidFill>
          <a:miter lim="800000"/>
          <a:headEnd/>
          <a:tailEnd/>
        </a:ln>
        <a:effectLst>
          <a:outerShdw blurRad="63500" dist="38099" dir="2700000" algn="ctr" rotWithShape="0">
            <a:srgbClr val="000000">
              <a:alpha val="74998"/>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txBody>
        <a:bodyPr rtlCol="0"/>
        <a:lstStyle/>
        <a:p>
          <a:endParaRPr lang="en-US"/>
        </a:p>
      </xdr:txBody>
    </xdr:sp>
    <xdr:clientData/>
  </xdr:twoCellAnchor>
  <xdr:twoCellAnchor>
    <xdr:from>
      <xdr:col>0</xdr:col>
      <xdr:colOff>165100</xdr:colOff>
      <xdr:row>71</xdr:row>
      <xdr:rowOff>76200</xdr:rowOff>
    </xdr:from>
    <xdr:to>
      <xdr:col>6</xdr:col>
      <xdr:colOff>177800</xdr:colOff>
      <xdr:row>73</xdr:row>
      <xdr:rowOff>101600</xdr:rowOff>
    </xdr:to>
    <xdr:sp macro="" textlink="">
      <xdr:nvSpPr>
        <xdr:cNvPr id="8" name="Rectangle 605">
          <a:extLst>
            <a:ext uri="{FF2B5EF4-FFF2-40B4-BE49-F238E27FC236}">
              <a16:creationId xmlns:a16="http://schemas.microsoft.com/office/drawing/2014/main" id="{00000000-0008-0000-0300-000008000000}"/>
            </a:ext>
          </a:extLst>
        </xdr:cNvPr>
        <xdr:cNvSpPr>
          <a:spLocks noChangeArrowheads="1"/>
        </xdr:cNvSpPr>
      </xdr:nvSpPr>
      <xdr:spPr bwMode="auto">
        <a:xfrm>
          <a:off x="165100" y="12293600"/>
          <a:ext cx="6718300" cy="330200"/>
        </a:xfrm>
        <a:prstGeom prst="rect">
          <a:avLst/>
        </a:prstGeom>
        <a:noFill/>
        <a:ln w="12700">
          <a:solidFill>
            <a:srgbClr xmlns:mc="http://schemas.openxmlformats.org/markup-compatibility/2006" xmlns:a14="http://schemas.microsoft.com/office/drawing/2010/main" val="000000" mc:Ignorable="a14" a14:legacySpreadsheetColorIndex="64"/>
          </a:solidFill>
          <a:miter lim="800000"/>
          <a:headEnd/>
          <a:tailEnd/>
        </a:ln>
        <a:effectLst>
          <a:outerShdw blurRad="63500" dist="38099" dir="2700000" algn="ctr" rotWithShape="0">
            <a:srgbClr val="000000">
              <a:alpha val="74998"/>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txBody>
        <a:bodyPr rtlCol="0"/>
        <a:lstStyle/>
        <a:p>
          <a:endParaRPr lang="en-US"/>
        </a:p>
      </xdr:txBody>
    </xdr:sp>
    <xdr:clientData/>
  </xdr:twoCellAnchor>
  <xdr:twoCellAnchor>
    <xdr:from>
      <xdr:col>7</xdr:col>
      <xdr:colOff>0</xdr:colOff>
      <xdr:row>7</xdr:row>
      <xdr:rowOff>63500</xdr:rowOff>
    </xdr:from>
    <xdr:to>
      <xdr:col>16</xdr:col>
      <xdr:colOff>177800</xdr:colOff>
      <xdr:row>24</xdr:row>
      <xdr:rowOff>12700</xdr:rowOff>
    </xdr:to>
    <xdr:sp macro="" textlink="">
      <xdr:nvSpPr>
        <xdr:cNvPr id="9" name="Rectangle 681">
          <a:extLst>
            <a:ext uri="{FF2B5EF4-FFF2-40B4-BE49-F238E27FC236}">
              <a16:creationId xmlns:a16="http://schemas.microsoft.com/office/drawing/2014/main" id="{00000000-0008-0000-0300-000009000000}"/>
            </a:ext>
          </a:extLst>
        </xdr:cNvPr>
        <xdr:cNvSpPr>
          <a:spLocks noChangeArrowheads="1"/>
        </xdr:cNvSpPr>
      </xdr:nvSpPr>
      <xdr:spPr bwMode="auto">
        <a:xfrm>
          <a:off x="7124700" y="1536700"/>
          <a:ext cx="5740400" cy="27559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blurRad="63500" dist="53882" dir="2700000" algn="ctr" rotWithShape="0">
            <a:srgbClr val="000000">
              <a:alpha val="74998"/>
            </a:srgbClr>
          </a:outerShdw>
        </a:effectLst>
      </xdr:spPr>
      <xdr:txBody>
        <a:bodyPr rtlCol="0"/>
        <a:lstStyle/>
        <a:p>
          <a:endParaRPr lang="en-US"/>
        </a:p>
      </xdr:txBody>
    </xdr:sp>
    <xdr:clientData/>
  </xdr:twoCellAnchor>
  <mc:AlternateContent xmlns:mc="http://schemas.openxmlformats.org/markup-compatibility/2006">
    <mc:Choice xmlns:a14="http://schemas.microsoft.com/office/drawing/2010/main" Requires="a14">
      <xdr:twoCellAnchor editAs="oneCell">
        <xdr:from>
          <xdr:col>7</xdr:col>
          <xdr:colOff>83820</xdr:colOff>
          <xdr:row>3</xdr:row>
          <xdr:rowOff>0</xdr:rowOff>
        </xdr:from>
        <xdr:to>
          <xdr:col>9</xdr:col>
          <xdr:colOff>335280</xdr:colOff>
          <xdr:row>4</xdr:row>
          <xdr:rowOff>68580</xdr:rowOff>
        </xdr:to>
        <xdr:sp macro="" textlink="">
          <xdr:nvSpPr>
            <xdr:cNvPr id="4097" name="Option Button 1" hidden="1">
              <a:extLst>
                <a:ext uri="{63B3BB69-23CF-44E3-9099-C40C66FF867C}">
                  <a14:compatExt spid="_x0000_s4097"/>
                </a:ext>
                <a:ext uri="{FF2B5EF4-FFF2-40B4-BE49-F238E27FC236}">
                  <a16:creationId xmlns:a16="http://schemas.microsoft.com/office/drawing/2014/main" id="{00000000-0008-0000-0300-00000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Exchange rate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4</xdr:row>
          <xdr:rowOff>30480</xdr:rowOff>
        </xdr:from>
        <xdr:to>
          <xdr:col>9</xdr:col>
          <xdr:colOff>228600</xdr:colOff>
          <xdr:row>5</xdr:row>
          <xdr:rowOff>83820</xdr:rowOff>
        </xdr:to>
        <xdr:sp macro="" textlink="">
          <xdr:nvSpPr>
            <xdr:cNvPr id="4098" name="Option Button 2" hidden="1">
              <a:extLst>
                <a:ext uri="{63B3BB69-23CF-44E3-9099-C40C66FF867C}">
                  <a14:compatExt spid="_x0000_s4098"/>
                </a:ext>
                <a:ext uri="{FF2B5EF4-FFF2-40B4-BE49-F238E27FC236}">
                  <a16:creationId xmlns:a16="http://schemas.microsoft.com/office/drawing/2014/main" id="{00000000-0008-0000-03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Inflation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83820</xdr:colOff>
          <xdr:row>5</xdr:row>
          <xdr:rowOff>45720</xdr:rowOff>
        </xdr:from>
        <xdr:to>
          <xdr:col>9</xdr:col>
          <xdr:colOff>381000</xdr:colOff>
          <xdr:row>6</xdr:row>
          <xdr:rowOff>114300</xdr:rowOff>
        </xdr:to>
        <xdr:sp macro="" textlink="">
          <xdr:nvSpPr>
            <xdr:cNvPr id="4099" name="Option Button 3" hidden="1">
              <a:extLst>
                <a:ext uri="{63B3BB69-23CF-44E3-9099-C40C66FF867C}">
                  <a14:compatExt spid="_x0000_s4099"/>
                </a:ext>
                <a:ext uri="{FF2B5EF4-FFF2-40B4-BE49-F238E27FC236}">
                  <a16:creationId xmlns:a16="http://schemas.microsoft.com/office/drawing/2014/main" id="{00000000-0008-0000-0300-00000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Billable demand</a:t>
              </a:r>
            </a:p>
          </xdr:txBody>
        </xdr:sp>
        <xdr:clientData/>
      </xdr:twoCellAnchor>
    </mc:Choice>
    <mc:Fallback/>
  </mc:AlternateContent>
  <xdr:twoCellAnchor>
    <xdr:from>
      <xdr:col>7</xdr:col>
      <xdr:colOff>38100</xdr:colOff>
      <xdr:row>7</xdr:row>
      <xdr:rowOff>101600</xdr:rowOff>
    </xdr:from>
    <xdr:to>
      <xdr:col>16</xdr:col>
      <xdr:colOff>101600</xdr:colOff>
      <xdr:row>23</xdr:row>
      <xdr:rowOff>88900</xdr:rowOff>
    </xdr:to>
    <xdr:graphicFrame macro="">
      <xdr:nvGraphicFramePr>
        <xdr:cNvPr id="13" name="Ch_EcData">
          <a:extLst>
            <a:ext uri="{FF2B5EF4-FFF2-40B4-BE49-F238E27FC236}">
              <a16:creationId xmlns:a16="http://schemas.microsoft.com/office/drawing/2014/main" id="{00000000-0008-0000-03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7</xdr:col>
          <xdr:colOff>0</xdr:colOff>
          <xdr:row>2</xdr:row>
          <xdr:rowOff>0</xdr:rowOff>
        </xdr:from>
        <xdr:to>
          <xdr:col>10</xdr:col>
          <xdr:colOff>7620</xdr:colOff>
          <xdr:row>7</xdr:row>
          <xdr:rowOff>0</xdr:rowOff>
        </xdr:to>
        <xdr:sp macro="" textlink="">
          <xdr:nvSpPr>
            <xdr:cNvPr id="4100" name="Group Box 4" hidden="1">
              <a:extLst>
                <a:ext uri="{63B3BB69-23CF-44E3-9099-C40C66FF867C}">
                  <a14:compatExt spid="_x0000_s4100"/>
                </a:ext>
                <a:ext uri="{FF2B5EF4-FFF2-40B4-BE49-F238E27FC236}">
                  <a16:creationId xmlns:a16="http://schemas.microsoft.com/office/drawing/2014/main" id="{00000000-0008-0000-0300-0000041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afaelnicolasfermincota/Desktop/EUM/Dropbox/EUM%20Groups/INFRASTRUCTURE1/Policy%20simulation%20mode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Introduction"/>
      <sheetName val="Policy choices"/>
      <sheetName val="Other assumptions"/>
      <sheetName val="Analysis - No risk"/>
      <sheetName val="Analysis - with risk"/>
      <sheetName val="SWPNZPSYWSLKSESPZO"/>
      <sheetName val="Sheet1"/>
      <sheetName val="Sheet2"/>
      <sheetName val="Sheet3"/>
      <sheetName val="Sheet4"/>
      <sheetName val="Sheet5"/>
      <sheetName val="Sheet6"/>
      <sheetName val="Sheet7"/>
      <sheetName val="Policy simulation model"/>
    </sheetNames>
    <definedNames>
      <definedName name="FormatEcChartXAxis"/>
      <definedName name="RestoreDefault"/>
      <definedName name="SaveAsDefault"/>
      <definedName name="Simulate"/>
    </definedNames>
    <sheetDataSet>
      <sheetData sheetId="0"/>
      <sheetData sheetId="1"/>
      <sheetData sheetId="2"/>
      <sheetData sheetId="3"/>
      <sheetData sheetId="4"/>
      <sheetData sheetId="5">
        <row r="2">
          <cell r="D2">
            <v>0</v>
          </cell>
        </row>
      </sheetData>
      <sheetData sheetId="6"/>
      <sheetData sheetId="7"/>
      <sheetData sheetId="8"/>
      <sheetData sheetId="9"/>
      <sheetData sheetId="10"/>
      <sheetData sheetId="11"/>
      <sheetData sheetId="12"/>
      <sheetData sheetId="13"/>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trlProp" Target="../ctrlProps/ctrlProp6.xml"/><Relationship Id="rId7"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 Id="rId6" Type="http://schemas.openxmlformats.org/officeDocument/2006/relationships/ctrlProp" Target="../ctrlProps/ctrlProp9.xml"/><Relationship Id="rId5" Type="http://schemas.openxmlformats.org/officeDocument/2006/relationships/ctrlProp" Target="../ctrlProps/ctrlProp8.xml"/><Relationship Id="rId4" Type="http://schemas.openxmlformats.org/officeDocument/2006/relationships/ctrlProp" Target="../ctrlProps/ctrlProp7.x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tSetup">
    <pageSetUpPr autoPageBreaks="0"/>
  </sheetPr>
  <dimension ref="B1:H378"/>
  <sheetViews>
    <sheetView workbookViewId="0">
      <selection activeCell="F24" sqref="F24"/>
    </sheetView>
  </sheetViews>
  <sheetFormatPr defaultColWidth="9.109375" defaultRowHeight="13.2"/>
  <cols>
    <col min="1" max="2" width="4.33203125" style="80" customWidth="1"/>
    <col min="3" max="3" width="20" style="80" customWidth="1"/>
    <col min="4" max="4" width="17.6640625" style="80" bestFit="1" customWidth="1"/>
    <col min="5" max="5" width="24.6640625" style="80" bestFit="1" customWidth="1"/>
    <col min="6" max="6" width="25.109375" style="80" customWidth="1"/>
    <col min="7" max="7" width="9.109375" style="80"/>
    <col min="8" max="8" width="4.33203125" style="80" customWidth="1"/>
    <col min="9" max="9" width="20" style="80" customWidth="1"/>
    <col min="10" max="11" width="4.33203125" style="80" customWidth="1"/>
    <col min="12" max="12" width="20" style="80" customWidth="1"/>
    <col min="13" max="14" width="4.33203125" style="80" customWidth="1"/>
    <col min="15" max="15" width="20" style="80" customWidth="1"/>
    <col min="16" max="16384" width="9.109375" style="80"/>
  </cols>
  <sheetData>
    <row r="1" spans="2:8" s="2" customFormat="1" ht="37.5" customHeight="1" thickBot="1">
      <c r="B1" s="1" t="s">
        <v>0</v>
      </c>
      <c r="E1" s="1"/>
      <c r="G1" s="1" t="s">
        <v>1</v>
      </c>
    </row>
    <row r="2" spans="2:8" s="3" customFormat="1"/>
    <row r="3" spans="2:8" s="3" customFormat="1">
      <c r="B3" s="4" t="s">
        <v>2</v>
      </c>
      <c r="C3" s="5"/>
      <c r="F3" s="6" t="s">
        <v>3</v>
      </c>
    </row>
    <row r="4" spans="2:8" s="3" customFormat="1">
      <c r="B4" s="3" t="s">
        <v>4</v>
      </c>
      <c r="C4" s="5"/>
      <c r="F4" s="3" t="s">
        <v>5</v>
      </c>
      <c r="G4" s="3" t="s">
        <v>6</v>
      </c>
      <c r="H4" s="7">
        <v>40</v>
      </c>
    </row>
    <row r="5" spans="2:8" s="3" customFormat="1">
      <c r="C5" s="7" t="s">
        <v>7</v>
      </c>
      <c r="D5" s="8">
        <f>VLOOKUP(C5,C13:D14,2,FALSE)</f>
        <v>1000000</v>
      </c>
    </row>
    <row r="6" spans="2:8" s="3" customFormat="1">
      <c r="B6" s="3" t="s">
        <v>8</v>
      </c>
      <c r="F6" s="6" t="s">
        <v>9</v>
      </c>
    </row>
    <row r="7" spans="2:8" s="3" customFormat="1">
      <c r="C7" s="7" t="s">
        <v>7</v>
      </c>
      <c r="D7" s="8">
        <f>VLOOKUP(C7,C13:D14,2,FALSE)</f>
        <v>1000000</v>
      </c>
      <c r="F7" s="9" t="s">
        <v>10</v>
      </c>
    </row>
    <row r="8" spans="2:8" s="3" customFormat="1">
      <c r="F8" s="10" t="s">
        <v>11</v>
      </c>
    </row>
    <row r="9" spans="2:8" s="3" customFormat="1">
      <c r="B9" s="4" t="s">
        <v>12</v>
      </c>
      <c r="F9" s="10" t="s">
        <v>13</v>
      </c>
    </row>
    <row r="10" spans="2:8" s="3" customFormat="1">
      <c r="C10" s="3" t="s">
        <v>14</v>
      </c>
      <c r="D10" s="3" t="s">
        <v>15</v>
      </c>
      <c r="F10" s="11" t="s">
        <v>16</v>
      </c>
    </row>
    <row r="11" spans="2:8" s="3" customFormat="1">
      <c r="C11" s="3" t="s">
        <v>17</v>
      </c>
      <c r="D11" s="3" t="s">
        <v>18</v>
      </c>
    </row>
    <row r="12" spans="2:8" s="3" customFormat="1">
      <c r="C12" s="12"/>
    </row>
    <row r="13" spans="2:8" s="3" customFormat="1">
      <c r="C13" s="3" t="s">
        <v>19</v>
      </c>
      <c r="D13" s="13">
        <v>1000</v>
      </c>
    </row>
    <row r="14" spans="2:8" s="3" customFormat="1">
      <c r="C14" s="3" t="s">
        <v>7</v>
      </c>
      <c r="D14" s="13">
        <v>1000000</v>
      </c>
    </row>
    <row r="15" spans="2:8" s="3" customFormat="1">
      <c r="C15" s="3" t="s">
        <v>20</v>
      </c>
      <c r="D15" s="3" t="s">
        <v>21</v>
      </c>
    </row>
    <row r="16" spans="2:8" s="3" customFormat="1">
      <c r="C16" s="3" t="s">
        <v>22</v>
      </c>
      <c r="D16" s="3" t="s">
        <v>23</v>
      </c>
    </row>
    <row r="17" spans="2:4" s="3" customFormat="1"/>
    <row r="18" spans="2:4" s="3" customFormat="1">
      <c r="B18" s="12" t="s">
        <v>24</v>
      </c>
      <c r="D18" s="14">
        <v>20</v>
      </c>
    </row>
    <row r="19" spans="2:4" s="3" customFormat="1">
      <c r="B19" s="6"/>
      <c r="D19" s="15"/>
    </row>
    <row r="20" spans="2:4" s="3" customFormat="1">
      <c r="B20" s="12" t="s">
        <v>24</v>
      </c>
      <c r="D20" s="14">
        <v>20</v>
      </c>
    </row>
    <row r="21" spans="2:4" s="3" customFormat="1">
      <c r="B21" s="6"/>
      <c r="D21" s="15"/>
    </row>
    <row r="22" spans="2:4" s="3" customFormat="1">
      <c r="B22" s="4" t="s">
        <v>25</v>
      </c>
    </row>
    <row r="23" spans="2:4" s="3" customFormat="1">
      <c r="B23" s="12" t="s">
        <v>26</v>
      </c>
      <c r="D23" s="16">
        <v>1</v>
      </c>
    </row>
    <row r="24" spans="2:4" s="3" customFormat="1">
      <c r="B24" s="6"/>
      <c r="C24" s="3" t="str">
        <f>"(Existing service coverage is " &amp; 'Other assumptions'!$D$15*100 &amp; "%)"</f>
        <v>(Existing service coverage is 50%)</v>
      </c>
      <c r="D24" s="15"/>
    </row>
    <row r="25" spans="2:4" s="3" customFormat="1">
      <c r="B25" s="12" t="s">
        <v>27</v>
      </c>
      <c r="D25" s="17">
        <v>10</v>
      </c>
    </row>
    <row r="26" spans="2:4" s="3" customFormat="1">
      <c r="C26" s="6"/>
    </row>
    <row r="27" spans="2:4" s="3" customFormat="1">
      <c r="B27" s="4" t="s">
        <v>28</v>
      </c>
    </row>
    <row r="28" spans="2:4" s="3" customFormat="1">
      <c r="C28" s="12" t="str">
        <f>"Annual fixed payment (" &amp;MonDenomination &amp; " of " &amp; lbl_LocalCurrency&amp;")"</f>
        <v>Annual fixed payment (Millions of pesos)</v>
      </c>
      <c r="D28" s="18">
        <v>0</v>
      </c>
    </row>
    <row r="29" spans="2:4" s="3" customFormat="1">
      <c r="C29" s="12" t="str">
        <f>" (Operating cost in Year 0 is " &amp; ROUND('Analysis - No risk'!$D$30+'Analysis - No risk'!$D$33*'Analysis - No risk'!$D$21+'Analysis - No risk'!$D$31*'Analysis - No risk'!$D$8+'Analysis - No risk'!$D$34*'Analysis - No risk'!$D$21*'Analysis - No risk'!$D$8,0) &amp; " Million " &amp; lbl_LocalCurrency&amp; ")"</f>
        <v xml:space="preserve"> (Operating cost in Year 0 is 47 Million pesos)</v>
      </c>
    </row>
    <row r="30" spans="2:4" s="3" customFormat="1">
      <c r="C30" s="19"/>
    </row>
    <row r="31" spans="2:4" s="3" customFormat="1">
      <c r="B31" s="4" t="s">
        <v>29</v>
      </c>
    </row>
    <row r="32" spans="2:4" s="3" customFormat="1">
      <c r="C32" s="3" t="s">
        <v>30</v>
      </c>
      <c r="D32" s="20">
        <v>0.5</v>
      </c>
    </row>
    <row r="33" spans="2:6" s="3" customFormat="1">
      <c r="C33" s="3" t="s">
        <v>31</v>
      </c>
      <c r="D33" s="21">
        <f>1-ServExt_LoanPct</f>
        <v>0.5</v>
      </c>
    </row>
    <row r="34" spans="2:6" s="3" customFormat="1"/>
    <row r="35" spans="2:6" s="3" customFormat="1">
      <c r="C35" s="3" t="s">
        <v>32</v>
      </c>
      <c r="D35" s="20">
        <v>0.5</v>
      </c>
    </row>
    <row r="36" spans="2:6" s="3" customFormat="1">
      <c r="C36" s="3" t="s">
        <v>33</v>
      </c>
      <c r="D36" s="22" t="s">
        <v>18</v>
      </c>
    </row>
    <row r="37" spans="2:6" s="3" customFormat="1">
      <c r="C37" s="3" t="s">
        <v>34</v>
      </c>
      <c r="D37" s="23">
        <v>20</v>
      </c>
    </row>
    <row r="38" spans="2:6" s="3" customFormat="1">
      <c r="C38" s="3" t="s">
        <v>35</v>
      </c>
      <c r="D38" s="24">
        <v>5</v>
      </c>
    </row>
    <row r="39" spans="2:6" s="3" customFormat="1"/>
    <row r="40" spans="2:6" s="3" customFormat="1">
      <c r="B40" s="4" t="s">
        <v>36</v>
      </c>
    </row>
    <row r="41" spans="2:6" s="3" customFormat="1">
      <c r="B41" s="6" t="s">
        <v>37</v>
      </c>
    </row>
    <row r="42" spans="2:6" s="3" customFormat="1">
      <c r="C42" s="3" t="s">
        <v>38</v>
      </c>
      <c r="D42" s="25">
        <v>5</v>
      </c>
    </row>
    <row r="43" spans="2:6" s="3" customFormat="1"/>
    <row r="44" spans="2:6" s="3" customFormat="1">
      <c r="B44" s="4" t="s">
        <v>39</v>
      </c>
      <c r="D44" s="26"/>
      <c r="E44" s="26"/>
      <c r="F44" s="26"/>
    </row>
    <row r="45" spans="2:6" s="3" customFormat="1">
      <c r="B45" s="4"/>
      <c r="C45" s="6" t="s">
        <v>40</v>
      </c>
      <c r="D45" s="26"/>
      <c r="E45" s="27" t="s">
        <v>41</v>
      </c>
      <c r="F45" s="26"/>
    </row>
    <row r="46" spans="2:6" s="3" customFormat="1">
      <c r="C46" s="12" t="str">
        <f>"Exchange rate (" &amp; lbl_LocalCurrency &amp; " per " &amp; lbl_ForCurrency&amp;")"</f>
        <v>Exchange rate (pesos per dollars)</v>
      </c>
      <c r="D46" s="28">
        <v>100</v>
      </c>
      <c r="E46" s="29" t="s">
        <v>42</v>
      </c>
      <c r="F46" s="20">
        <v>0.05</v>
      </c>
    </row>
    <row r="47" spans="2:6" s="3" customFormat="1">
      <c r="C47" s="30" t="s">
        <v>43</v>
      </c>
      <c r="D47" s="31">
        <v>0.05</v>
      </c>
      <c r="E47" s="32" t="s">
        <v>44</v>
      </c>
      <c r="F47" s="22">
        <v>0.08</v>
      </c>
    </row>
    <row r="48" spans="2:6" s="3" customFormat="1">
      <c r="C48" s="30" t="s">
        <v>45</v>
      </c>
      <c r="D48" s="33">
        <v>0.05</v>
      </c>
      <c r="E48" s="32" t="s">
        <v>45</v>
      </c>
      <c r="F48" s="34">
        <v>0.02</v>
      </c>
    </row>
    <row r="49" spans="2:6" s="3" customFormat="1">
      <c r="E49" s="32" t="s">
        <v>46</v>
      </c>
      <c r="F49" s="35">
        <v>5</v>
      </c>
    </row>
    <row r="50" spans="2:6" s="3" customFormat="1">
      <c r="C50" s="12" t="s">
        <v>47</v>
      </c>
      <c r="D50" s="36">
        <v>0.05</v>
      </c>
    </row>
    <row r="51" spans="2:6" s="3" customFormat="1">
      <c r="C51" s="12" t="s">
        <v>48</v>
      </c>
      <c r="D51" s="33">
        <v>7.0000000000000007E-2</v>
      </c>
      <c r="E51" s="37"/>
    </row>
    <row r="52" spans="2:6" s="3" customFormat="1"/>
    <row r="53" spans="2:6" s="3" customFormat="1">
      <c r="D53" s="26" t="s">
        <v>49</v>
      </c>
      <c r="E53" s="3" t="s">
        <v>50</v>
      </c>
    </row>
    <row r="54" spans="2:6" s="3" customFormat="1">
      <c r="B54" s="6" t="s">
        <v>51</v>
      </c>
      <c r="C54" s="12"/>
      <c r="D54" s="38">
        <v>50000</v>
      </c>
      <c r="E54" s="39">
        <v>0</v>
      </c>
    </row>
    <row r="55" spans="2:6" s="3" customFormat="1">
      <c r="B55" s="40" t="s">
        <v>52</v>
      </c>
      <c r="D55" s="16">
        <v>0.5</v>
      </c>
      <c r="E55" s="13"/>
      <c r="F55" s="13"/>
    </row>
    <row r="56" spans="2:6" s="3" customFormat="1">
      <c r="D56" s="41"/>
      <c r="E56" s="42"/>
      <c r="F56" s="13"/>
    </row>
    <row r="57" spans="2:6" s="3" customFormat="1">
      <c r="D57" s="41"/>
      <c r="E57" s="42"/>
      <c r="F57" s="13"/>
    </row>
    <row r="58" spans="2:6" s="3" customFormat="1" ht="17.399999999999999">
      <c r="B58" s="43" t="s">
        <v>53</v>
      </c>
      <c r="C58" s="44"/>
      <c r="D58" s="45"/>
      <c r="E58" s="45"/>
      <c r="F58" s="45"/>
    </row>
    <row r="59" spans="2:6" s="3" customFormat="1">
      <c r="B59" s="45"/>
      <c r="C59" s="45"/>
      <c r="D59" s="45"/>
      <c r="E59" s="45"/>
      <c r="F59" s="45"/>
    </row>
    <row r="60" spans="2:6" s="3" customFormat="1" ht="26.4">
      <c r="B60" s="46" t="s">
        <v>53</v>
      </c>
      <c r="D60" s="26" t="s">
        <v>54</v>
      </c>
      <c r="E60" s="47" t="s">
        <v>55</v>
      </c>
    </row>
    <row r="61" spans="2:6" s="3" customFormat="1">
      <c r="B61" s="48" t="s">
        <v>56</v>
      </c>
      <c r="C61" s="49"/>
      <c r="D61" s="50">
        <v>150</v>
      </c>
      <c r="E61" s="25">
        <v>75</v>
      </c>
    </row>
    <row r="62" spans="2:6" s="3" customFormat="1">
      <c r="C62" s="12" t="s">
        <v>57</v>
      </c>
      <c r="D62" s="36">
        <v>0.02</v>
      </c>
    </row>
    <row r="63" spans="2:6" s="3" customFormat="1">
      <c r="C63" s="12" t="s">
        <v>58</v>
      </c>
      <c r="D63" s="33">
        <v>0.03</v>
      </c>
    </row>
    <row r="64" spans="2:6" s="3" customFormat="1">
      <c r="D64" s="51"/>
      <c r="E64" s="26"/>
    </row>
    <row r="65" spans="2:6" s="3" customFormat="1">
      <c r="D65" s="3" t="s">
        <v>59</v>
      </c>
      <c r="E65" s="3" t="s">
        <v>60</v>
      </c>
      <c r="F65" s="3" t="s">
        <v>61</v>
      </c>
    </row>
    <row r="66" spans="2:6" s="3" customFormat="1">
      <c r="B66" s="4" t="s">
        <v>62</v>
      </c>
      <c r="D66" s="52">
        <v>0</v>
      </c>
      <c r="E66" s="53">
        <v>0</v>
      </c>
      <c r="F66" s="54">
        <v>5</v>
      </c>
    </row>
    <row r="67" spans="2:6" s="3" customFormat="1"/>
    <row r="68" spans="2:6" s="3" customFormat="1"/>
    <row r="69" spans="2:6" s="3" customFormat="1" ht="17.399999999999999">
      <c r="B69" s="43" t="s">
        <v>63</v>
      </c>
      <c r="C69" s="44"/>
      <c r="D69" s="45"/>
      <c r="E69" s="45"/>
      <c r="F69" s="45"/>
    </row>
    <row r="70" spans="2:6" s="3" customFormat="1"/>
    <row r="71" spans="2:6" s="3" customFormat="1">
      <c r="C71" s="4"/>
    </row>
    <row r="72" spans="2:6" s="3" customFormat="1" ht="26.4">
      <c r="B72" s="6" t="s">
        <v>64</v>
      </c>
      <c r="C72" s="12"/>
      <c r="D72" s="26" t="str">
        <f>"Volumetric charge (" &amp; lbl_LocalCurrency&amp; " per m3)"</f>
        <v>Volumetric charge (pesos per m3)</v>
      </c>
      <c r="E72" s="26" t="s">
        <v>65</v>
      </c>
      <c r="F72" s="26"/>
    </row>
    <row r="73" spans="2:6" s="3" customFormat="1">
      <c r="C73" s="12" t="s">
        <v>54</v>
      </c>
      <c r="D73" s="55">
        <v>2.5</v>
      </c>
      <c r="E73" s="56"/>
      <c r="F73" s="26"/>
    </row>
    <row r="74" spans="2:6" s="3" customFormat="1">
      <c r="C74" s="12" t="s">
        <v>55</v>
      </c>
      <c r="D74" s="57">
        <v>1.5</v>
      </c>
      <c r="E74" s="58">
        <v>1.3</v>
      </c>
      <c r="F74" s="26"/>
    </row>
    <row r="75" spans="2:6" s="3" customFormat="1">
      <c r="D75" s="41"/>
      <c r="E75" s="56"/>
      <c r="F75" s="13"/>
    </row>
    <row r="76" spans="2:6" s="3" customFormat="1">
      <c r="F76" s="59"/>
    </row>
    <row r="77" spans="2:6" s="3" customFormat="1" ht="17.399999999999999">
      <c r="B77" s="43" t="s">
        <v>66</v>
      </c>
      <c r="C77" s="44"/>
      <c r="D77" s="45"/>
      <c r="E77" s="45"/>
      <c r="F77" s="45"/>
    </row>
    <row r="78" spans="2:6" s="3" customFormat="1"/>
    <row r="79" spans="2:6" s="3" customFormat="1" ht="26.4">
      <c r="B79" s="46" t="s">
        <v>67</v>
      </c>
      <c r="D79" s="26" t="s">
        <v>54</v>
      </c>
      <c r="E79" s="47" t="s">
        <v>55</v>
      </c>
      <c r="F79" s="12"/>
    </row>
    <row r="80" spans="2:6" s="3" customFormat="1">
      <c r="C80" s="12" t="str">
        <f>PROPER( lbl_LocalCurrency)&amp; " per m3"</f>
        <v>Pesos per m3</v>
      </c>
      <c r="D80" s="60">
        <v>30</v>
      </c>
      <c r="E80" s="61">
        <v>45</v>
      </c>
      <c r="F80" s="12"/>
    </row>
    <row r="81" spans="2:6" s="3" customFormat="1">
      <c r="C81" s="12" t="str">
        <f>"Monthly coping cost ("&amp;lbl_LocalCurrency&amp;")"</f>
        <v>Monthly coping cost (pesos)</v>
      </c>
      <c r="D81" s="62"/>
      <c r="E81" s="63">
        <v>1000</v>
      </c>
      <c r="F81" s="12"/>
    </row>
    <row r="82" spans="2:6" s="3" customFormat="1"/>
    <row r="83" spans="2:6" s="3" customFormat="1"/>
    <row r="84" spans="2:6" s="3" customFormat="1" ht="17.399999999999999">
      <c r="B84" s="43" t="s">
        <v>68</v>
      </c>
      <c r="C84" s="44"/>
      <c r="D84" s="45"/>
      <c r="E84" s="45"/>
      <c r="F84" s="45"/>
    </row>
    <row r="85" spans="2:6" s="3" customFormat="1">
      <c r="B85" s="45"/>
      <c r="C85" s="45"/>
      <c r="D85" s="45"/>
      <c r="E85" s="45"/>
      <c r="F85" s="45"/>
    </row>
    <row r="86" spans="2:6" s="3" customFormat="1">
      <c r="B86" s="4" t="str">
        <f>"Investment cost per new connection (" &amp; lbl_LocalCurrency &amp; ")"</f>
        <v>Investment cost per new connection (pesos)</v>
      </c>
      <c r="E86" s="60">
        <v>2000</v>
      </c>
    </row>
    <row r="87" spans="2:6" s="3" customFormat="1">
      <c r="B87" s="4"/>
    </row>
    <row r="88" spans="2:6" s="3" customFormat="1">
      <c r="B88" s="4" t="s">
        <v>69</v>
      </c>
      <c r="D88" s="64"/>
    </row>
    <row r="89" spans="2:6" s="3" customFormat="1" ht="52.8">
      <c r="C89" s="65" t="s">
        <v>70</v>
      </c>
      <c r="E89" s="20">
        <v>0.4</v>
      </c>
    </row>
    <row r="90" spans="2:6" s="3" customFormat="1">
      <c r="C90" s="66" t="str">
        <f>"Existing fixed operating cost (" &amp;lbl_LocalCurrency &amp; ")"</f>
        <v>Existing fixed operating cost (pesos)</v>
      </c>
      <c r="E90" s="67">
        <f>E89*InvestPerConnection*ServTarget_Exist*Customers_Init</f>
        <v>20000000</v>
      </c>
    </row>
    <row r="91" spans="2:6" s="3" customFormat="1">
      <c r="C91" s="3" t="s">
        <v>71</v>
      </c>
      <c r="E91" s="22">
        <v>0.03</v>
      </c>
    </row>
    <row r="92" spans="2:6" s="3" customFormat="1">
      <c r="C92" s="3" t="str">
        <f>"Proportion of costs denominated in "&amp; lbl_ForCurrency</f>
        <v>Proportion of costs denominated in dollars</v>
      </c>
      <c r="E92" s="68">
        <v>0.5</v>
      </c>
    </row>
    <row r="93" spans="2:6" s="3" customFormat="1">
      <c r="B93" s="4" t="s">
        <v>72</v>
      </c>
    </row>
    <row r="94" spans="2:6" s="3" customFormat="1">
      <c r="C94" s="3" t="str">
        <f>PROPER( lbl_LocalCurrency)&amp; " per m3"</f>
        <v>Pesos per m3</v>
      </c>
      <c r="E94" s="69">
        <v>20</v>
      </c>
    </row>
    <row r="95" spans="2:6" s="3" customFormat="1">
      <c r="C95" s="3" t="s">
        <v>71</v>
      </c>
      <c r="E95" s="68">
        <v>0.03</v>
      </c>
    </row>
    <row r="96" spans="2:6" s="3" customFormat="1">
      <c r="C96" s="3" t="str">
        <f>"Proportion of costs denominated in "&amp; lbl_ForCurrency</f>
        <v>Proportion of costs denominated in dollars</v>
      </c>
      <c r="E96" s="16">
        <v>0.5</v>
      </c>
    </row>
    <row r="97" spans="2:6" s="3" customFormat="1">
      <c r="E97" s="70"/>
    </row>
    <row r="98" spans="2:6" s="3" customFormat="1">
      <c r="B98" s="4" t="s">
        <v>73</v>
      </c>
    </row>
    <row r="99" spans="2:6" s="3" customFormat="1">
      <c r="C99" s="3" t="str">
        <f>"Initial asset base ("&amp;lbl_LocalCurrency&amp;")"</f>
        <v>Initial asset base (pesos)</v>
      </c>
      <c r="E99" s="71">
        <v>100000000</v>
      </c>
    </row>
    <row r="100" spans="2:6" s="3" customFormat="1">
      <c r="C100" s="3" t="s">
        <v>74</v>
      </c>
      <c r="E100" s="68">
        <v>0.05</v>
      </c>
    </row>
    <row r="101" spans="2:6" s="3" customFormat="1"/>
    <row r="102" spans="2:6" s="3" customFormat="1">
      <c r="C102" s="72"/>
      <c r="D102" s="73"/>
      <c r="E102" s="73"/>
    </row>
    <row r="103" spans="2:6" s="3" customFormat="1">
      <c r="C103" s="72"/>
      <c r="D103" s="73"/>
      <c r="E103" s="73"/>
    </row>
    <row r="104" spans="2:6" s="3" customFormat="1" ht="17.399999999999999">
      <c r="B104" s="43" t="s">
        <v>75</v>
      </c>
      <c r="C104" s="44"/>
      <c r="D104" s="45"/>
      <c r="E104" s="45"/>
      <c r="F104" s="45"/>
    </row>
    <row r="105" spans="2:6" s="3" customFormat="1">
      <c r="E105" s="74"/>
    </row>
    <row r="106" spans="2:6" s="3" customFormat="1">
      <c r="B106" s="6" t="s">
        <v>76</v>
      </c>
      <c r="D106" s="20">
        <v>1</v>
      </c>
    </row>
    <row r="107" spans="2:6" s="3" customFormat="1">
      <c r="B107" s="6" t="s">
        <v>60</v>
      </c>
      <c r="D107" s="22">
        <v>1</v>
      </c>
    </row>
    <row r="108" spans="2:6" s="3" customFormat="1">
      <c r="B108" s="6" t="s">
        <v>77</v>
      </c>
      <c r="D108" s="75">
        <v>10</v>
      </c>
    </row>
    <row r="109" spans="2:6" s="3" customFormat="1"/>
    <row r="110" spans="2:6" s="3" customFormat="1"/>
    <row r="111" spans="2:6" s="3" customFormat="1" ht="17.399999999999999">
      <c r="B111" s="43" t="s">
        <v>78</v>
      </c>
      <c r="C111" s="44"/>
      <c r="D111" s="45"/>
      <c r="E111" s="45"/>
      <c r="F111" s="45"/>
    </row>
    <row r="112" spans="2:6" s="3" customFormat="1">
      <c r="B112" s="45"/>
      <c r="C112" s="45"/>
      <c r="D112" s="45"/>
      <c r="E112" s="45"/>
      <c r="F112" s="45"/>
    </row>
    <row r="113" spans="2:4" s="3" customFormat="1">
      <c r="B113" s="76" t="s">
        <v>79</v>
      </c>
      <c r="D113" s="77">
        <v>1</v>
      </c>
    </row>
    <row r="114" spans="2:4" s="3" customFormat="1"/>
    <row r="115" spans="2:4" s="3" customFormat="1"/>
    <row r="116" spans="2:4" s="3" customFormat="1"/>
    <row r="117" spans="2:4" s="3" customFormat="1"/>
    <row r="118" spans="2:4" s="3" customFormat="1"/>
    <row r="119" spans="2:4" s="3" customFormat="1"/>
    <row r="120" spans="2:4" s="3" customFormat="1"/>
    <row r="121" spans="2:4" s="3" customFormat="1"/>
    <row r="122" spans="2:4" s="3" customFormat="1"/>
    <row r="123" spans="2:4" s="3" customFormat="1"/>
    <row r="124" spans="2:4" s="3" customFormat="1"/>
    <row r="125" spans="2:4" s="3" customFormat="1"/>
    <row r="126" spans="2:4" s="3" customFormat="1"/>
    <row r="127" spans="2:4" s="3" customFormat="1"/>
    <row r="128" spans="2:4" s="3" customFormat="1"/>
    <row r="129" s="3" customFormat="1"/>
    <row r="130" s="3" customFormat="1" ht="13.8" thickBot="1"/>
    <row r="131" s="78" customFormat="1"/>
    <row r="156" spans="3:4">
      <c r="C156" s="79"/>
      <c r="D156" s="79"/>
    </row>
    <row r="157" spans="3:4">
      <c r="C157" s="79"/>
      <c r="D157" s="79"/>
    </row>
    <row r="158" spans="3:4">
      <c r="C158" s="79"/>
      <c r="D158" s="79"/>
    </row>
    <row r="159" spans="3:4">
      <c r="C159" s="79"/>
      <c r="D159" s="79"/>
    </row>
    <row r="160" spans="3:4">
      <c r="C160" s="79"/>
      <c r="D160" s="79"/>
    </row>
    <row r="161" spans="3:4">
      <c r="C161" s="79"/>
      <c r="D161" s="79"/>
    </row>
    <row r="162" spans="3:4">
      <c r="C162" s="79"/>
      <c r="D162" s="79"/>
    </row>
    <row r="163" spans="3:4">
      <c r="C163" s="79"/>
      <c r="D163" s="79"/>
    </row>
    <row r="164" spans="3:4">
      <c r="C164" s="79"/>
      <c r="D164" s="79"/>
    </row>
    <row r="165" spans="3:4">
      <c r="C165" s="79"/>
      <c r="D165" s="79"/>
    </row>
    <row r="166" spans="3:4">
      <c r="C166" s="79"/>
      <c r="D166" s="79"/>
    </row>
    <row r="167" spans="3:4">
      <c r="C167" s="79"/>
      <c r="D167" s="79"/>
    </row>
    <row r="168" spans="3:4">
      <c r="C168" s="79"/>
      <c r="D168" s="79"/>
    </row>
    <row r="169" spans="3:4">
      <c r="C169" s="79"/>
      <c r="D169" s="79"/>
    </row>
    <row r="170" spans="3:4">
      <c r="C170" s="79"/>
      <c r="D170" s="79"/>
    </row>
    <row r="171" spans="3:4">
      <c r="C171" s="79"/>
      <c r="D171" s="79"/>
    </row>
    <row r="172" spans="3:4">
      <c r="C172" s="79"/>
      <c r="D172" s="79"/>
    </row>
    <row r="173" spans="3:4">
      <c r="C173" s="79"/>
      <c r="D173" s="79"/>
    </row>
    <row r="174" spans="3:4">
      <c r="C174" s="79"/>
      <c r="D174" s="79"/>
    </row>
    <row r="175" spans="3:4">
      <c r="C175" s="79"/>
      <c r="D175" s="79"/>
    </row>
    <row r="176" spans="3:4">
      <c r="C176" s="79"/>
      <c r="D176" s="79"/>
    </row>
    <row r="177" spans="3:4">
      <c r="C177" s="79"/>
      <c r="D177" s="79"/>
    </row>
    <row r="178" spans="3:4">
      <c r="C178" s="79"/>
      <c r="D178" s="79"/>
    </row>
    <row r="179" spans="3:4">
      <c r="C179" s="79"/>
      <c r="D179" s="79"/>
    </row>
    <row r="180" spans="3:4">
      <c r="C180" s="79"/>
      <c r="D180" s="79"/>
    </row>
    <row r="181" spans="3:4">
      <c r="C181" s="79"/>
      <c r="D181" s="79"/>
    </row>
    <row r="182" spans="3:4">
      <c r="C182" s="79"/>
      <c r="D182" s="79"/>
    </row>
    <row r="183" spans="3:4">
      <c r="C183" s="79"/>
      <c r="D183" s="79"/>
    </row>
    <row r="184" spans="3:4">
      <c r="C184" s="79"/>
      <c r="D184" s="79"/>
    </row>
    <row r="185" spans="3:4">
      <c r="C185" s="79"/>
      <c r="D185" s="79"/>
    </row>
    <row r="186" spans="3:4">
      <c r="C186" s="79"/>
      <c r="D186" s="79"/>
    </row>
    <row r="187" spans="3:4">
      <c r="C187" s="79"/>
      <c r="D187" s="79"/>
    </row>
    <row r="188" spans="3:4">
      <c r="C188" s="79"/>
      <c r="D188" s="79"/>
    </row>
    <row r="189" spans="3:4">
      <c r="C189" s="79"/>
      <c r="D189" s="79"/>
    </row>
    <row r="190" spans="3:4">
      <c r="C190" s="79"/>
      <c r="D190" s="79"/>
    </row>
    <row r="191" spans="3:4">
      <c r="C191" s="79"/>
      <c r="D191" s="79"/>
    </row>
    <row r="192" spans="3:4">
      <c r="C192" s="79"/>
      <c r="D192" s="79"/>
    </row>
    <row r="193" spans="3:4">
      <c r="C193" s="79"/>
      <c r="D193" s="79"/>
    </row>
    <row r="194" spans="3:4">
      <c r="C194" s="79"/>
      <c r="D194" s="79"/>
    </row>
    <row r="195" spans="3:4">
      <c r="C195" s="79"/>
      <c r="D195" s="79"/>
    </row>
    <row r="196" spans="3:4">
      <c r="C196" s="79"/>
      <c r="D196" s="79"/>
    </row>
    <row r="197" spans="3:4">
      <c r="C197" s="79"/>
      <c r="D197" s="79"/>
    </row>
    <row r="198" spans="3:4">
      <c r="C198" s="79"/>
      <c r="D198" s="79"/>
    </row>
    <row r="199" spans="3:4">
      <c r="C199" s="79"/>
      <c r="D199" s="79"/>
    </row>
    <row r="200" spans="3:4">
      <c r="C200" s="79"/>
      <c r="D200" s="79"/>
    </row>
    <row r="201" spans="3:4">
      <c r="C201" s="79"/>
      <c r="D201" s="79"/>
    </row>
    <row r="202" spans="3:4">
      <c r="C202" s="79"/>
      <c r="D202" s="79"/>
    </row>
    <row r="203" spans="3:4">
      <c r="C203" s="79"/>
      <c r="D203" s="79"/>
    </row>
    <row r="204" spans="3:4">
      <c r="C204" s="79"/>
      <c r="D204" s="79"/>
    </row>
    <row r="205" spans="3:4">
      <c r="C205" s="79"/>
      <c r="D205" s="79"/>
    </row>
    <row r="206" spans="3:4">
      <c r="C206" s="79"/>
      <c r="D206" s="79"/>
    </row>
    <row r="207" spans="3:4">
      <c r="C207" s="79"/>
      <c r="D207" s="79"/>
    </row>
    <row r="208" spans="3:4">
      <c r="C208" s="79"/>
      <c r="D208" s="79"/>
    </row>
    <row r="209" spans="3:4">
      <c r="C209" s="79"/>
      <c r="D209" s="79"/>
    </row>
    <row r="210" spans="3:4">
      <c r="C210" s="79"/>
      <c r="D210" s="79"/>
    </row>
    <row r="211" spans="3:4">
      <c r="C211" s="79"/>
      <c r="D211" s="79"/>
    </row>
    <row r="212" spans="3:4">
      <c r="C212" s="79"/>
      <c r="D212" s="79"/>
    </row>
    <row r="213" spans="3:4">
      <c r="C213" s="79"/>
      <c r="D213" s="79"/>
    </row>
    <row r="214" spans="3:4">
      <c r="C214" s="79"/>
      <c r="D214" s="79"/>
    </row>
    <row r="215" spans="3:4">
      <c r="C215" s="79"/>
      <c r="D215" s="79"/>
    </row>
    <row r="216" spans="3:4">
      <c r="C216" s="79"/>
      <c r="D216" s="79"/>
    </row>
    <row r="217" spans="3:4">
      <c r="C217" s="79"/>
      <c r="D217" s="79"/>
    </row>
    <row r="218" spans="3:4">
      <c r="C218" s="79"/>
      <c r="D218" s="79"/>
    </row>
    <row r="219" spans="3:4">
      <c r="C219" s="79"/>
      <c r="D219" s="79"/>
    </row>
    <row r="220" spans="3:4">
      <c r="C220" s="79"/>
      <c r="D220" s="79"/>
    </row>
    <row r="221" spans="3:4">
      <c r="C221" s="79"/>
      <c r="D221" s="79"/>
    </row>
    <row r="222" spans="3:4">
      <c r="C222" s="79"/>
      <c r="D222" s="79"/>
    </row>
    <row r="223" spans="3:4">
      <c r="C223" s="79"/>
      <c r="D223" s="79"/>
    </row>
    <row r="224" spans="3:4">
      <c r="C224" s="79"/>
      <c r="D224" s="79"/>
    </row>
    <row r="225" spans="3:4">
      <c r="C225" s="79"/>
      <c r="D225" s="79"/>
    </row>
    <row r="226" spans="3:4">
      <c r="C226" s="79"/>
      <c r="D226" s="79"/>
    </row>
    <row r="227" spans="3:4">
      <c r="C227" s="79"/>
      <c r="D227" s="79"/>
    </row>
    <row r="228" spans="3:4">
      <c r="C228" s="79"/>
      <c r="D228" s="79"/>
    </row>
    <row r="229" spans="3:4">
      <c r="C229" s="79"/>
      <c r="D229" s="79"/>
    </row>
    <row r="230" spans="3:4">
      <c r="C230" s="79"/>
      <c r="D230" s="79"/>
    </row>
    <row r="231" spans="3:4">
      <c r="C231" s="79"/>
      <c r="D231" s="79"/>
    </row>
    <row r="232" spans="3:4">
      <c r="C232" s="79"/>
      <c r="D232" s="79"/>
    </row>
    <row r="233" spans="3:4">
      <c r="C233" s="79"/>
      <c r="D233" s="79"/>
    </row>
    <row r="234" spans="3:4">
      <c r="C234" s="79"/>
      <c r="D234" s="79"/>
    </row>
    <row r="235" spans="3:4">
      <c r="C235" s="79"/>
      <c r="D235" s="79"/>
    </row>
    <row r="236" spans="3:4">
      <c r="C236" s="79"/>
      <c r="D236" s="79"/>
    </row>
    <row r="237" spans="3:4">
      <c r="C237" s="79"/>
      <c r="D237" s="79"/>
    </row>
    <row r="238" spans="3:4">
      <c r="C238" s="79"/>
      <c r="D238" s="79"/>
    </row>
    <row r="239" spans="3:4">
      <c r="C239" s="79"/>
      <c r="D239" s="79"/>
    </row>
    <row r="240" spans="3:4">
      <c r="C240" s="79"/>
      <c r="D240" s="79"/>
    </row>
    <row r="241" spans="3:4">
      <c r="C241" s="79"/>
      <c r="D241" s="79"/>
    </row>
    <row r="242" spans="3:4">
      <c r="C242" s="79"/>
      <c r="D242" s="79"/>
    </row>
    <row r="243" spans="3:4">
      <c r="C243" s="79"/>
      <c r="D243" s="79"/>
    </row>
    <row r="244" spans="3:4">
      <c r="C244" s="79"/>
      <c r="D244" s="79"/>
    </row>
    <row r="245" spans="3:4">
      <c r="C245" s="79"/>
      <c r="D245" s="79"/>
    </row>
    <row r="246" spans="3:4">
      <c r="C246" s="79"/>
      <c r="D246" s="79"/>
    </row>
    <row r="247" spans="3:4">
      <c r="C247" s="79"/>
      <c r="D247" s="79"/>
    </row>
    <row r="248" spans="3:4">
      <c r="C248" s="79"/>
      <c r="D248" s="79"/>
    </row>
    <row r="249" spans="3:4">
      <c r="C249" s="79"/>
      <c r="D249" s="79"/>
    </row>
    <row r="250" spans="3:4">
      <c r="C250" s="79"/>
      <c r="D250" s="79"/>
    </row>
    <row r="251" spans="3:4">
      <c r="C251" s="79"/>
      <c r="D251" s="79"/>
    </row>
    <row r="252" spans="3:4">
      <c r="C252" s="79"/>
      <c r="D252" s="79"/>
    </row>
    <row r="253" spans="3:4">
      <c r="C253" s="79"/>
      <c r="D253" s="79"/>
    </row>
    <row r="254" spans="3:4">
      <c r="C254" s="79"/>
      <c r="D254" s="79"/>
    </row>
    <row r="255" spans="3:4">
      <c r="C255" s="79"/>
      <c r="D255" s="79"/>
    </row>
    <row r="256" spans="3:4">
      <c r="C256" s="79"/>
      <c r="D256" s="79"/>
    </row>
    <row r="257" spans="3:4">
      <c r="C257" s="79"/>
      <c r="D257" s="79"/>
    </row>
    <row r="258" spans="3:4">
      <c r="C258" s="79"/>
      <c r="D258" s="79"/>
    </row>
    <row r="259" spans="3:4">
      <c r="C259" s="79"/>
      <c r="D259" s="79"/>
    </row>
    <row r="260" spans="3:4">
      <c r="C260" s="79"/>
      <c r="D260" s="79"/>
    </row>
    <row r="261" spans="3:4">
      <c r="C261" s="79"/>
      <c r="D261" s="79"/>
    </row>
    <row r="262" spans="3:4">
      <c r="C262" s="79"/>
      <c r="D262" s="79"/>
    </row>
    <row r="263" spans="3:4">
      <c r="C263" s="79"/>
      <c r="D263" s="79"/>
    </row>
    <row r="264" spans="3:4">
      <c r="C264" s="79"/>
      <c r="D264" s="79"/>
    </row>
    <row r="265" spans="3:4">
      <c r="C265" s="79"/>
      <c r="D265" s="79"/>
    </row>
    <row r="266" spans="3:4">
      <c r="C266" s="79"/>
      <c r="D266" s="79"/>
    </row>
    <row r="267" spans="3:4">
      <c r="C267" s="79"/>
      <c r="D267" s="79"/>
    </row>
    <row r="268" spans="3:4">
      <c r="C268" s="79"/>
      <c r="D268" s="79"/>
    </row>
    <row r="269" spans="3:4">
      <c r="C269" s="79"/>
      <c r="D269" s="79"/>
    </row>
    <row r="270" spans="3:4">
      <c r="C270" s="79"/>
      <c r="D270" s="79"/>
    </row>
    <row r="271" spans="3:4">
      <c r="C271" s="79"/>
      <c r="D271" s="79"/>
    </row>
    <row r="272" spans="3:4">
      <c r="C272" s="79"/>
      <c r="D272" s="79"/>
    </row>
    <row r="273" spans="3:4">
      <c r="C273" s="79"/>
      <c r="D273" s="79"/>
    </row>
    <row r="274" spans="3:4">
      <c r="C274" s="79"/>
      <c r="D274" s="79"/>
    </row>
    <row r="275" spans="3:4">
      <c r="C275" s="79"/>
      <c r="D275" s="79"/>
    </row>
    <row r="276" spans="3:4">
      <c r="C276" s="79"/>
      <c r="D276" s="79"/>
    </row>
    <row r="277" spans="3:4">
      <c r="C277" s="79"/>
      <c r="D277" s="79"/>
    </row>
    <row r="278" spans="3:4">
      <c r="C278" s="79"/>
      <c r="D278" s="79"/>
    </row>
    <row r="279" spans="3:4">
      <c r="C279" s="79"/>
      <c r="D279" s="79"/>
    </row>
    <row r="280" spans="3:4">
      <c r="C280" s="79"/>
      <c r="D280" s="79"/>
    </row>
    <row r="281" spans="3:4">
      <c r="C281" s="79"/>
      <c r="D281" s="79"/>
    </row>
    <row r="282" spans="3:4">
      <c r="C282" s="79"/>
      <c r="D282" s="79"/>
    </row>
    <row r="283" spans="3:4">
      <c r="C283" s="79"/>
      <c r="D283" s="79"/>
    </row>
    <row r="284" spans="3:4">
      <c r="C284" s="79"/>
      <c r="D284" s="79"/>
    </row>
    <row r="285" spans="3:4">
      <c r="C285" s="79"/>
      <c r="D285" s="79"/>
    </row>
    <row r="286" spans="3:4">
      <c r="C286" s="79"/>
      <c r="D286" s="79"/>
    </row>
    <row r="287" spans="3:4">
      <c r="C287" s="79"/>
      <c r="D287" s="79"/>
    </row>
    <row r="288" spans="3:4">
      <c r="C288" s="79"/>
      <c r="D288" s="79"/>
    </row>
    <row r="289" spans="3:4">
      <c r="C289" s="79"/>
      <c r="D289" s="79"/>
    </row>
    <row r="290" spans="3:4">
      <c r="C290" s="79"/>
      <c r="D290" s="79"/>
    </row>
    <row r="291" spans="3:4">
      <c r="C291" s="79"/>
      <c r="D291" s="79"/>
    </row>
    <row r="292" spans="3:4">
      <c r="C292" s="79"/>
      <c r="D292" s="79"/>
    </row>
    <row r="293" spans="3:4">
      <c r="C293" s="79"/>
      <c r="D293" s="79"/>
    </row>
    <row r="294" spans="3:4">
      <c r="C294" s="79"/>
      <c r="D294" s="79"/>
    </row>
    <row r="295" spans="3:4">
      <c r="C295" s="79"/>
      <c r="D295" s="79"/>
    </row>
    <row r="296" spans="3:4">
      <c r="C296" s="79"/>
      <c r="D296" s="79"/>
    </row>
    <row r="297" spans="3:4">
      <c r="C297" s="79"/>
      <c r="D297" s="79"/>
    </row>
    <row r="298" spans="3:4">
      <c r="C298" s="79"/>
      <c r="D298" s="79"/>
    </row>
    <row r="299" spans="3:4">
      <c r="C299" s="79"/>
      <c r="D299" s="79"/>
    </row>
    <row r="300" spans="3:4">
      <c r="C300" s="79"/>
      <c r="D300" s="79"/>
    </row>
    <row r="301" spans="3:4">
      <c r="C301" s="79"/>
      <c r="D301" s="79"/>
    </row>
    <row r="302" spans="3:4">
      <c r="C302" s="79"/>
      <c r="D302" s="79"/>
    </row>
    <row r="303" spans="3:4">
      <c r="C303" s="79"/>
      <c r="D303" s="79"/>
    </row>
    <row r="304" spans="3:4">
      <c r="C304" s="79"/>
      <c r="D304" s="79"/>
    </row>
    <row r="305" spans="3:4">
      <c r="C305" s="79"/>
      <c r="D305" s="79"/>
    </row>
    <row r="306" spans="3:4">
      <c r="C306" s="79"/>
      <c r="D306" s="79"/>
    </row>
    <row r="307" spans="3:4">
      <c r="C307" s="79"/>
      <c r="D307" s="79"/>
    </row>
    <row r="308" spans="3:4">
      <c r="C308" s="79"/>
      <c r="D308" s="79"/>
    </row>
    <row r="309" spans="3:4">
      <c r="C309" s="79"/>
      <c r="D309" s="79"/>
    </row>
    <row r="310" spans="3:4">
      <c r="C310" s="79"/>
      <c r="D310" s="79"/>
    </row>
    <row r="311" spans="3:4">
      <c r="C311" s="79"/>
      <c r="D311" s="79"/>
    </row>
    <row r="312" spans="3:4">
      <c r="C312" s="79"/>
      <c r="D312" s="79"/>
    </row>
    <row r="313" spans="3:4">
      <c r="C313" s="79"/>
      <c r="D313" s="79"/>
    </row>
    <row r="314" spans="3:4">
      <c r="C314" s="79"/>
      <c r="D314" s="79"/>
    </row>
    <row r="315" spans="3:4">
      <c r="C315" s="79"/>
      <c r="D315" s="79"/>
    </row>
    <row r="316" spans="3:4">
      <c r="C316" s="79"/>
      <c r="D316" s="79"/>
    </row>
    <row r="317" spans="3:4">
      <c r="C317" s="79"/>
      <c r="D317" s="79"/>
    </row>
    <row r="318" spans="3:4">
      <c r="C318" s="79"/>
      <c r="D318" s="79"/>
    </row>
    <row r="319" spans="3:4">
      <c r="C319" s="79"/>
      <c r="D319" s="79"/>
    </row>
    <row r="320" spans="3:4">
      <c r="C320" s="79"/>
      <c r="D320" s="79"/>
    </row>
    <row r="321" spans="3:4">
      <c r="C321" s="79"/>
      <c r="D321" s="79"/>
    </row>
    <row r="322" spans="3:4">
      <c r="C322" s="79"/>
      <c r="D322" s="79"/>
    </row>
    <row r="323" spans="3:4">
      <c r="C323" s="79"/>
      <c r="D323" s="79"/>
    </row>
    <row r="324" spans="3:4">
      <c r="C324" s="79"/>
      <c r="D324" s="79"/>
    </row>
    <row r="325" spans="3:4">
      <c r="C325" s="79"/>
      <c r="D325" s="79"/>
    </row>
    <row r="326" spans="3:4">
      <c r="C326" s="79"/>
      <c r="D326" s="79"/>
    </row>
    <row r="327" spans="3:4">
      <c r="C327" s="79"/>
      <c r="D327" s="79"/>
    </row>
    <row r="328" spans="3:4">
      <c r="C328" s="79"/>
      <c r="D328" s="79"/>
    </row>
    <row r="329" spans="3:4">
      <c r="C329" s="79"/>
      <c r="D329" s="79"/>
    </row>
    <row r="330" spans="3:4">
      <c r="C330" s="79"/>
      <c r="D330" s="79"/>
    </row>
    <row r="331" spans="3:4">
      <c r="C331" s="79"/>
      <c r="D331" s="79"/>
    </row>
    <row r="332" spans="3:4">
      <c r="C332" s="79"/>
      <c r="D332" s="79"/>
    </row>
    <row r="333" spans="3:4">
      <c r="C333" s="79"/>
      <c r="D333" s="79"/>
    </row>
    <row r="334" spans="3:4">
      <c r="C334" s="79"/>
      <c r="D334" s="79"/>
    </row>
    <row r="335" spans="3:4">
      <c r="C335" s="79"/>
      <c r="D335" s="79"/>
    </row>
    <row r="336" spans="3:4">
      <c r="C336" s="79"/>
      <c r="D336" s="79"/>
    </row>
    <row r="337" spans="3:4">
      <c r="C337" s="79"/>
      <c r="D337" s="79"/>
    </row>
    <row r="338" spans="3:4">
      <c r="C338" s="79"/>
      <c r="D338" s="79"/>
    </row>
    <row r="339" spans="3:4">
      <c r="C339" s="79"/>
      <c r="D339" s="79"/>
    </row>
    <row r="340" spans="3:4">
      <c r="C340" s="79"/>
      <c r="D340" s="79"/>
    </row>
    <row r="341" spans="3:4">
      <c r="C341" s="79"/>
      <c r="D341" s="79"/>
    </row>
    <row r="342" spans="3:4">
      <c r="C342" s="79"/>
      <c r="D342" s="79"/>
    </row>
    <row r="343" spans="3:4">
      <c r="C343" s="79"/>
      <c r="D343" s="79"/>
    </row>
    <row r="344" spans="3:4">
      <c r="C344" s="79"/>
      <c r="D344" s="79"/>
    </row>
    <row r="345" spans="3:4">
      <c r="C345" s="79"/>
      <c r="D345" s="79"/>
    </row>
    <row r="346" spans="3:4">
      <c r="C346" s="79"/>
      <c r="D346" s="79"/>
    </row>
    <row r="347" spans="3:4">
      <c r="C347" s="79"/>
      <c r="D347" s="79"/>
    </row>
    <row r="348" spans="3:4">
      <c r="C348" s="79"/>
      <c r="D348" s="79"/>
    </row>
    <row r="349" spans="3:4">
      <c r="C349" s="79"/>
      <c r="D349" s="79"/>
    </row>
    <row r="350" spans="3:4">
      <c r="C350" s="79"/>
      <c r="D350" s="79"/>
    </row>
    <row r="351" spans="3:4">
      <c r="C351" s="79"/>
      <c r="D351" s="79"/>
    </row>
    <row r="352" spans="3:4">
      <c r="C352" s="79"/>
      <c r="D352" s="79"/>
    </row>
    <row r="353" spans="3:4">
      <c r="C353" s="79"/>
      <c r="D353" s="79"/>
    </row>
    <row r="354" spans="3:4">
      <c r="C354" s="79"/>
      <c r="D354" s="79"/>
    </row>
    <row r="355" spans="3:4">
      <c r="C355" s="79"/>
      <c r="D355" s="79"/>
    </row>
    <row r="356" spans="3:4">
      <c r="C356" s="79"/>
      <c r="D356" s="79"/>
    </row>
    <row r="357" spans="3:4">
      <c r="C357" s="79"/>
      <c r="D357" s="79"/>
    </row>
    <row r="358" spans="3:4">
      <c r="C358" s="79"/>
      <c r="D358" s="79"/>
    </row>
    <row r="359" spans="3:4">
      <c r="C359" s="79"/>
      <c r="D359" s="79"/>
    </row>
    <row r="360" spans="3:4">
      <c r="C360" s="79"/>
      <c r="D360" s="79"/>
    </row>
    <row r="361" spans="3:4">
      <c r="C361" s="79"/>
      <c r="D361" s="79"/>
    </row>
    <row r="362" spans="3:4">
      <c r="C362" s="79"/>
      <c r="D362" s="79"/>
    </row>
    <row r="363" spans="3:4">
      <c r="C363" s="79"/>
      <c r="D363" s="79"/>
    </row>
    <row r="364" spans="3:4">
      <c r="C364" s="79"/>
      <c r="D364" s="79"/>
    </row>
    <row r="365" spans="3:4">
      <c r="C365" s="79"/>
      <c r="D365" s="79"/>
    </row>
    <row r="366" spans="3:4">
      <c r="C366" s="79"/>
      <c r="D366" s="79"/>
    </row>
    <row r="367" spans="3:4">
      <c r="C367" s="79"/>
      <c r="D367" s="79"/>
    </row>
    <row r="368" spans="3:4">
      <c r="C368" s="79"/>
      <c r="D368" s="79"/>
    </row>
    <row r="369" spans="3:4">
      <c r="C369" s="79"/>
      <c r="D369" s="79"/>
    </row>
    <row r="370" spans="3:4">
      <c r="C370" s="79"/>
      <c r="D370" s="79"/>
    </row>
    <row r="371" spans="3:4">
      <c r="C371" s="79"/>
      <c r="D371" s="79"/>
    </row>
    <row r="372" spans="3:4">
      <c r="C372" s="79"/>
      <c r="D372" s="79"/>
    </row>
    <row r="373" spans="3:4">
      <c r="C373" s="79"/>
      <c r="D373" s="79"/>
    </row>
    <row r="374" spans="3:4">
      <c r="C374" s="79"/>
      <c r="D374" s="79"/>
    </row>
    <row r="375" spans="3:4">
      <c r="C375" s="79"/>
      <c r="D375" s="79"/>
    </row>
    <row r="376" spans="3:4">
      <c r="C376" s="79"/>
      <c r="D376" s="79"/>
    </row>
    <row r="377" spans="3:4">
      <c r="C377" s="79"/>
      <c r="D377" s="79"/>
    </row>
    <row r="378" spans="3:4">
      <c r="C378" s="79"/>
      <c r="D378" s="79"/>
    </row>
  </sheetData>
  <sheetProtection sheet="1" objects="1" scenarios="1"/>
  <dataValidations count="23">
    <dataValidation type="whole" allowBlank="1" showInputMessage="1" showErrorMessage="1" errorTitle="Policy choices" error="Only whole numbers allowed. Minimum entry is 1, maximum entry is equal to the contract length." sqref="D42 D25 D37:D38" xr:uid="{00000000-0002-0000-0000-000000000000}">
      <formula1>1</formula1>
      <formula2>Contract_Length</formula2>
    </dataValidation>
    <dataValidation type="decimal" allowBlank="1" showInputMessage="1" showErrorMessage="1" errorTitle="Policy choices" error="Only numbers between 0% and 100% allowed." sqref="D35 D32" xr:uid="{00000000-0002-0000-0000-000001000000}">
      <formula1>0</formula1>
      <formula2>1</formula2>
    </dataValidation>
    <dataValidation type="list" allowBlank="1" showInputMessage="1" showErrorMessage="1" errorTitle="Policy choices" error="Currency of loan has to be denominated either in local currency or in foreign currency." sqref="D36" xr:uid="{00000000-0002-0000-0000-000002000000}">
      <formula1>$A$19:$A$20</formula1>
    </dataValidation>
    <dataValidation type="decimal" allowBlank="1" showInputMessage="1" showErrorMessage="1" errorTitle="Policy choices" error="Only numbers between the existing service coverage and 100% allowed." sqref="D23" xr:uid="{00000000-0002-0000-0000-000003000000}">
      <formula1>MAX(ServTarget_Exist,0)</formula1>
      <formula2>1</formula2>
    </dataValidation>
    <dataValidation type="whole" allowBlank="1" showInputMessage="1" showErrorMessage="1" errorTitle="Policy choices" error="Only whole numbers allowed. Minimum contract length is 1 year and maximum is 40 years." sqref="D18 D20" xr:uid="{00000000-0002-0000-0000-000004000000}">
      <formula1>1</formula1>
      <formula2>MaxYr</formula2>
    </dataValidation>
    <dataValidation type="decimal" allowBlank="1" showInputMessage="1" showErrorMessage="1" errorTitle="Policy choices" error="Only numbers between -999,999 and 999,999 allowed." sqref="D28" xr:uid="{00000000-0002-0000-0000-000005000000}">
      <formula1>-999999</formula1>
      <formula2>999999</formula2>
    </dataValidation>
    <dataValidation type="list" allowBlank="1" showInputMessage="1" showErrorMessage="1" sqref="C5 C7" xr:uid="{00000000-0002-0000-0000-000006000000}">
      <formula1>$C$13:$C$14</formula1>
    </dataValidation>
    <dataValidation type="decimal" allowBlank="1" showInputMessage="1" showErrorMessage="1" errorTitle="Other assumptions" error="Only numbers between 0% and 100% allowed." sqref="E66" xr:uid="{00000000-0002-0000-0000-000007000000}">
      <formula1>0</formula1>
      <formula2>#REF!</formula2>
    </dataValidation>
    <dataValidation type="decimal" allowBlank="1" showInputMessage="1" showErrorMessage="1" errorTitle="Other assumptions" error="Only numbers between current collection rate and 100% allowed." sqref="D107" xr:uid="{00000000-0002-0000-0000-000008000000}">
      <formula1>#REF!</formula1>
      <formula2>1</formula2>
    </dataValidation>
    <dataValidation type="decimal" operator="greaterThan" allowBlank="1" showInputMessage="1" showErrorMessage="1" errorTitle="Other assumptions" error="Only numbers greater than 0% allowed." sqref="F49" xr:uid="{00000000-0002-0000-0000-000009000000}">
      <formula1>0</formula1>
    </dataValidation>
    <dataValidation type="decimal" allowBlank="1" showInputMessage="1" showErrorMessage="1" errorTitle="Costs" error="Only numbers between 0% and 100% allowed." sqref="E96" xr:uid="{00000000-0002-0000-0000-00000A000000}">
      <formula1>0</formula1>
      <formula2>1</formula2>
    </dataValidation>
    <dataValidation allowBlank="1" showInputMessage="1" showErrorMessage="1" errorTitle="Costs" error="Only numbers between 0% and 100% allowed." sqref="E90" xr:uid="{00000000-0002-0000-0000-00000B000000}"/>
    <dataValidation type="whole" operator="greaterThan" allowBlank="1" showInputMessage="1" showErrorMessage="1" errorTitle="Other assumptions" error="Only numbers greater than 0 allowed." sqref="D113" xr:uid="{00000000-0002-0000-0000-00000C000000}">
      <formula1>0</formula1>
    </dataValidation>
    <dataValidation type="decimal" operator="greaterThan" allowBlank="1" showInputMessage="1" showErrorMessage="1" errorTitle="Other assumptions" error="Only numbers greater than or equal to 0 allowed." sqref="E81 E99" xr:uid="{00000000-0002-0000-0000-00000D000000}">
      <formula1>0</formula1>
    </dataValidation>
    <dataValidation type="whole" allowBlank="1" showInputMessage="1" showErrorMessage="1" errorTitle="Other assumptions" error="Only whole numbers allowed. Minimum entry is 1, maximum entry is equal to the contract length." sqref="F66 D108" xr:uid="{00000000-0002-0000-0000-00000E000000}">
      <formula1>1</formula1>
      <formula2>Contract_Length</formula2>
    </dataValidation>
    <dataValidation type="decimal" operator="greaterThan" allowBlank="1" showInputMessage="1" showErrorMessage="1" errorTitle="Other assumptions" error="Only numbers greater than 0 allowed" sqref="D46" xr:uid="{00000000-0002-0000-0000-00000F000000}">
      <formula1>0</formula1>
    </dataValidation>
    <dataValidation type="whole" operator="greaterThanOrEqual" allowBlank="1" showInputMessage="1" showErrorMessage="1" errorTitle="Other assumptions" error="Only integers greater than or equal to 0 allowed." sqref="D54" xr:uid="{00000000-0002-0000-0000-000010000000}">
      <formula1>0</formula1>
    </dataValidation>
    <dataValidation type="decimal" allowBlank="1" showInputMessage="1" showErrorMessage="1" errorTitle="Other assumptions" error="Only numbers between -100% and 100% allowed." sqref="D62 D47 E54 E91 E95" xr:uid="{00000000-0002-0000-0000-000011000000}">
      <formula1>-1</formula1>
      <formula2>1</formula2>
    </dataValidation>
    <dataValidation type="decimal" allowBlank="1" showInputMessage="1" showErrorMessage="1" errorTitle="Other assumptions" error="Only numbers between 0% and 100% allowed." sqref="D48 F46:F48 D50:D51 D55 D63 D66 E92 E100 D106" xr:uid="{00000000-0002-0000-0000-000012000000}">
      <formula1>0</formula1>
      <formula2>1</formula2>
    </dataValidation>
    <dataValidation type="decimal" operator="greaterThanOrEqual" allowBlank="1" showInputMessage="1" showErrorMessage="1" errorTitle="Other assumptions" error="Only numbers greater than or equal to 0 allowed." sqref="D61:E61 E94" xr:uid="{00000000-0002-0000-0000-000013000000}">
      <formula1>0</formula1>
    </dataValidation>
    <dataValidation type="decimal" operator="greaterThan" allowBlank="1" showInputMessage="1" showErrorMessage="1" errorTitle="Other assumptions" error="Only numbers greater than 100% allowed." sqref="D73:D74 E74" xr:uid="{00000000-0002-0000-0000-000014000000}">
      <formula1>1</formula1>
    </dataValidation>
    <dataValidation type="decimal" operator="greaterThan" allowBlank="1" showInputMessage="1" showErrorMessage="1" errorTitle="Other assumptions" error="Only numbers greater than 0 allowed." sqref="D80:E80 E86" xr:uid="{00000000-0002-0000-0000-000015000000}">
      <formula1>0</formula1>
    </dataValidation>
    <dataValidation type="decimal" operator="greaterThanOrEqual" allowBlank="1" showInputMessage="1" showErrorMessage="1" errorTitle="Other assumptions" error="Only numbers greater than or equal to 0% allowed." sqref="E89" xr:uid="{00000000-0002-0000-0000-000016000000}">
      <formula1>0</formula1>
    </dataValidation>
  </dataValidations>
  <pageMargins left="0.75" right="0.75" top="1" bottom="1" header="0.5" footer="0.5"/>
  <pageSetup paperSize="9" orientation="portrait"/>
  <headerFooter>
    <oddHeader>&amp;LWSTK model - DRAFT &amp;D</oddHeader>
  </headerFooter>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tIntro">
    <pageSetUpPr fitToPage="1"/>
  </sheetPr>
  <dimension ref="B1:L44"/>
  <sheetViews>
    <sheetView workbookViewId="0">
      <selection activeCell="A1003" sqref="A1003:XFD1003"/>
    </sheetView>
  </sheetViews>
  <sheetFormatPr defaultColWidth="0" defaultRowHeight="12" customHeight="1" zeroHeight="1"/>
  <cols>
    <col min="1" max="1" width="2.88671875" style="3" customWidth="1"/>
    <col min="2" max="12" width="10" style="3" customWidth="1"/>
    <col min="13" max="13" width="2.88671875" style="3" customWidth="1"/>
    <col min="14" max="16384" width="0" style="3" hidden="1"/>
  </cols>
  <sheetData>
    <row r="1" spans="2:12" ht="8.25" customHeight="1"/>
    <row r="2" spans="2:12" ht="13.2">
      <c r="B2" s="81" t="s">
        <v>80</v>
      </c>
    </row>
    <row r="3" spans="2:12" ht="8.25" customHeight="1"/>
    <row r="4" spans="2:12" ht="13.2">
      <c r="B4" s="82"/>
      <c r="C4" s="83"/>
      <c r="D4" s="83"/>
      <c r="E4" s="83"/>
      <c r="F4" s="83"/>
      <c r="G4" s="83"/>
      <c r="H4" s="83"/>
      <c r="I4" s="83"/>
      <c r="J4" s="83"/>
      <c r="K4" s="83"/>
      <c r="L4" s="84"/>
    </row>
    <row r="5" spans="2:12" ht="13.5" customHeight="1">
      <c r="B5" s="85"/>
      <c r="C5" s="80"/>
      <c r="D5" s="80"/>
      <c r="E5" s="80"/>
      <c r="F5" s="80"/>
      <c r="G5" s="80"/>
      <c r="H5" s="80"/>
      <c r="I5" s="80"/>
      <c r="J5" s="80"/>
      <c r="K5" s="80"/>
      <c r="L5" s="86"/>
    </row>
    <row r="6" spans="2:12" ht="13.2">
      <c r="B6" s="85"/>
      <c r="C6" s="80"/>
      <c r="D6" s="80"/>
      <c r="E6" s="80"/>
      <c r="F6" s="80"/>
      <c r="G6" s="80"/>
      <c r="H6" s="80"/>
      <c r="I6" s="80"/>
      <c r="J6" s="80"/>
      <c r="K6" s="80"/>
      <c r="L6" s="86"/>
    </row>
    <row r="7" spans="2:12" ht="13.2">
      <c r="B7" s="85"/>
      <c r="C7" s="80"/>
      <c r="D7" s="80"/>
      <c r="E7" s="80"/>
      <c r="F7" s="80"/>
      <c r="G7" s="80"/>
      <c r="H7" s="80"/>
      <c r="I7" s="80"/>
      <c r="J7" s="80"/>
      <c r="K7" s="80"/>
      <c r="L7" s="86"/>
    </row>
    <row r="8" spans="2:12" ht="13.2">
      <c r="B8" s="85"/>
      <c r="C8" s="80"/>
      <c r="D8" s="80"/>
      <c r="E8" s="80"/>
      <c r="F8" s="80"/>
      <c r="G8" s="80"/>
      <c r="H8" s="80"/>
      <c r="I8" s="80"/>
      <c r="J8" s="80"/>
      <c r="K8" s="80"/>
      <c r="L8" s="86"/>
    </row>
    <row r="9" spans="2:12" ht="13.2">
      <c r="B9" s="85"/>
      <c r="C9" s="80"/>
      <c r="D9" s="80"/>
      <c r="E9" s="80"/>
      <c r="F9" s="80"/>
      <c r="G9" s="80"/>
      <c r="H9" s="80"/>
      <c r="I9" s="80"/>
      <c r="J9" s="80"/>
      <c r="K9" s="80"/>
      <c r="L9" s="86"/>
    </row>
    <row r="10" spans="2:12" ht="13.2">
      <c r="B10" s="85"/>
      <c r="C10" s="80"/>
      <c r="D10" s="80"/>
      <c r="E10" s="80"/>
      <c r="F10" s="80"/>
      <c r="G10" s="80"/>
      <c r="H10" s="80"/>
      <c r="I10" s="80"/>
      <c r="J10" s="80"/>
      <c r="K10" s="80"/>
      <c r="L10" s="86"/>
    </row>
    <row r="11" spans="2:12" ht="13.2">
      <c r="B11" s="85"/>
      <c r="C11" s="80"/>
      <c r="D11" s="80"/>
      <c r="E11" s="80"/>
      <c r="F11" s="80"/>
      <c r="G11" s="80"/>
      <c r="H11" s="80"/>
      <c r="I11" s="80"/>
      <c r="J11" s="80"/>
      <c r="K11" s="80"/>
      <c r="L11" s="86"/>
    </row>
    <row r="12" spans="2:12" ht="13.2">
      <c r="B12" s="85"/>
      <c r="C12" s="80"/>
      <c r="D12" s="80"/>
      <c r="E12" s="80"/>
      <c r="F12" s="80"/>
      <c r="G12" s="80"/>
      <c r="H12" s="80"/>
      <c r="I12" s="80"/>
      <c r="J12" s="80"/>
      <c r="K12" s="80"/>
      <c r="L12" s="86"/>
    </row>
    <row r="13" spans="2:12" ht="13.2">
      <c r="B13" s="85"/>
      <c r="C13" s="80"/>
      <c r="D13" s="80"/>
      <c r="E13" s="80"/>
      <c r="F13" s="80"/>
      <c r="G13" s="80"/>
      <c r="H13" s="80"/>
      <c r="I13" s="80"/>
      <c r="J13" s="80"/>
      <c r="K13" s="80"/>
      <c r="L13" s="86"/>
    </row>
    <row r="14" spans="2:12" ht="13.2">
      <c r="B14" s="85"/>
      <c r="C14" s="80"/>
      <c r="D14" s="80"/>
      <c r="E14" s="80"/>
      <c r="F14" s="80"/>
      <c r="G14" s="80"/>
      <c r="H14" s="80"/>
      <c r="I14" s="80"/>
      <c r="J14" s="80"/>
      <c r="K14" s="80"/>
      <c r="L14" s="86"/>
    </row>
    <row r="15" spans="2:12" ht="13.2">
      <c r="B15" s="87"/>
      <c r="C15" s="88"/>
      <c r="D15" s="88"/>
      <c r="E15" s="88"/>
      <c r="F15" s="88"/>
      <c r="G15" s="88"/>
      <c r="H15" s="88"/>
      <c r="I15" s="88"/>
      <c r="J15" s="88"/>
      <c r="K15" s="88"/>
      <c r="L15" s="89"/>
    </row>
    <row r="16" spans="2:12" ht="13.2">
      <c r="B16" s="90"/>
      <c r="C16" s="90"/>
      <c r="D16" s="90"/>
      <c r="E16" s="90"/>
      <c r="F16" s="90"/>
      <c r="G16" s="90"/>
      <c r="H16" s="90"/>
      <c r="I16" s="90"/>
      <c r="J16" s="90"/>
      <c r="K16" s="90"/>
      <c r="L16" s="90"/>
    </row>
    <row r="17" spans="2:12" ht="13.2">
      <c r="B17" s="90"/>
      <c r="C17" s="90"/>
      <c r="D17" s="90"/>
      <c r="E17" s="90"/>
      <c r="F17" s="90"/>
      <c r="G17" s="90"/>
      <c r="H17" s="90"/>
      <c r="I17" s="90"/>
      <c r="J17" s="90"/>
      <c r="K17" s="90"/>
      <c r="L17" s="90"/>
    </row>
    <row r="18" spans="2:12" ht="13.2">
      <c r="B18" s="90"/>
      <c r="C18" s="90"/>
      <c r="D18" s="90"/>
      <c r="E18" s="90"/>
      <c r="F18" s="90"/>
      <c r="G18" s="90"/>
      <c r="H18" s="90"/>
      <c r="I18" s="90"/>
      <c r="J18" s="90"/>
      <c r="K18" s="90"/>
      <c r="L18" s="90"/>
    </row>
    <row r="19" spans="2:12" ht="13.2">
      <c r="B19" s="90"/>
      <c r="C19" s="90"/>
      <c r="D19" s="90"/>
      <c r="E19" s="90"/>
      <c r="F19" s="90"/>
      <c r="G19" s="90"/>
      <c r="H19" s="90"/>
      <c r="I19" s="90"/>
      <c r="J19" s="90"/>
      <c r="K19" s="90"/>
      <c r="L19" s="90"/>
    </row>
    <row r="20" spans="2:12" ht="13.2">
      <c r="B20" s="90"/>
      <c r="C20" s="90"/>
      <c r="D20" s="90"/>
      <c r="E20" s="90"/>
      <c r="F20" s="90"/>
      <c r="G20" s="90"/>
      <c r="H20" s="90"/>
      <c r="I20" s="90"/>
      <c r="J20" s="90"/>
      <c r="K20" s="90"/>
      <c r="L20" s="90"/>
    </row>
    <row r="21" spans="2:12" ht="13.2">
      <c r="B21" s="90"/>
      <c r="C21" s="90"/>
      <c r="D21" s="90"/>
      <c r="E21" s="90"/>
      <c r="F21" s="90"/>
      <c r="G21" s="90"/>
      <c r="H21" s="90"/>
      <c r="I21" s="90"/>
      <c r="J21" s="90"/>
      <c r="K21" s="90"/>
      <c r="L21" s="90"/>
    </row>
    <row r="22" spans="2:12" ht="13.2">
      <c r="B22" s="90"/>
      <c r="C22" s="90"/>
      <c r="D22" s="90"/>
      <c r="E22" s="90"/>
      <c r="F22" s="90"/>
      <c r="G22" s="90"/>
      <c r="H22" s="90"/>
      <c r="I22" s="90"/>
      <c r="J22" s="90"/>
      <c r="K22" s="90"/>
      <c r="L22" s="90"/>
    </row>
    <row r="23" spans="2:12" ht="13.2">
      <c r="B23" s="90"/>
      <c r="C23" s="90"/>
      <c r="D23" s="90"/>
      <c r="E23" s="90"/>
      <c r="F23" s="90"/>
      <c r="G23" s="90"/>
      <c r="H23" s="90"/>
      <c r="I23" s="90"/>
      <c r="J23" s="90"/>
      <c r="K23" s="90"/>
      <c r="L23" s="90"/>
    </row>
    <row r="24" spans="2:12" ht="13.2">
      <c r="B24" s="90"/>
      <c r="C24" s="90"/>
      <c r="D24" s="90"/>
      <c r="E24" s="90"/>
      <c r="F24" s="90"/>
      <c r="G24" s="90"/>
      <c r="H24" s="90"/>
      <c r="I24" s="90"/>
      <c r="J24" s="90"/>
      <c r="K24" s="90"/>
      <c r="L24" s="90"/>
    </row>
    <row r="25" spans="2:12" ht="13.2"/>
    <row r="26" spans="2:12" ht="13.2"/>
    <row r="27" spans="2:12" ht="13.2"/>
    <row r="28" spans="2:12" ht="13.2"/>
    <row r="29" spans="2:12" ht="13.2"/>
    <row r="30" spans="2:12" ht="13.2"/>
    <row r="31" spans="2:12" ht="13.2"/>
    <row r="32" spans="2:12" ht="13.2"/>
    <row r="33" ht="13.2"/>
    <row r="34" ht="13.2"/>
    <row r="35" ht="13.2"/>
    <row r="36" ht="13.2"/>
    <row r="37" ht="13.2"/>
    <row r="38" ht="13.2"/>
    <row r="39" ht="13.2"/>
    <row r="40" ht="13.2"/>
    <row r="41" ht="13.2"/>
    <row r="42" ht="13.2"/>
    <row r="43" ht="13.2" hidden="1"/>
    <row r="44" ht="13.2" hidden="1"/>
  </sheetData>
  <sheetProtection sheet="1" objects="1" scenarios="1"/>
  <pageMargins left="0.75" right="0.75" top="1" bottom="1" header="0.5" footer="0.5"/>
  <pageSetup paperSize="9" scale="76" orientation="portrait" horizontalDpi="4294967294"/>
  <headerFooter>
    <oddHeader>&amp;C&amp;F</oddHeader>
    <oddFooter>&amp;L&amp;A&amp;R&amp;D &amp;T</oddFooter>
  </headerFooter>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tTariffAssumptions">
    <pageSetUpPr autoPageBreaks="0" fitToPage="1"/>
  </sheetPr>
  <dimension ref="A1:BL93"/>
  <sheetViews>
    <sheetView workbookViewId="0">
      <pane xSplit="6" ySplit="2" topLeftCell="G3" activePane="bottomRight" state="frozen"/>
      <selection activeCell="A1003" sqref="A1003:XFD1003"/>
      <selection pane="topRight" activeCell="A1003" sqref="A1003:XFD1003"/>
      <selection pane="bottomLeft" activeCell="A1003" sqref="A1003:XFD1003"/>
      <selection pane="bottomRight" activeCell="Y8" sqref="Y8:Y9"/>
    </sheetView>
  </sheetViews>
  <sheetFormatPr defaultColWidth="9.109375" defaultRowHeight="13.2"/>
  <cols>
    <col min="1" max="1" width="1.44140625" style="116" customWidth="1"/>
    <col min="2" max="2" width="2.88671875" style="114" customWidth="1"/>
    <col min="3" max="3" width="35.88671875" style="114" customWidth="1"/>
    <col min="4" max="4" width="9.88671875" style="114" customWidth="1"/>
    <col min="5" max="5" width="4.109375" style="114" customWidth="1"/>
    <col min="6" max="6" width="2" style="114" customWidth="1"/>
    <col min="7" max="7" width="2.109375" style="114" customWidth="1"/>
    <col min="8" max="8" width="8.33203125" style="114" customWidth="1"/>
    <col min="9" max="9" width="10" style="114" customWidth="1"/>
    <col min="10" max="11" width="8.33203125" style="114" customWidth="1"/>
    <col min="12" max="12" width="8.6640625" style="114" customWidth="1"/>
    <col min="13" max="13" width="10.6640625" style="114" customWidth="1"/>
    <col min="14" max="14" width="8" style="114" customWidth="1"/>
    <col min="15" max="15" width="8.33203125" style="114" customWidth="1"/>
    <col min="16" max="16" width="9.44140625" style="114" customWidth="1"/>
    <col min="17" max="17" width="4.109375" style="114" customWidth="1"/>
    <col min="18" max="20" width="8.44140625" style="114" customWidth="1"/>
    <col min="21" max="21" width="3.44140625" style="114" customWidth="1"/>
    <col min="22" max="24" width="8.44140625" style="114" customWidth="1"/>
    <col min="25" max="25" width="3.44140625" style="114" customWidth="1"/>
    <col min="26" max="28" width="8.44140625" style="114" customWidth="1"/>
    <col min="29" max="29" width="10.33203125" style="114" customWidth="1"/>
    <col min="30" max="32" width="8.109375" style="114" customWidth="1"/>
    <col min="33" max="33" width="5.44140625" style="114" customWidth="1"/>
    <col min="34" max="34" width="7" style="114" bestFit="1" customWidth="1"/>
    <col min="35" max="42" width="14.109375" style="114" customWidth="1"/>
    <col min="43" max="67" width="9.6640625" style="114" customWidth="1"/>
    <col min="68" max="16384" width="9.109375" style="114"/>
  </cols>
  <sheetData>
    <row r="1" spans="1:34" s="3" customFormat="1">
      <c r="A1" s="91"/>
    </row>
    <row r="2" spans="1:34" s="92" customFormat="1" ht="33.75" customHeight="1" thickBot="1">
      <c r="A2" s="92" t="s">
        <v>81</v>
      </c>
      <c r="B2" s="93" t="s">
        <v>82</v>
      </c>
      <c r="C2" s="94"/>
      <c r="D2" s="94"/>
      <c r="E2" s="94"/>
      <c r="H2" s="93" t="s">
        <v>83</v>
      </c>
      <c r="I2" s="94"/>
      <c r="J2" s="94"/>
      <c r="K2" s="94"/>
      <c r="L2" s="94"/>
      <c r="M2" s="94"/>
      <c r="N2" s="94"/>
      <c r="O2" s="94"/>
      <c r="P2" s="94"/>
      <c r="R2" s="93" t="s">
        <v>3</v>
      </c>
      <c r="S2" s="94"/>
      <c r="T2" s="94"/>
      <c r="U2" s="94"/>
      <c r="V2" s="94"/>
      <c r="W2" s="94"/>
      <c r="X2" s="94"/>
      <c r="Y2" s="94"/>
      <c r="Z2" s="94"/>
      <c r="AA2" s="94"/>
      <c r="AB2" s="94"/>
      <c r="AC2" s="94"/>
    </row>
    <row r="3" spans="1:34" s="90" customFormat="1" ht="16.5" customHeight="1">
      <c r="A3" s="95"/>
      <c r="R3" s="3"/>
      <c r="S3" s="3"/>
      <c r="T3" s="3"/>
      <c r="V3" s="3"/>
      <c r="W3" s="3"/>
      <c r="X3" s="3"/>
    </row>
    <row r="4" spans="1:34" s="3" customFormat="1" ht="12.75" customHeight="1">
      <c r="A4" s="96"/>
      <c r="B4" s="12" t="s">
        <v>24</v>
      </c>
      <c r="D4" s="14">
        <v>20</v>
      </c>
      <c r="R4" s="97" t="s">
        <v>84</v>
      </c>
      <c r="S4" s="97"/>
      <c r="T4" s="97"/>
      <c r="U4" s="90"/>
      <c r="V4" s="306" t="str">
        <f>"Present value of operator cash flows (" &amp; Tariff_Period &amp; " year reset)"</f>
        <v>Present value of operator cash flows (5 year reset)</v>
      </c>
      <c r="W4" s="306"/>
      <c r="X4" s="306"/>
      <c r="Y4" s="90"/>
      <c r="AD4" s="98"/>
    </row>
    <row r="5" spans="1:34" s="3" customFormat="1" ht="16.5" customHeight="1">
      <c r="A5" s="96"/>
      <c r="B5" s="6"/>
      <c r="D5" s="15"/>
      <c r="R5" s="99" t="s">
        <v>85</v>
      </c>
      <c r="S5" s="99"/>
      <c r="T5" s="100">
        <v>1000</v>
      </c>
      <c r="U5" s="90"/>
      <c r="V5" s="306"/>
      <c r="W5" s="306"/>
      <c r="X5" s="306"/>
      <c r="Y5" s="90"/>
      <c r="AD5" s="98"/>
    </row>
    <row r="6" spans="1:34" s="3" customFormat="1">
      <c r="A6" s="96"/>
      <c r="B6" s="4" t="s">
        <v>25</v>
      </c>
      <c r="P6" s="101"/>
      <c r="R6" s="80" t="s">
        <v>86</v>
      </c>
      <c r="S6" s="80"/>
      <c r="T6" s="102">
        <f>MAX(SWPNZPSYWSLKSESPZO!$D$4:$D$65536)-MIN(SWPNZPSYWSLKSESPZO!$D$4:$D$65536)</f>
        <v>1.3907407410442829E-3</v>
      </c>
      <c r="U6" s="90"/>
      <c r="V6" s="80" t="s">
        <v>87</v>
      </c>
      <c r="W6" s="80"/>
      <c r="X6" s="103">
        <f>IF(SUM(INDEX(SimResults,,1))=0,,AVERAGE(INDEX(SimResults,,1)))</f>
        <v>6.9602919691083844</v>
      </c>
      <c r="Y6" s="90"/>
    </row>
    <row r="7" spans="1:34" s="3" customFormat="1" ht="12.75" customHeight="1">
      <c r="A7" s="96"/>
      <c r="B7" s="12" t="s">
        <v>26</v>
      </c>
      <c r="D7" s="16">
        <v>1</v>
      </c>
      <c r="M7" s="104"/>
      <c r="N7" s="105"/>
      <c r="O7" s="104"/>
      <c r="P7" s="101"/>
      <c r="U7" s="90"/>
      <c r="V7" s="106" t="s">
        <v>88</v>
      </c>
      <c r="W7" s="106"/>
      <c r="X7" s="107">
        <f>IF(SUM(INDEX(SimResults,,1))=0,,STDEV(INDEX(SimResults,,1)))</f>
        <v>28.897678227592188</v>
      </c>
      <c r="Y7" s="90"/>
    </row>
    <row r="8" spans="1:34" s="3" customFormat="1">
      <c r="A8" s="96"/>
      <c r="B8" s="6"/>
      <c r="C8" s="3" t="str">
        <f>"(Existing service coverage is " &amp; 'Other assumptions'!$D$15*100 &amp; "%)"</f>
        <v>(Existing service coverage is 50%)</v>
      </c>
      <c r="D8" s="15"/>
      <c r="P8" s="101"/>
      <c r="V8" s="80" t="s">
        <v>89</v>
      </c>
      <c r="W8" s="80"/>
      <c r="X8" s="103">
        <f>MAX(INDEX(SimResults,,1))</f>
        <v>89.483330665632479</v>
      </c>
      <c r="Y8" s="98">
        <f>IF(X8=0,,IF(X8&gt;0,ROUNDUP(X8,-AG27),ROUNDDOWN(X8,-AG27)))</f>
        <v>90</v>
      </c>
    </row>
    <row r="9" spans="1:34" s="3" customFormat="1">
      <c r="A9" s="96"/>
      <c r="B9" s="12" t="s">
        <v>27</v>
      </c>
      <c r="D9" s="17">
        <v>10</v>
      </c>
      <c r="P9" s="101"/>
      <c r="V9" s="80" t="s">
        <v>90</v>
      </c>
      <c r="W9" s="80"/>
      <c r="X9" s="103">
        <f>MIN(INDEX(SimResults,,1))</f>
        <v>-111.81072027623119</v>
      </c>
      <c r="Y9" s="98">
        <f>IF(X9=0,,IF(X9&gt;0,ROUNDDOWN(X9,-AG27),ROUNDUP(X9,-AG27)))</f>
        <v>-120</v>
      </c>
    </row>
    <row r="10" spans="1:34" s="3" customFormat="1" ht="12.75" customHeight="1">
      <c r="A10" s="96"/>
      <c r="C10" s="6"/>
      <c r="P10" s="101"/>
      <c r="V10" s="108" t="s">
        <v>91</v>
      </c>
      <c r="W10" s="108"/>
      <c r="X10" s="108"/>
      <c r="Y10" s="90"/>
    </row>
    <row r="11" spans="1:34" s="3" customFormat="1" ht="12.75" customHeight="1">
      <c r="A11" s="96"/>
      <c r="B11" s="4" t="s">
        <v>28</v>
      </c>
      <c r="P11" s="101"/>
      <c r="U11" s="109"/>
      <c r="V11" s="110" t="str">
        <f>"Prob(Average debt ratio &lt; " &amp; MinDebtRatio &amp; ")"</f>
        <v>Prob(Average debt ratio &lt; 1)</v>
      </c>
      <c r="W11" s="80"/>
      <c r="X11" s="111">
        <f>IF(ServExt_LoanPct*ServExt_Debt=0,"N/a",SUM(INDEX(SimResults,,2))/Sim_Num)</f>
        <v>7.0000000000000001E-3</v>
      </c>
      <c r="Y11" s="90"/>
    </row>
    <row r="12" spans="1:34" s="3" customFormat="1">
      <c r="A12" s="96"/>
      <c r="C12" s="12" t="str">
        <f>"Annual fixed payment (" &amp;MonDenomination &amp; " of " &amp; lbl_LocalCurrency&amp;")"</f>
        <v>Annual fixed payment (Millions of pesos)</v>
      </c>
      <c r="D12" s="18">
        <v>0</v>
      </c>
      <c r="P12" s="101"/>
      <c r="U12" s="109"/>
    </row>
    <row r="13" spans="1:34" s="3" customFormat="1">
      <c r="A13" s="96"/>
      <c r="C13" s="12" t="str">
        <f>" (Operating cost in Year 0 is " &amp; ROUND('Analysis - No risk'!$D$30+'Analysis - No risk'!$D$33*'Analysis - No risk'!$D$21+'Analysis - No risk'!$D$31*'Analysis - No risk'!$D$8+'Analysis - No risk'!$D$34*'Analysis - No risk'!$D$21*'Analysis - No risk'!$D$8,0) &amp; " Million " &amp; lbl_LocalCurrency&amp; ")"</f>
        <v xml:space="preserve"> (Operating cost in Year 0 is 47 Million pesos)</v>
      </c>
      <c r="P13" s="101"/>
      <c r="U13" s="109"/>
    </row>
    <row r="14" spans="1:34" s="3" customFormat="1">
      <c r="A14" s="96"/>
      <c r="C14" s="19"/>
      <c r="P14" s="101"/>
      <c r="AG14" s="98" t="e">
        <f>IF(AND(MAX(INDEX(SimResults,,2))=0,MIN(INDEX(SimResults,,2))=0),,MIN(INT(LOG(ABS(MAX(INDEX(SimResults,,2))))),INT(LOG(ABS(MIN(INDEX(SimResults,,2)))))))</f>
        <v>#NUM!</v>
      </c>
    </row>
    <row r="15" spans="1:34" s="3" customFormat="1">
      <c r="B15" s="4" t="s">
        <v>29</v>
      </c>
      <c r="P15" s="101"/>
      <c r="AG15" s="98"/>
    </row>
    <row r="16" spans="1:34" s="3" customFormat="1">
      <c r="A16" s="96"/>
      <c r="C16" s="3" t="s">
        <v>30</v>
      </c>
      <c r="D16" s="20">
        <v>0.5</v>
      </c>
      <c r="P16" s="101"/>
      <c r="AG16" s="98"/>
      <c r="AH16" s="98"/>
    </row>
    <row r="17" spans="1:34" s="3" customFormat="1">
      <c r="A17" s="96"/>
      <c r="C17" s="3" t="s">
        <v>31</v>
      </c>
      <c r="D17" s="21">
        <f>1-ServExt_LoanPct</f>
        <v>0.5</v>
      </c>
      <c r="P17" s="101"/>
      <c r="AG17" s="98"/>
      <c r="AH17" s="98"/>
    </row>
    <row r="18" spans="1:34" s="3" customFormat="1">
      <c r="A18" s="96"/>
      <c r="P18" s="101"/>
      <c r="AG18" s="98"/>
      <c r="AH18" s="98"/>
    </row>
    <row r="19" spans="1:34" s="3" customFormat="1">
      <c r="A19" s="98" t="str">
        <f>lbl_Dom</f>
        <v>Domestic</v>
      </c>
      <c r="C19" s="3" t="s">
        <v>32</v>
      </c>
      <c r="D19" s="20">
        <v>0.5</v>
      </c>
      <c r="P19" s="101"/>
      <c r="AG19" s="98"/>
      <c r="AH19" s="98"/>
    </row>
    <row r="20" spans="1:34" s="3" customFormat="1">
      <c r="A20" s="98" t="str">
        <f>lbl_For</f>
        <v>Foreign</v>
      </c>
      <c r="C20" s="3" t="s">
        <v>33</v>
      </c>
      <c r="D20" s="22" t="s">
        <v>18</v>
      </c>
      <c r="P20" s="101"/>
      <c r="AG20" s="98"/>
      <c r="AH20" s="98"/>
    </row>
    <row r="21" spans="1:34" s="3" customFormat="1">
      <c r="C21" s="3" t="s">
        <v>34</v>
      </c>
      <c r="D21" s="23">
        <v>20</v>
      </c>
      <c r="P21" s="101"/>
      <c r="AG21" s="98"/>
      <c r="AH21" s="98"/>
    </row>
    <row r="22" spans="1:34" s="3" customFormat="1">
      <c r="A22" s="96"/>
      <c r="C22" s="3" t="s">
        <v>35</v>
      </c>
      <c r="D22" s="24">
        <v>5</v>
      </c>
      <c r="P22" s="101"/>
      <c r="AG22" s="98"/>
      <c r="AH22" s="98"/>
    </row>
    <row r="23" spans="1:34" s="3" customFormat="1">
      <c r="A23" s="96"/>
      <c r="P23" s="101"/>
      <c r="AG23" s="98"/>
      <c r="AH23" s="98"/>
    </row>
    <row r="24" spans="1:34" s="3" customFormat="1">
      <c r="A24" s="96"/>
      <c r="B24" s="4" t="s">
        <v>36</v>
      </c>
      <c r="AG24" s="98"/>
      <c r="AH24" s="98"/>
    </row>
    <row r="25" spans="1:34" s="3" customFormat="1">
      <c r="A25" s="96"/>
      <c r="B25" s="6" t="s">
        <v>37</v>
      </c>
      <c r="AG25" s="98"/>
      <c r="AH25" s="98"/>
    </row>
    <row r="26" spans="1:34" s="3" customFormat="1">
      <c r="A26" s="96"/>
      <c r="C26" s="3" t="s">
        <v>38</v>
      </c>
      <c r="D26" s="25">
        <v>5</v>
      </c>
      <c r="AG26" s="98"/>
      <c r="AH26" s="98"/>
    </row>
    <row r="27" spans="1:34" s="3" customFormat="1" ht="12.75" customHeight="1">
      <c r="A27" s="96"/>
      <c r="AG27" s="98">
        <f>IF(AND(MAX(INDEX(SimResults,,1))=0,MIN(INDEX(SimResults,,1))=0),,MIN(INT(LOG(ABS(MAX(INDEX(SimResults,,1))))),INT(LOG(ABS(MIN(INDEX(SimResults,,1)))))))</f>
        <v>1</v>
      </c>
    </row>
    <row r="28" spans="1:34" s="3" customFormat="1" ht="12.75" customHeight="1">
      <c r="A28" s="96"/>
      <c r="AG28" s="98"/>
    </row>
    <row r="29" spans="1:34" s="3" customFormat="1">
      <c r="A29" s="96"/>
      <c r="AG29" s="98"/>
      <c r="AH29" s="98"/>
    </row>
    <row r="30" spans="1:34" s="3" customFormat="1">
      <c r="A30" s="96"/>
      <c r="R30" s="90"/>
      <c r="S30" s="90"/>
      <c r="T30" s="90"/>
      <c r="U30" s="90"/>
      <c r="V30" s="90"/>
      <c r="W30" s="90"/>
      <c r="AG30" s="98"/>
      <c r="AH30" s="98"/>
    </row>
    <row r="31" spans="1:34" s="3" customFormat="1">
      <c r="A31" s="96"/>
      <c r="R31" s="90"/>
      <c r="S31" s="90"/>
      <c r="T31" s="90"/>
      <c r="U31" s="90"/>
      <c r="V31" s="90"/>
      <c r="W31" s="90"/>
      <c r="AG31" s="98"/>
      <c r="AH31" s="98"/>
    </row>
    <row r="32" spans="1:34" s="3" customFormat="1">
      <c r="A32" s="96"/>
      <c r="R32" s="90"/>
      <c r="S32" s="90"/>
      <c r="T32" s="90"/>
      <c r="U32" s="90"/>
      <c r="V32" s="90"/>
      <c r="W32" s="90"/>
      <c r="AG32" s="98"/>
      <c r="AH32" s="98"/>
    </row>
    <row r="33" spans="1:64" s="3" customFormat="1">
      <c r="A33" s="96"/>
      <c r="R33" s="90"/>
      <c r="S33" s="90"/>
      <c r="T33" s="90"/>
      <c r="U33" s="90"/>
      <c r="V33" s="90"/>
      <c r="W33" s="90"/>
      <c r="AG33" s="98"/>
      <c r="AH33" s="98"/>
    </row>
    <row r="34" spans="1:64" s="3" customFormat="1">
      <c r="A34" s="96"/>
      <c r="R34" s="90"/>
      <c r="S34" s="90"/>
      <c r="T34" s="90"/>
      <c r="U34" s="90"/>
      <c r="V34" s="90"/>
      <c r="W34" s="90"/>
    </row>
    <row r="35" spans="1:64" s="3" customFormat="1">
      <c r="A35" s="96"/>
    </row>
    <row r="36" spans="1:64" s="3" customFormat="1">
      <c r="A36" s="96"/>
    </row>
    <row r="37" spans="1:64" s="3" customFormat="1">
      <c r="A37" s="96"/>
    </row>
    <row r="38" spans="1:64" s="3" customFormat="1">
      <c r="A38" s="96"/>
      <c r="Z38" s="90"/>
      <c r="AA38" s="90"/>
      <c r="AB38" s="90"/>
    </row>
    <row r="39" spans="1:64" s="3" customFormat="1" ht="13.8" thickBot="1">
      <c r="P39" s="90"/>
      <c r="Q39" s="90"/>
      <c r="R39" s="90"/>
      <c r="S39" s="90"/>
      <c r="T39" s="90"/>
      <c r="U39" s="90"/>
      <c r="V39" s="90"/>
      <c r="W39" s="90"/>
      <c r="X39" s="90"/>
      <c r="Y39" s="90"/>
      <c r="Z39" s="90"/>
      <c r="AA39" s="90"/>
      <c r="AB39" s="90"/>
      <c r="AC39" s="90"/>
      <c r="AD39" s="90"/>
      <c r="AE39" s="90"/>
      <c r="AF39" s="90"/>
      <c r="AG39" s="90"/>
      <c r="AH39" s="90"/>
      <c r="AI39" s="90"/>
      <c r="AJ39" s="90"/>
      <c r="AK39" s="90"/>
      <c r="AL39" s="90"/>
      <c r="AM39" s="90"/>
      <c r="AN39" s="90"/>
      <c r="AO39" s="90"/>
      <c r="AP39" s="90"/>
      <c r="AQ39" s="90"/>
      <c r="AR39" s="90"/>
      <c r="AS39" s="90"/>
      <c r="AT39" s="90"/>
      <c r="AU39" s="90"/>
      <c r="AV39" s="90"/>
      <c r="AW39" s="90"/>
      <c r="AX39" s="90"/>
      <c r="AY39" s="90"/>
      <c r="AZ39" s="90"/>
      <c r="BA39" s="90"/>
      <c r="BB39" s="90"/>
      <c r="BC39" s="90"/>
      <c r="BD39" s="90"/>
      <c r="BE39" s="90"/>
      <c r="BF39" s="90"/>
      <c r="BG39" s="90"/>
      <c r="BH39" s="90"/>
      <c r="BI39" s="90"/>
      <c r="BJ39" s="90"/>
      <c r="BK39" s="90"/>
      <c r="BL39" s="90"/>
    </row>
    <row r="40" spans="1:64" s="78" customFormat="1">
      <c r="A40" s="112"/>
    </row>
    <row r="41" spans="1:64">
      <c r="A41" s="113"/>
    </row>
    <row r="42" spans="1:64">
      <c r="A42" s="113"/>
    </row>
    <row r="43" spans="1:64">
      <c r="A43" s="113"/>
    </row>
    <row r="44" spans="1:64">
      <c r="A44" s="113"/>
    </row>
    <row r="45" spans="1:64">
      <c r="A45" s="113"/>
    </row>
    <row r="46" spans="1:64">
      <c r="A46" s="113"/>
    </row>
    <row r="47" spans="1:64">
      <c r="A47" s="113"/>
    </row>
    <row r="48" spans="1:64">
      <c r="A48" s="113"/>
    </row>
    <row r="49" spans="1:1">
      <c r="A49" s="113"/>
    </row>
    <row r="50" spans="1:1">
      <c r="A50" s="113"/>
    </row>
    <row r="51" spans="1:1">
      <c r="A51" s="113"/>
    </row>
    <row r="52" spans="1:1">
      <c r="A52" s="113"/>
    </row>
    <row r="53" spans="1:1">
      <c r="A53" s="113"/>
    </row>
    <row r="54" spans="1:1">
      <c r="A54" s="113"/>
    </row>
    <row r="55" spans="1:1">
      <c r="A55" s="113"/>
    </row>
    <row r="56" spans="1:1">
      <c r="A56" s="113"/>
    </row>
    <row r="57" spans="1:1">
      <c r="A57" s="113"/>
    </row>
    <row r="58" spans="1:1">
      <c r="A58" s="113"/>
    </row>
    <row r="59" spans="1:1">
      <c r="A59" s="113"/>
    </row>
    <row r="60" spans="1:1">
      <c r="A60" s="113"/>
    </row>
    <row r="61" spans="1:1">
      <c r="A61" s="113"/>
    </row>
    <row r="62" spans="1:1">
      <c r="A62" s="113"/>
    </row>
    <row r="63" spans="1:1">
      <c r="A63" s="113"/>
    </row>
    <row r="64" spans="1:1">
      <c r="A64" s="113"/>
    </row>
    <row r="65" spans="1:1">
      <c r="A65" s="113"/>
    </row>
    <row r="66" spans="1:1">
      <c r="A66" s="113"/>
    </row>
    <row r="67" spans="1:1">
      <c r="A67" s="113"/>
    </row>
    <row r="68" spans="1:1">
      <c r="A68" s="113"/>
    </row>
    <row r="69" spans="1:1">
      <c r="A69" s="113"/>
    </row>
    <row r="70" spans="1:1">
      <c r="A70" s="113"/>
    </row>
    <row r="71" spans="1:1">
      <c r="A71" s="113"/>
    </row>
    <row r="72" spans="1:1">
      <c r="A72" s="113"/>
    </row>
    <row r="73" spans="1:1">
      <c r="A73" s="113"/>
    </row>
    <row r="74" spans="1:1">
      <c r="A74" s="113"/>
    </row>
    <row r="75" spans="1:1">
      <c r="A75" s="113"/>
    </row>
    <row r="76" spans="1:1">
      <c r="A76" s="113"/>
    </row>
    <row r="77" spans="1:1">
      <c r="A77" s="113"/>
    </row>
    <row r="78" spans="1:1">
      <c r="A78" s="113"/>
    </row>
    <row r="79" spans="1:1">
      <c r="A79" s="113"/>
    </row>
    <row r="80" spans="1:1">
      <c r="A80" s="113"/>
    </row>
    <row r="81" spans="1:1">
      <c r="A81" s="113"/>
    </row>
    <row r="82" spans="1:1">
      <c r="A82" s="113"/>
    </row>
    <row r="83" spans="1:1">
      <c r="A83" s="113"/>
    </row>
    <row r="84" spans="1:1">
      <c r="A84" s="113"/>
    </row>
    <row r="85" spans="1:1">
      <c r="A85" s="113"/>
    </row>
    <row r="86" spans="1:1">
      <c r="A86" s="113"/>
    </row>
    <row r="87" spans="1:1">
      <c r="A87" s="113"/>
    </row>
    <row r="88" spans="1:1">
      <c r="A88" s="113"/>
    </row>
    <row r="89" spans="1:1">
      <c r="A89" s="113"/>
    </row>
    <row r="90" spans="1:1">
      <c r="A90" s="113"/>
    </row>
    <row r="92" spans="1:1" s="80" customFormat="1">
      <c r="A92" s="115"/>
    </row>
    <row r="93" spans="1:1" s="80" customFormat="1">
      <c r="A93" s="115"/>
    </row>
  </sheetData>
  <sheetProtection sheet="1" objects="1" scenarios="1"/>
  <mergeCells count="1">
    <mergeCell ref="V4:X5"/>
  </mergeCells>
  <dataValidations count="9">
    <dataValidation type="decimal" allowBlank="1" showInputMessage="1" showErrorMessage="1" errorTitle="Policy choices" error="Only numbers between -999,999 and 999,999 allowed." sqref="D12" xr:uid="{00000000-0002-0000-0200-000000000000}">
      <formula1>-999999</formula1>
      <formula2>999999</formula2>
    </dataValidation>
    <dataValidation type="whole" allowBlank="1" showInputMessage="1" showErrorMessage="1" errorTitle="Policy choices" error="Only whole numbers allowed. Minimum contract length is 1 year and maximum is 40 years." sqref="D4" xr:uid="{00000000-0002-0000-0200-000001000000}">
      <formula1>1</formula1>
      <formula2>MaxYr</formula2>
    </dataValidation>
    <dataValidation type="decimal" allowBlank="1" showInputMessage="1" showErrorMessage="1" errorTitle="Policy choices" error="Only numbers between the existing service coverage and 100% allowed." sqref="D7" xr:uid="{00000000-0002-0000-0200-000002000000}">
      <formula1>MAX(ServTarget_Exist,0)</formula1>
      <formula2>1</formula2>
    </dataValidation>
    <dataValidation type="list" allowBlank="1" showInputMessage="1" showErrorMessage="1" errorTitle="Policy choices" error="Currency of loan has to be denominated either in local currency or in foreign currency." sqref="D20" xr:uid="{00000000-0002-0000-0200-000003000000}">
      <formula1>$A$19:$A$20</formula1>
    </dataValidation>
    <dataValidation type="decimal" allowBlank="1" showInputMessage="1" showErrorMessage="1" errorTitle="Policy choices" error="Only numbers between 0% and 100% allowed." sqref="D19 D16" xr:uid="{00000000-0002-0000-0200-000004000000}">
      <formula1>0</formula1>
      <formula2>1</formula2>
    </dataValidation>
    <dataValidation type="whole" allowBlank="1" showInputMessage="1" showErrorMessage="1" errorTitle="Policy choices" error="Only whole numbers allowed. Minimum entry is 1, maximum entry is equal to the contract length." sqref="D26 D21:D22 D9" xr:uid="{00000000-0002-0000-0200-000005000000}">
      <formula1>1</formula1>
      <formula2>Contract_Length</formula2>
    </dataValidation>
    <dataValidation type="whole" allowBlank="1" showInputMessage="1" showErrorMessage="1" errorTitle="Simulation" error="Only integers between 1 and 65530 allowed." sqref="T5" xr:uid="{00000000-0002-0000-0200-000006000000}">
      <formula1>1</formula1>
      <formula2>65530</formula2>
    </dataValidation>
    <dataValidation showInputMessage="1" showErrorMessage="1" sqref="T6" xr:uid="{00000000-0002-0000-0200-000007000000}"/>
    <dataValidation allowBlank="1" showErrorMessage="1" sqref="Y8:Y9 X11 AD4:AD5" xr:uid="{00000000-0002-0000-0200-000008000000}"/>
  </dataValidations>
  <pageMargins left="0.75" right="0.75" top="1" bottom="1" header="0.5" footer="0.5"/>
  <pageSetup scale="68" orientation="landscape" r:id="rId1"/>
  <headerFooter>
    <oddHeader>&amp;LPAGE &amp;P OF  &amp;N&amp;C&amp;F</oddHeader>
    <oddFooter>&amp;L&amp;A&amp;R&amp;D &amp;T</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073" r:id="rId4" name="Group Box 1">
              <controlPr defaultSize="0" autoFill="0" autoPict="0">
                <anchor moveWithCells="1">
                  <from>
                    <xdr:col>17</xdr:col>
                    <xdr:colOff>0</xdr:colOff>
                    <xdr:row>3</xdr:row>
                    <xdr:rowOff>0</xdr:rowOff>
                  </from>
                  <to>
                    <xdr:col>20</xdr:col>
                    <xdr:colOff>0</xdr:colOff>
                    <xdr:row>6</xdr:row>
                    <xdr:rowOff>0</xdr:rowOff>
                  </to>
                </anchor>
              </controlPr>
            </control>
          </mc:Choice>
        </mc:AlternateContent>
        <mc:AlternateContent xmlns:mc="http://schemas.openxmlformats.org/markup-compatibility/2006">
          <mc:Choice Requires="x14">
            <control shapeId="3074" r:id="rId5" name="Button 2">
              <controlPr defaultSize="0" print="0" autoFill="0" autoPict="0" macro="[1]!Simulate">
                <anchor moveWithCells="1" sizeWithCells="1">
                  <from>
                    <xdr:col>21</xdr:col>
                    <xdr:colOff>541020</xdr:colOff>
                    <xdr:row>1</xdr:row>
                    <xdr:rowOff>68580</xdr:rowOff>
                  </from>
                  <to>
                    <xdr:col>24</xdr:col>
                    <xdr:colOff>190500</xdr:colOff>
                    <xdr:row>1</xdr:row>
                    <xdr:rowOff>350520</xdr:rowOff>
                  </to>
                </anchor>
              </controlPr>
            </control>
          </mc:Choice>
        </mc:AlternateContent>
        <mc:AlternateContent xmlns:mc="http://schemas.openxmlformats.org/markup-compatibility/2006">
          <mc:Choice Requires="x14">
            <control shapeId="3075" r:id="rId6" name="Group Box 3">
              <controlPr defaultSize="0" autoFill="0" autoPict="0">
                <anchor moveWithCells="1">
                  <from>
                    <xdr:col>21</xdr:col>
                    <xdr:colOff>0</xdr:colOff>
                    <xdr:row>3</xdr:row>
                    <xdr:rowOff>0</xdr:rowOff>
                  </from>
                  <to>
                    <xdr:col>24</xdr:col>
                    <xdr:colOff>0</xdr:colOff>
                    <xdr:row>11</xdr:row>
                    <xdr:rowOff>0</xdr:rowOff>
                  </to>
                </anchor>
              </controlPr>
            </control>
          </mc:Choice>
        </mc:AlternateContent>
        <mc:AlternateContent xmlns:mc="http://schemas.openxmlformats.org/markup-compatibility/2006">
          <mc:Choice Requires="x14">
            <control shapeId="3076" r:id="rId7" name="Button 4">
              <controlPr defaultSize="0" print="0" autoFill="0" autoPict="0" macro="[1]!SaveAsDefault">
                <anchor moveWithCells="1" sizeWithCells="1">
                  <from>
                    <xdr:col>1</xdr:col>
                    <xdr:colOff>38100</xdr:colOff>
                    <xdr:row>27</xdr:row>
                    <xdr:rowOff>30480</xdr:rowOff>
                  </from>
                  <to>
                    <xdr:col>2</xdr:col>
                    <xdr:colOff>1409700</xdr:colOff>
                    <xdr:row>29</xdr:row>
                    <xdr:rowOff>76200</xdr:rowOff>
                  </to>
                </anchor>
              </controlPr>
            </control>
          </mc:Choice>
        </mc:AlternateContent>
        <mc:AlternateContent xmlns:mc="http://schemas.openxmlformats.org/markup-compatibility/2006">
          <mc:Choice Requires="x14">
            <control shapeId="3077" r:id="rId8" name="Button 5">
              <controlPr defaultSize="0" print="0" autoFill="0" autoPict="0" macro="[1]!RestoreDefault">
                <anchor moveWithCells="1" sizeWithCells="1">
                  <from>
                    <xdr:col>2</xdr:col>
                    <xdr:colOff>2011680</xdr:colOff>
                    <xdr:row>27</xdr:row>
                    <xdr:rowOff>38100</xdr:rowOff>
                  </from>
                  <to>
                    <xdr:col>4</xdr:col>
                    <xdr:colOff>114300</xdr:colOff>
                    <xdr:row>29</xdr:row>
                    <xdr:rowOff>76200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tAssumptions">
    <pageSetUpPr autoPageBreaks="0"/>
  </sheetPr>
  <dimension ref="A1:AR137"/>
  <sheetViews>
    <sheetView workbookViewId="0">
      <pane ySplit="1" topLeftCell="A14" activePane="bottomLeft" state="frozen"/>
      <selection activeCell="A1003" sqref="A1003:XFD1003"/>
      <selection pane="bottomLeft" activeCell="E61" sqref="E61"/>
    </sheetView>
  </sheetViews>
  <sheetFormatPr defaultColWidth="9.109375" defaultRowHeight="13.2"/>
  <cols>
    <col min="1" max="2" width="2.88671875" style="126" customWidth="1"/>
    <col min="3" max="3" width="32.6640625" style="126" customWidth="1"/>
    <col min="4" max="4" width="16.109375" style="126" bestFit="1" customWidth="1"/>
    <col min="5" max="5" width="21.88671875" style="126" customWidth="1"/>
    <col min="6" max="6" width="11.6640625" style="126" customWidth="1"/>
    <col min="7" max="8" width="5.44140625" style="126" customWidth="1"/>
    <col min="9" max="9" width="5.33203125" style="126" customWidth="1"/>
    <col min="10" max="10" width="6.6640625" style="126" customWidth="1"/>
    <col min="11" max="12" width="14.109375" style="126" customWidth="1"/>
    <col min="13" max="13" width="9.44140625" style="126" customWidth="1"/>
    <col min="14" max="14" width="7.33203125" style="126" customWidth="1"/>
    <col min="15" max="15" width="5.6640625" style="126" customWidth="1"/>
    <col min="16" max="16" width="4.6640625" style="126" customWidth="1"/>
    <col min="17" max="44" width="14.109375" style="126" customWidth="1"/>
    <col min="45" max="69" width="9.6640625" style="126" customWidth="1"/>
    <col min="70" max="16384" width="9.109375" style="126"/>
  </cols>
  <sheetData>
    <row r="1" spans="1:44" s="2" customFormat="1" ht="37.5" customHeight="1" thickBot="1">
      <c r="B1" s="1" t="s">
        <v>92</v>
      </c>
      <c r="E1" s="1"/>
      <c r="G1" s="1"/>
    </row>
    <row r="2" spans="1:44" s="45" customFormat="1" ht="17.399999999999999">
      <c r="B2" s="43" t="s">
        <v>93</v>
      </c>
      <c r="C2" s="44"/>
      <c r="H2" s="3"/>
      <c r="I2" s="3"/>
      <c r="J2" s="3"/>
      <c r="K2" s="3"/>
      <c r="L2" s="3"/>
      <c r="M2" s="3"/>
      <c r="T2" s="3"/>
    </row>
    <row r="3" spans="1:44" s="45" customFormat="1" ht="14.25" customHeight="1">
      <c r="A3" s="117"/>
      <c r="H3" s="307" t="s">
        <v>94</v>
      </c>
      <c r="I3" s="307"/>
      <c r="J3" s="307"/>
      <c r="K3" s="3"/>
      <c r="L3" s="3"/>
      <c r="M3" s="3"/>
      <c r="T3" s="118"/>
    </row>
    <row r="4" spans="1:44" s="3" customFormat="1">
      <c r="A4" s="96"/>
      <c r="B4" s="4" t="s">
        <v>39</v>
      </c>
      <c r="D4" s="26"/>
      <c r="E4" s="26"/>
      <c r="F4" s="26"/>
      <c r="G4" s="26"/>
      <c r="H4" s="119" t="s">
        <v>95</v>
      </c>
      <c r="I4" s="119" t="s">
        <v>96</v>
      </c>
      <c r="J4" s="120">
        <v>3</v>
      </c>
      <c r="T4" s="118"/>
      <c r="U4" s="13"/>
      <c r="V4" s="13"/>
      <c r="W4" s="13"/>
      <c r="X4" s="13"/>
      <c r="Y4" s="13"/>
      <c r="Z4" s="13"/>
      <c r="AA4" s="13"/>
      <c r="AB4" s="13"/>
      <c r="AC4" s="13"/>
      <c r="AD4" s="13"/>
      <c r="AE4" s="13"/>
      <c r="AF4" s="13"/>
      <c r="AG4" s="13"/>
      <c r="AH4" s="13"/>
      <c r="AI4" s="13"/>
      <c r="AJ4" s="13"/>
      <c r="AK4" s="13"/>
      <c r="AL4" s="13"/>
      <c r="AM4" s="13"/>
      <c r="AN4" s="13"/>
      <c r="AO4" s="13"/>
      <c r="AP4" s="13"/>
      <c r="AQ4" s="13"/>
      <c r="AR4" s="13"/>
    </row>
    <row r="5" spans="1:44" s="3" customFormat="1">
      <c r="A5" s="96"/>
      <c r="B5" s="4"/>
      <c r="C5" s="6" t="s">
        <v>40</v>
      </c>
      <c r="D5" s="26"/>
      <c r="E5" s="27" t="s">
        <v>41</v>
      </c>
      <c r="F5" s="26"/>
      <c r="G5" s="26"/>
      <c r="H5" s="119" t="s">
        <v>42</v>
      </c>
      <c r="I5" s="119" t="s">
        <v>97</v>
      </c>
      <c r="J5" s="119"/>
      <c r="T5" s="118"/>
      <c r="U5" s="13"/>
      <c r="V5" s="13"/>
      <c r="W5" s="13"/>
      <c r="X5" s="13"/>
      <c r="Y5" s="13"/>
      <c r="Z5" s="13"/>
      <c r="AA5" s="13"/>
      <c r="AB5" s="13"/>
      <c r="AC5" s="13"/>
      <c r="AD5" s="13"/>
      <c r="AE5" s="13"/>
      <c r="AF5" s="13"/>
      <c r="AG5" s="13"/>
      <c r="AH5" s="13"/>
      <c r="AI5" s="13"/>
      <c r="AJ5" s="13"/>
      <c r="AK5" s="13"/>
      <c r="AL5" s="13"/>
      <c r="AM5" s="13"/>
      <c r="AN5" s="13"/>
      <c r="AO5" s="13"/>
      <c r="AP5" s="13"/>
      <c r="AQ5" s="13"/>
      <c r="AR5" s="13"/>
    </row>
    <row r="6" spans="1:44" s="3" customFormat="1">
      <c r="A6" s="96"/>
      <c r="C6" s="12" t="str">
        <f>"Exchange rate (" &amp; lbl_LocalCurrency &amp; " per " &amp; lbl_ForCurrency&amp;")"</f>
        <v>Exchange rate (pesos per dollars)</v>
      </c>
      <c r="D6" s="28">
        <v>100</v>
      </c>
      <c r="E6" s="29" t="s">
        <v>42</v>
      </c>
      <c r="F6" s="20">
        <v>0.05</v>
      </c>
      <c r="H6" s="119" t="s">
        <v>98</v>
      </c>
      <c r="I6" s="119" t="s">
        <v>99</v>
      </c>
      <c r="J6" s="119"/>
      <c r="T6" s="118"/>
    </row>
    <row r="7" spans="1:44" s="3" customFormat="1">
      <c r="A7" s="96"/>
      <c r="C7" s="30" t="s">
        <v>43</v>
      </c>
      <c r="D7" s="31">
        <v>0.05</v>
      </c>
      <c r="E7" s="32" t="s">
        <v>44</v>
      </c>
      <c r="F7" s="22">
        <v>0.08</v>
      </c>
      <c r="H7" s="119"/>
      <c r="I7" s="119"/>
      <c r="J7" s="119"/>
    </row>
    <row r="8" spans="1:44" s="3" customFormat="1">
      <c r="A8" s="96"/>
      <c r="C8" s="30" t="s">
        <v>45</v>
      </c>
      <c r="D8" s="33">
        <v>0.05</v>
      </c>
      <c r="E8" s="32" t="s">
        <v>45</v>
      </c>
      <c r="F8" s="34">
        <v>0.02</v>
      </c>
      <c r="O8" s="121"/>
      <c r="P8" s="121"/>
      <c r="T8" s="121"/>
    </row>
    <row r="9" spans="1:44" s="3" customFormat="1">
      <c r="A9" s="96"/>
      <c r="E9" s="32" t="s">
        <v>46</v>
      </c>
      <c r="F9" s="35">
        <v>5</v>
      </c>
      <c r="O9" s="121"/>
      <c r="P9" s="121"/>
      <c r="T9" s="121"/>
    </row>
    <row r="10" spans="1:44" s="3" customFormat="1">
      <c r="A10" s="96"/>
      <c r="C10" s="12" t="s">
        <v>47</v>
      </c>
      <c r="D10" s="36">
        <v>0.05</v>
      </c>
      <c r="R10" s="121"/>
      <c r="S10" s="121"/>
      <c r="T10" s="121"/>
    </row>
    <row r="11" spans="1:44" s="3" customFormat="1">
      <c r="A11" s="96"/>
      <c r="C11" s="12" t="s">
        <v>48</v>
      </c>
      <c r="D11" s="33">
        <v>7.0000000000000007E-2</v>
      </c>
      <c r="E11" s="37"/>
    </row>
    <row r="12" spans="1:44" s="3" customFormat="1">
      <c r="A12" s="91"/>
      <c r="R12" s="90"/>
      <c r="S12" s="90"/>
      <c r="T12" s="90"/>
    </row>
    <row r="13" spans="1:44" s="3" customFormat="1">
      <c r="A13" s="122"/>
      <c r="D13" s="26" t="s">
        <v>49</v>
      </c>
      <c r="E13" s="3" t="s">
        <v>50</v>
      </c>
      <c r="R13" s="90"/>
      <c r="S13" s="90"/>
      <c r="T13" s="90"/>
    </row>
    <row r="14" spans="1:44" s="3" customFormat="1">
      <c r="A14" s="96"/>
      <c r="B14" s="6" t="s">
        <v>51</v>
      </c>
      <c r="C14" s="12"/>
      <c r="D14" s="38">
        <v>50000</v>
      </c>
      <c r="E14" s="39">
        <v>0</v>
      </c>
    </row>
    <row r="15" spans="1:44" s="3" customFormat="1">
      <c r="A15" s="96"/>
      <c r="B15" s="40" t="s">
        <v>52</v>
      </c>
      <c r="D15" s="16">
        <v>0.5</v>
      </c>
      <c r="E15" s="13"/>
      <c r="F15" s="13"/>
      <c r="G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row>
    <row r="16" spans="1:44" s="3" customFormat="1">
      <c r="A16" s="96"/>
      <c r="D16" s="41"/>
      <c r="E16" s="42"/>
      <c r="F16" s="13"/>
      <c r="G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row>
    <row r="17" spans="1:44" s="3" customFormat="1">
      <c r="A17" s="96"/>
      <c r="D17" s="41"/>
      <c r="E17" s="42"/>
      <c r="F17" s="13"/>
      <c r="G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row>
    <row r="18" spans="1:44" s="45" customFormat="1" ht="17.399999999999999">
      <c r="B18" s="43" t="s">
        <v>53</v>
      </c>
      <c r="C18" s="44"/>
      <c r="H18" s="3"/>
      <c r="I18" s="3"/>
      <c r="J18" s="3"/>
      <c r="K18" s="3"/>
      <c r="L18" s="3"/>
      <c r="M18" s="3"/>
      <c r="N18" s="3"/>
      <c r="O18" s="3"/>
      <c r="P18" s="3"/>
      <c r="Q18" s="3"/>
      <c r="R18" s="3"/>
      <c r="S18" s="3"/>
      <c r="T18" s="3"/>
    </row>
    <row r="19" spans="1:44" s="45" customFormat="1" ht="12" customHeight="1">
      <c r="A19" s="117"/>
      <c r="H19" s="3"/>
      <c r="I19" s="3"/>
      <c r="J19" s="3"/>
      <c r="K19" s="3"/>
      <c r="L19" s="3"/>
      <c r="M19" s="3"/>
      <c r="N19" s="3"/>
      <c r="O19" s="3"/>
      <c r="P19" s="3"/>
      <c r="Q19" s="3"/>
      <c r="R19" s="3"/>
      <c r="S19" s="3"/>
      <c r="T19" s="3"/>
    </row>
    <row r="20" spans="1:44" s="3" customFormat="1" ht="26.4">
      <c r="A20" s="96"/>
      <c r="B20" s="46" t="s">
        <v>53</v>
      </c>
      <c r="D20" s="26" t="s">
        <v>54</v>
      </c>
      <c r="E20" s="47" t="s">
        <v>55</v>
      </c>
    </row>
    <row r="21" spans="1:44" s="3" customFormat="1">
      <c r="A21" s="96"/>
      <c r="B21" s="48" t="s">
        <v>56</v>
      </c>
      <c r="C21" s="49"/>
      <c r="D21" s="50">
        <v>150</v>
      </c>
      <c r="E21" s="25">
        <v>75</v>
      </c>
    </row>
    <row r="22" spans="1:44" s="3" customFormat="1">
      <c r="A22" s="96"/>
      <c r="C22" s="12" t="s">
        <v>57</v>
      </c>
      <c r="D22" s="36">
        <v>0.02</v>
      </c>
    </row>
    <row r="23" spans="1:44" s="3" customFormat="1">
      <c r="A23" s="96"/>
      <c r="C23" s="12" t="s">
        <v>58</v>
      </c>
      <c r="D23" s="33">
        <v>0.03</v>
      </c>
    </row>
    <row r="24" spans="1:44" s="3" customFormat="1">
      <c r="A24" s="96"/>
      <c r="D24" s="51"/>
      <c r="E24" s="26"/>
    </row>
    <row r="25" spans="1:44" s="3" customFormat="1">
      <c r="A25" s="96"/>
      <c r="D25" s="3" t="s">
        <v>59</v>
      </c>
      <c r="E25" s="3" t="s">
        <v>60</v>
      </c>
      <c r="F25" s="3" t="s">
        <v>61</v>
      </c>
    </row>
    <row r="26" spans="1:44" s="3" customFormat="1">
      <c r="A26" s="96"/>
      <c r="B26" s="4" t="s">
        <v>62</v>
      </c>
      <c r="D26" s="52">
        <v>0.01</v>
      </c>
      <c r="E26" s="53">
        <v>0.03</v>
      </c>
      <c r="F26" s="54">
        <v>5</v>
      </c>
    </row>
    <row r="27" spans="1:44" s="3" customFormat="1">
      <c r="A27" s="96"/>
    </row>
    <row r="28" spans="1:44" s="3" customFormat="1">
      <c r="A28" s="91"/>
    </row>
    <row r="29" spans="1:44" s="45" customFormat="1" ht="17.399999999999999">
      <c r="B29" s="43" t="s">
        <v>63</v>
      </c>
      <c r="C29" s="44"/>
      <c r="H29" s="3"/>
      <c r="I29" s="3"/>
      <c r="J29" s="3"/>
      <c r="K29" s="3"/>
      <c r="L29" s="3"/>
      <c r="M29" s="3"/>
      <c r="N29" s="3"/>
      <c r="O29" s="3"/>
      <c r="P29" s="3"/>
      <c r="Q29" s="3"/>
      <c r="R29" s="3"/>
    </row>
    <row r="30" spans="1:44" s="3" customFormat="1">
      <c r="A30" s="91"/>
    </row>
    <row r="31" spans="1:44" s="3" customFormat="1">
      <c r="A31" s="96"/>
      <c r="C31" s="4"/>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row>
    <row r="32" spans="1:44" s="3" customFormat="1" ht="26.4">
      <c r="A32" s="96"/>
      <c r="B32" s="6" t="s">
        <v>64</v>
      </c>
      <c r="C32" s="12"/>
      <c r="D32" s="26" t="str">
        <f>"Volumetric charge (" &amp; lbl_LocalCurrency&amp; " per m3)"</f>
        <v>Volumetric charge (pesos per m3)</v>
      </c>
      <c r="E32" s="26" t="s">
        <v>65</v>
      </c>
      <c r="F32" s="26"/>
      <c r="G32" s="26"/>
    </row>
    <row r="33" spans="1:44" s="3" customFormat="1">
      <c r="A33" s="96"/>
      <c r="C33" s="12" t="s">
        <v>54</v>
      </c>
      <c r="D33" s="55">
        <v>2.5</v>
      </c>
      <c r="E33" s="56"/>
      <c r="F33" s="26"/>
      <c r="G33" s="26"/>
    </row>
    <row r="34" spans="1:44" s="3" customFormat="1">
      <c r="A34" s="96"/>
      <c r="C34" s="12" t="s">
        <v>55</v>
      </c>
      <c r="D34" s="57">
        <v>1.5</v>
      </c>
      <c r="E34" s="58">
        <v>1.3</v>
      </c>
      <c r="F34" s="26"/>
      <c r="G34" s="26"/>
    </row>
    <row r="35" spans="1:44" s="3" customFormat="1">
      <c r="A35" s="96"/>
      <c r="D35" s="41"/>
      <c r="E35" s="56"/>
      <c r="F35" s="13"/>
      <c r="G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row>
    <row r="36" spans="1:44" s="3" customFormat="1">
      <c r="A36" s="91"/>
      <c r="F36" s="59"/>
    </row>
    <row r="37" spans="1:44" s="45" customFormat="1" ht="17.399999999999999">
      <c r="B37" s="43" t="s">
        <v>66</v>
      </c>
      <c r="C37" s="44"/>
      <c r="H37" s="3"/>
      <c r="I37" s="3"/>
      <c r="J37" s="3"/>
      <c r="K37" s="3"/>
      <c r="L37" s="3"/>
      <c r="M37" s="3"/>
      <c r="N37" s="3"/>
      <c r="O37" s="3"/>
      <c r="P37" s="3"/>
      <c r="Q37" s="3"/>
      <c r="R37" s="3"/>
    </row>
    <row r="38" spans="1:44" s="3" customFormat="1">
      <c r="A38" s="96"/>
    </row>
    <row r="39" spans="1:44" s="3" customFormat="1" ht="26.4">
      <c r="A39" s="96"/>
      <c r="B39" s="46" t="s">
        <v>67</v>
      </c>
      <c r="D39" s="26" t="s">
        <v>54</v>
      </c>
      <c r="E39" s="47" t="s">
        <v>55</v>
      </c>
      <c r="F39" s="12"/>
      <c r="G39" s="62"/>
    </row>
    <row r="40" spans="1:44" s="3" customFormat="1">
      <c r="A40" s="96"/>
      <c r="C40" s="12" t="str">
        <f>PROPER( lbl_LocalCurrency)&amp; " per m3"</f>
        <v>Pesos per m3</v>
      </c>
      <c r="D40" s="60">
        <v>30</v>
      </c>
      <c r="E40" s="61">
        <v>45</v>
      </c>
      <c r="F40" s="12"/>
    </row>
    <row r="41" spans="1:44" s="3" customFormat="1">
      <c r="A41" s="96"/>
      <c r="C41" s="12" t="str">
        <f>"Monthly coping cost ("&amp;lbl_LocalCurrency&amp;")"</f>
        <v>Monthly coping cost (pesos)</v>
      </c>
      <c r="D41" s="62"/>
      <c r="E41" s="63">
        <v>1000</v>
      </c>
      <c r="F41" s="12"/>
    </row>
    <row r="42" spans="1:44" s="3" customFormat="1">
      <c r="A42" s="96"/>
    </row>
    <row r="43" spans="1:44" s="3" customFormat="1">
      <c r="A43" s="91"/>
    </row>
    <row r="44" spans="1:44" s="45" customFormat="1" ht="17.399999999999999">
      <c r="B44" s="43" t="s">
        <v>68</v>
      </c>
      <c r="C44" s="44"/>
    </row>
    <row r="45" spans="1:44" s="45" customFormat="1" ht="12" customHeight="1">
      <c r="A45" s="117"/>
    </row>
    <row r="46" spans="1:44" s="3" customFormat="1">
      <c r="A46" s="91"/>
      <c r="B46" s="4" t="str">
        <f>"Investment cost per new connection (" &amp; lbl_LocalCurrency &amp; ")"</f>
        <v>Investment cost per new connection (pesos)</v>
      </c>
      <c r="E46" s="60">
        <v>2000</v>
      </c>
    </row>
    <row r="47" spans="1:44" s="3" customFormat="1">
      <c r="A47" s="91"/>
      <c r="B47" s="4"/>
    </row>
    <row r="48" spans="1:44" s="3" customFormat="1">
      <c r="A48" s="91"/>
      <c r="B48" s="4" t="s">
        <v>69</v>
      </c>
      <c r="D48" s="64"/>
    </row>
    <row r="49" spans="1:5" s="3" customFormat="1" ht="26.4">
      <c r="A49" s="91"/>
      <c r="C49" s="65" t="s">
        <v>70</v>
      </c>
      <c r="E49" s="20">
        <v>0.4</v>
      </c>
    </row>
    <row r="50" spans="1:5" s="3" customFormat="1">
      <c r="A50" s="91"/>
      <c r="C50" s="66" t="str">
        <f>"Existing fixed operating cost (" &amp;lbl_LocalCurrency &amp; ")"</f>
        <v>Existing fixed operating cost (pesos)</v>
      </c>
      <c r="E50" s="67">
        <f>E49*InvestPerConnection*ServTarget_Exist*Customers_Init</f>
        <v>20000000</v>
      </c>
    </row>
    <row r="51" spans="1:5" s="3" customFormat="1">
      <c r="A51" s="91"/>
      <c r="C51" s="3" t="s">
        <v>71</v>
      </c>
      <c r="E51" s="22">
        <v>0.03</v>
      </c>
    </row>
    <row r="52" spans="1:5" s="3" customFormat="1">
      <c r="A52" s="91"/>
      <c r="C52" s="3" t="str">
        <f>"Proportion of costs denominated in "&amp; lbl_ForCurrency</f>
        <v>Proportion of costs denominated in dollars</v>
      </c>
      <c r="E52" s="68">
        <v>0.5</v>
      </c>
    </row>
    <row r="53" spans="1:5" s="3" customFormat="1">
      <c r="A53" s="91"/>
      <c r="B53" s="4" t="s">
        <v>72</v>
      </c>
    </row>
    <row r="54" spans="1:5" s="3" customFormat="1">
      <c r="A54" s="91"/>
      <c r="C54" s="3" t="str">
        <f>PROPER( lbl_LocalCurrency)&amp; " per m3"</f>
        <v>Pesos per m3</v>
      </c>
      <c r="E54" s="69">
        <v>20</v>
      </c>
    </row>
    <row r="55" spans="1:5" s="3" customFormat="1">
      <c r="A55" s="91"/>
      <c r="C55" s="3" t="s">
        <v>71</v>
      </c>
      <c r="E55" s="68">
        <v>0.03</v>
      </c>
    </row>
    <row r="56" spans="1:5" s="3" customFormat="1">
      <c r="A56" s="91"/>
      <c r="C56" s="3" t="str">
        <f>"Proportion of costs denominated in "&amp; lbl_ForCurrency</f>
        <v>Proportion of costs denominated in dollars</v>
      </c>
      <c r="E56" s="16">
        <v>0.5</v>
      </c>
    </row>
    <row r="57" spans="1:5" s="3" customFormat="1">
      <c r="A57" s="91"/>
      <c r="E57" s="70"/>
    </row>
    <row r="58" spans="1:5" s="3" customFormat="1">
      <c r="A58" s="91"/>
      <c r="B58" s="4" t="s">
        <v>73</v>
      </c>
    </row>
    <row r="59" spans="1:5" s="3" customFormat="1">
      <c r="A59" s="91"/>
      <c r="C59" s="3" t="str">
        <f>"Initial asset base ("&amp;lbl_LocalCurrency&amp;")"</f>
        <v>Initial asset base (pesos)</v>
      </c>
      <c r="E59" s="71">
        <v>100000000</v>
      </c>
    </row>
    <row r="60" spans="1:5" s="3" customFormat="1">
      <c r="A60" s="91"/>
      <c r="C60" s="3" t="s">
        <v>74</v>
      </c>
      <c r="E60" s="68">
        <v>0.05</v>
      </c>
    </row>
    <row r="61" spans="1:5" s="3" customFormat="1">
      <c r="A61" s="91"/>
    </row>
    <row r="62" spans="1:5" s="3" customFormat="1">
      <c r="A62" s="91"/>
      <c r="C62" s="72"/>
      <c r="D62" s="73"/>
      <c r="E62" s="73"/>
    </row>
    <row r="63" spans="1:5" s="3" customFormat="1">
      <c r="A63" s="91"/>
      <c r="C63" s="72"/>
      <c r="D63" s="73"/>
      <c r="E63" s="73"/>
    </row>
    <row r="64" spans="1:5" s="45" customFormat="1" ht="17.399999999999999">
      <c r="B64" s="43" t="s">
        <v>75</v>
      </c>
      <c r="C64" s="44"/>
    </row>
    <row r="65" spans="1:20" s="3" customFormat="1">
      <c r="A65" s="91"/>
      <c r="E65" s="74"/>
    </row>
    <row r="66" spans="1:20" s="3" customFormat="1">
      <c r="A66" s="91"/>
      <c r="B66" s="6" t="s">
        <v>76</v>
      </c>
      <c r="D66" s="20">
        <v>1</v>
      </c>
    </row>
    <row r="67" spans="1:20" s="3" customFormat="1">
      <c r="A67" s="96"/>
      <c r="B67" s="6" t="s">
        <v>60</v>
      </c>
      <c r="D67" s="22">
        <v>1</v>
      </c>
    </row>
    <row r="68" spans="1:20" s="3" customFormat="1">
      <c r="A68" s="96"/>
      <c r="B68" s="6" t="s">
        <v>77</v>
      </c>
      <c r="D68" s="75">
        <v>10</v>
      </c>
    </row>
    <row r="69" spans="1:20" s="3" customFormat="1">
      <c r="A69" s="91"/>
    </row>
    <row r="70" spans="1:20" s="3" customFormat="1">
      <c r="A70" s="91"/>
    </row>
    <row r="71" spans="1:20" s="45" customFormat="1" ht="17.399999999999999">
      <c r="B71" s="43" t="s">
        <v>78</v>
      </c>
      <c r="C71" s="44"/>
    </row>
    <row r="72" spans="1:20" s="45" customFormat="1" ht="12" customHeight="1">
      <c r="A72" s="117"/>
    </row>
    <row r="73" spans="1:20" s="3" customFormat="1">
      <c r="A73" s="91"/>
      <c r="B73" s="76" t="s">
        <v>79</v>
      </c>
      <c r="D73" s="77">
        <v>1</v>
      </c>
    </row>
    <row r="74" spans="1:20" s="3" customFormat="1">
      <c r="A74" s="91"/>
      <c r="C74" s="72"/>
      <c r="D74" s="73"/>
      <c r="E74" s="73"/>
    </row>
    <row r="75" spans="1:20" s="3" customFormat="1">
      <c r="E75" s="109"/>
      <c r="F75" s="109"/>
      <c r="G75" s="109"/>
      <c r="H75" s="109"/>
      <c r="I75" s="109"/>
      <c r="J75" s="109"/>
      <c r="K75" s="109"/>
      <c r="L75" s="109"/>
      <c r="M75" s="109"/>
      <c r="N75" s="109"/>
      <c r="O75" s="109"/>
      <c r="P75" s="109"/>
      <c r="Q75" s="109"/>
      <c r="R75" s="109"/>
      <c r="S75" s="109"/>
    </row>
    <row r="76" spans="1:20" s="3" customFormat="1" ht="13.8" thickBot="1">
      <c r="F76" s="109"/>
      <c r="G76" s="109"/>
      <c r="H76" s="109"/>
      <c r="I76" s="109"/>
      <c r="J76" s="109"/>
      <c r="K76" s="109"/>
      <c r="L76" s="109"/>
      <c r="M76" s="109"/>
      <c r="N76" s="109"/>
      <c r="O76" s="109"/>
      <c r="P76" s="109"/>
      <c r="Q76" s="109"/>
      <c r="R76" s="109"/>
      <c r="S76" s="109"/>
      <c r="T76" s="109"/>
    </row>
    <row r="77" spans="1:20" s="124" customFormat="1">
      <c r="A77" s="123"/>
    </row>
    <row r="78" spans="1:20">
      <c r="A78" s="125"/>
    </row>
    <row r="79" spans="1:20">
      <c r="A79" s="125"/>
    </row>
    <row r="80" spans="1:20">
      <c r="A80" s="125"/>
    </row>
    <row r="81" spans="1:1">
      <c r="A81" s="125"/>
    </row>
    <row r="82" spans="1:1">
      <c r="A82" s="125"/>
    </row>
    <row r="83" spans="1:1">
      <c r="A83" s="125"/>
    </row>
    <row r="84" spans="1:1">
      <c r="A84" s="125"/>
    </row>
    <row r="85" spans="1:1">
      <c r="A85" s="125"/>
    </row>
    <row r="86" spans="1:1">
      <c r="A86" s="125"/>
    </row>
    <row r="87" spans="1:1">
      <c r="A87" s="125"/>
    </row>
    <row r="88" spans="1:1">
      <c r="A88" s="125"/>
    </row>
    <row r="89" spans="1:1">
      <c r="A89" s="125"/>
    </row>
    <row r="90" spans="1:1">
      <c r="A90" s="125"/>
    </row>
    <row r="91" spans="1:1">
      <c r="A91" s="125"/>
    </row>
    <row r="92" spans="1:1">
      <c r="A92" s="125"/>
    </row>
    <row r="93" spans="1:1">
      <c r="A93" s="125"/>
    </row>
    <row r="94" spans="1:1">
      <c r="A94" s="125"/>
    </row>
    <row r="95" spans="1:1">
      <c r="A95" s="125"/>
    </row>
    <row r="96" spans="1:1">
      <c r="A96" s="125"/>
    </row>
    <row r="97" spans="1:1">
      <c r="A97" s="125"/>
    </row>
    <row r="98" spans="1:1">
      <c r="A98" s="125"/>
    </row>
    <row r="99" spans="1:1">
      <c r="A99" s="125"/>
    </row>
    <row r="100" spans="1:1">
      <c r="A100" s="125"/>
    </row>
    <row r="101" spans="1:1">
      <c r="A101" s="125"/>
    </row>
    <row r="102" spans="1:1">
      <c r="A102" s="125"/>
    </row>
    <row r="103" spans="1:1">
      <c r="A103" s="125"/>
    </row>
    <row r="104" spans="1:1">
      <c r="A104" s="125"/>
    </row>
    <row r="105" spans="1:1">
      <c r="A105" s="125"/>
    </row>
    <row r="106" spans="1:1">
      <c r="A106" s="125"/>
    </row>
    <row r="107" spans="1:1">
      <c r="A107" s="125"/>
    </row>
    <row r="108" spans="1:1">
      <c r="A108" s="125"/>
    </row>
    <row r="109" spans="1:1">
      <c r="A109" s="125"/>
    </row>
    <row r="110" spans="1:1">
      <c r="A110" s="125"/>
    </row>
    <row r="111" spans="1:1">
      <c r="A111" s="125"/>
    </row>
    <row r="112" spans="1:1">
      <c r="A112" s="125"/>
    </row>
    <row r="113" spans="1:1">
      <c r="A113" s="125"/>
    </row>
    <row r="114" spans="1:1">
      <c r="A114" s="125"/>
    </row>
    <row r="115" spans="1:1">
      <c r="A115" s="125"/>
    </row>
    <row r="116" spans="1:1">
      <c r="A116" s="125"/>
    </row>
    <row r="117" spans="1:1">
      <c r="A117" s="125"/>
    </row>
    <row r="118" spans="1:1">
      <c r="A118" s="125"/>
    </row>
    <row r="119" spans="1:1">
      <c r="A119" s="125"/>
    </row>
    <row r="120" spans="1:1">
      <c r="A120" s="125"/>
    </row>
    <row r="121" spans="1:1">
      <c r="A121" s="125"/>
    </row>
    <row r="122" spans="1:1">
      <c r="A122" s="125"/>
    </row>
    <row r="123" spans="1:1">
      <c r="A123" s="125"/>
    </row>
    <row r="124" spans="1:1">
      <c r="A124" s="125"/>
    </row>
    <row r="125" spans="1:1">
      <c r="A125" s="125"/>
    </row>
    <row r="126" spans="1:1">
      <c r="A126" s="125"/>
    </row>
    <row r="127" spans="1:1">
      <c r="A127" s="125"/>
    </row>
    <row r="128" spans="1:1">
      <c r="A128" s="125"/>
    </row>
    <row r="129" spans="1:1">
      <c r="A129" s="125"/>
    </row>
    <row r="130" spans="1:1">
      <c r="A130" s="125"/>
    </row>
    <row r="131" spans="1:1">
      <c r="A131" s="125"/>
    </row>
    <row r="132" spans="1:1">
      <c r="A132" s="125"/>
    </row>
    <row r="133" spans="1:1">
      <c r="A133" s="125"/>
    </row>
    <row r="134" spans="1:1">
      <c r="A134" s="125"/>
    </row>
    <row r="136" spans="1:1" s="127" customFormat="1"/>
    <row r="137" spans="1:1" s="127" customFormat="1"/>
  </sheetData>
  <sheetProtection sheet="1" objects="1" scenarios="1"/>
  <mergeCells count="1">
    <mergeCell ref="H3:J3"/>
  </mergeCells>
  <dataValidations count="16">
    <dataValidation type="decimal" operator="greaterThanOrEqual" allowBlank="1" showInputMessage="1" showErrorMessage="1" errorTitle="Other assumptions" error="Only numbers greater than or equal to 0% allowed." sqref="E49" xr:uid="{00000000-0002-0000-0300-000000000000}">
      <formula1>0</formula1>
    </dataValidation>
    <dataValidation type="decimal" operator="greaterThan" allowBlank="1" showInputMessage="1" showErrorMessage="1" errorTitle="Other assumptions" error="Only numbers greater than 0 allowed." sqref="D40:E40 E46" xr:uid="{00000000-0002-0000-0300-000001000000}">
      <formula1>0</formula1>
    </dataValidation>
    <dataValidation type="decimal" operator="greaterThan" allowBlank="1" showInputMessage="1" showErrorMessage="1" errorTitle="Other assumptions" error="Only numbers greater than 100% allowed." sqref="D33:D34 E34" xr:uid="{00000000-0002-0000-0300-000002000000}">
      <formula1>1</formula1>
    </dataValidation>
    <dataValidation type="decimal" operator="greaterThanOrEqual" allowBlank="1" showInputMessage="1" showErrorMessage="1" errorTitle="Other assumptions" error="Only numbers greater than or equal to 0 allowed." sqref="D21:E21 E54" xr:uid="{00000000-0002-0000-0300-000003000000}">
      <formula1>0</formula1>
    </dataValidation>
    <dataValidation type="decimal" allowBlank="1" showInputMessage="1" showErrorMessage="1" errorTitle="Other assumptions" error="Only numbers between 0% and 100% allowed." sqref="D8 F6:F8 D10:D11 D15 D23 D26 E52 E60 D66" xr:uid="{00000000-0002-0000-0300-000004000000}">
      <formula1>0</formula1>
      <formula2>1</formula2>
    </dataValidation>
    <dataValidation type="decimal" allowBlank="1" showInputMessage="1" showErrorMessage="1" errorTitle="Other assumptions" error="Only numbers between -100% and 100% allowed." sqref="D22 D7 E14 E51 E55" xr:uid="{00000000-0002-0000-0300-000005000000}">
      <formula1>-1</formula1>
      <formula2>1</formula2>
    </dataValidation>
    <dataValidation type="whole" operator="greaterThanOrEqual" allowBlank="1" showInputMessage="1" showErrorMessage="1" errorTitle="Other assumptions" error="Only integers greater than or equal to 0 allowed." sqref="D14" xr:uid="{00000000-0002-0000-0300-000006000000}">
      <formula1>0</formula1>
    </dataValidation>
    <dataValidation type="decimal" operator="greaterThan" allowBlank="1" showInputMessage="1" showErrorMessage="1" errorTitle="Other assumptions" error="Only numbers greater than 0 allowed" sqref="D6" xr:uid="{00000000-0002-0000-0300-000007000000}">
      <formula1>0</formula1>
    </dataValidation>
    <dataValidation type="whole" allowBlank="1" showInputMessage="1" showErrorMessage="1" errorTitle="Other assumptions" error="Only whole numbers allowed. Minimum entry is 1, maximum entry is equal to the contract length." sqref="F26 D68" xr:uid="{00000000-0002-0000-0300-000008000000}">
      <formula1>1</formula1>
      <formula2>Contract_Length</formula2>
    </dataValidation>
    <dataValidation type="decimal" operator="greaterThan" allowBlank="1" showInputMessage="1" showErrorMessage="1" errorTitle="Other assumptions" error="Only numbers greater than or equal to 0 allowed." sqref="E41 E59" xr:uid="{00000000-0002-0000-0300-000009000000}">
      <formula1>0</formula1>
    </dataValidation>
    <dataValidation type="whole" operator="greaterThan" allowBlank="1" showInputMessage="1" showErrorMessage="1" errorTitle="Other assumptions" error="Only numbers greater than 0 allowed." sqref="D73" xr:uid="{00000000-0002-0000-0300-00000A000000}">
      <formula1>0</formula1>
    </dataValidation>
    <dataValidation allowBlank="1" showInputMessage="1" showErrorMessage="1" errorTitle="Costs" error="Only numbers between 0% and 100% allowed." sqref="E50" xr:uid="{00000000-0002-0000-0300-00000B000000}"/>
    <dataValidation type="decimal" allowBlank="1" showInputMessage="1" showErrorMessage="1" errorTitle="Costs" error="Only numbers between 0% and 100% allowed." sqref="E56" xr:uid="{00000000-0002-0000-0300-00000C000000}">
      <formula1>0</formula1>
      <formula2>1</formula2>
    </dataValidation>
    <dataValidation type="decimal" operator="greaterThan" allowBlank="1" showInputMessage="1" showErrorMessage="1" errorTitle="Other assumptions" error="Only numbers greater than 0% allowed." sqref="F9" xr:uid="{00000000-0002-0000-0300-00000D000000}">
      <formula1>0</formula1>
    </dataValidation>
    <dataValidation type="decimal" allowBlank="1" showInputMessage="1" showErrorMessage="1" errorTitle="Other assumptions" error="Only numbers between current collection rate and 100% allowed." sqref="D67" xr:uid="{00000000-0002-0000-0300-00000E000000}">
      <formula1>#REF!</formula1>
      <formula2>1</formula2>
    </dataValidation>
    <dataValidation type="decimal" allowBlank="1" showInputMessage="1" showErrorMessage="1" errorTitle="Other assumptions" error="Only numbers between 0% and 100% allowed." sqref="E26" xr:uid="{00000000-0002-0000-0300-00000F000000}">
      <formula1>0</formula1>
      <formula2>#REF!</formula2>
    </dataValidation>
  </dataValidations>
  <pageMargins left="0.75" right="0.75" top="1" bottom="1" header="0.5" footer="0.5"/>
  <pageSetup paperSize="9" scale="72" fitToWidth="3" fitToHeight="3" orientation="landscape"/>
  <headerFooter>
    <oddHeader>&amp;LPAGE &amp;P OF  &amp;N&amp;C&amp;F</oddHeader>
    <oddFooter>&amp;L&amp;A&amp;R&amp;D &amp;T</oddFooter>
  </headerFooter>
  <drawing r:id="rId1"/>
  <legacyDrawing r:id="rId2"/>
  <mc:AlternateContent xmlns:mc="http://schemas.openxmlformats.org/markup-compatibility/2006">
    <mc:Choice Requires="x14">
      <controls>
        <mc:AlternateContent xmlns:mc="http://schemas.openxmlformats.org/markup-compatibility/2006">
          <mc:Choice Requires="x14">
            <control shapeId="4097" r:id="rId3" name="Option Button 1">
              <controlPr defaultSize="0" autoFill="0" autoLine="0" autoPict="0" macro="[1]!FormatEcChartXAxis">
                <anchor moveWithCells="1">
                  <from>
                    <xdr:col>7</xdr:col>
                    <xdr:colOff>83820</xdr:colOff>
                    <xdr:row>3</xdr:row>
                    <xdr:rowOff>0</xdr:rowOff>
                  </from>
                  <to>
                    <xdr:col>9</xdr:col>
                    <xdr:colOff>335280</xdr:colOff>
                    <xdr:row>4</xdr:row>
                    <xdr:rowOff>68580</xdr:rowOff>
                  </to>
                </anchor>
              </controlPr>
            </control>
          </mc:Choice>
        </mc:AlternateContent>
        <mc:AlternateContent xmlns:mc="http://schemas.openxmlformats.org/markup-compatibility/2006">
          <mc:Choice Requires="x14">
            <control shapeId="4098" r:id="rId4" name="Option Button 2">
              <controlPr defaultSize="0" autoFill="0" autoLine="0" autoPict="0" macro="[1]!FormatEcChartXAxis">
                <anchor moveWithCells="1">
                  <from>
                    <xdr:col>7</xdr:col>
                    <xdr:colOff>83820</xdr:colOff>
                    <xdr:row>4</xdr:row>
                    <xdr:rowOff>30480</xdr:rowOff>
                  </from>
                  <to>
                    <xdr:col>9</xdr:col>
                    <xdr:colOff>228600</xdr:colOff>
                    <xdr:row>5</xdr:row>
                    <xdr:rowOff>83820</xdr:rowOff>
                  </to>
                </anchor>
              </controlPr>
            </control>
          </mc:Choice>
        </mc:AlternateContent>
        <mc:AlternateContent xmlns:mc="http://schemas.openxmlformats.org/markup-compatibility/2006">
          <mc:Choice Requires="x14">
            <control shapeId="4099" r:id="rId5" name="Option Button 3">
              <controlPr defaultSize="0" autoFill="0" autoLine="0" autoPict="0" macro="[1]!FormatEcChartXAxis">
                <anchor moveWithCells="1">
                  <from>
                    <xdr:col>7</xdr:col>
                    <xdr:colOff>83820</xdr:colOff>
                    <xdr:row>5</xdr:row>
                    <xdr:rowOff>45720</xdr:rowOff>
                  </from>
                  <to>
                    <xdr:col>9</xdr:col>
                    <xdr:colOff>381000</xdr:colOff>
                    <xdr:row>6</xdr:row>
                    <xdr:rowOff>114300</xdr:rowOff>
                  </to>
                </anchor>
              </controlPr>
            </control>
          </mc:Choice>
        </mc:AlternateContent>
        <mc:AlternateContent xmlns:mc="http://schemas.openxmlformats.org/markup-compatibility/2006">
          <mc:Choice Requires="x14">
            <control shapeId="4100" r:id="rId6" name="Group Box 4">
              <controlPr defaultSize="0" autoFill="0" autoPict="0">
                <anchor moveWithCells="1">
                  <from>
                    <xdr:col>7</xdr:col>
                    <xdr:colOff>0</xdr:colOff>
                    <xdr:row>2</xdr:row>
                    <xdr:rowOff>0</xdr:rowOff>
                  </from>
                  <to>
                    <xdr:col>10</xdr:col>
                    <xdr:colOff>7620</xdr:colOff>
                    <xdr:row>7</xdr:row>
                    <xdr:rowOff>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tDet">
    <pageSetUpPr autoPageBreaks="0" fitToPage="1"/>
  </sheetPr>
  <dimension ref="A1:BL213"/>
  <sheetViews>
    <sheetView tabSelected="1" zoomScale="85" workbookViewId="0">
      <pane xSplit="3" ySplit="2" topLeftCell="D164" activePane="bottomRight" state="frozen"/>
      <selection activeCell="A1003" sqref="A1003:XFD1003"/>
      <selection pane="topRight" activeCell="A1003" sqref="A1003:XFD1003"/>
      <selection pane="bottomLeft" activeCell="A1003" sqref="A1003:XFD1003"/>
      <selection pane="bottomRight" activeCell="E180" sqref="E180"/>
    </sheetView>
  </sheetViews>
  <sheetFormatPr defaultColWidth="9.109375" defaultRowHeight="13.2" outlineLevelRow="1"/>
  <cols>
    <col min="1" max="2" width="2.88671875" style="114" customWidth="1"/>
    <col min="3" max="3" width="31.44140625" style="114" customWidth="1"/>
    <col min="4" max="44" width="11.88671875" style="114" customWidth="1"/>
    <col min="45" max="78" width="8.44140625" style="114" customWidth="1"/>
    <col min="79" max="16384" width="9.109375" style="114"/>
  </cols>
  <sheetData>
    <row r="1" spans="1:45" s="2" customFormat="1" ht="37.5" customHeight="1" thickBot="1">
      <c r="B1" s="1" t="s">
        <v>100</v>
      </c>
      <c r="E1" s="1"/>
      <c r="G1" s="1"/>
    </row>
    <row r="2" spans="1:45" s="130" customFormat="1" ht="21" customHeight="1">
      <c r="A2" s="128"/>
      <c r="B2" s="129" t="s">
        <v>101</v>
      </c>
      <c r="D2" s="131">
        <v>0</v>
      </c>
      <c r="E2" s="131">
        <f t="shared" ref="E2:AR2" si="0">IF(COLUMN()-4&gt;Contract_Length,"",D2+1)</f>
        <v>1</v>
      </c>
      <c r="F2" s="131">
        <f t="shared" si="0"/>
        <v>2</v>
      </c>
      <c r="G2" s="131">
        <f t="shared" si="0"/>
        <v>3</v>
      </c>
      <c r="H2" s="131">
        <f t="shared" si="0"/>
        <v>4</v>
      </c>
      <c r="I2" s="131">
        <f t="shared" si="0"/>
        <v>5</v>
      </c>
      <c r="J2" s="131">
        <f t="shared" si="0"/>
        <v>6</v>
      </c>
      <c r="K2" s="131">
        <f t="shared" si="0"/>
        <v>7</v>
      </c>
      <c r="L2" s="131">
        <f t="shared" si="0"/>
        <v>8</v>
      </c>
      <c r="M2" s="131">
        <f t="shared" si="0"/>
        <v>9</v>
      </c>
      <c r="N2" s="131">
        <f t="shared" si="0"/>
        <v>10</v>
      </c>
      <c r="O2" s="131">
        <f t="shared" si="0"/>
        <v>11</v>
      </c>
      <c r="P2" s="131">
        <f t="shared" si="0"/>
        <v>12</v>
      </c>
      <c r="Q2" s="131">
        <f t="shared" si="0"/>
        <v>13</v>
      </c>
      <c r="R2" s="131">
        <f t="shared" si="0"/>
        <v>14</v>
      </c>
      <c r="S2" s="131">
        <f t="shared" si="0"/>
        <v>15</v>
      </c>
      <c r="T2" s="131">
        <f t="shared" si="0"/>
        <v>16</v>
      </c>
      <c r="U2" s="131">
        <f t="shared" si="0"/>
        <v>17</v>
      </c>
      <c r="V2" s="131">
        <f t="shared" si="0"/>
        <v>18</v>
      </c>
      <c r="W2" s="131">
        <f t="shared" si="0"/>
        <v>19</v>
      </c>
      <c r="X2" s="131">
        <f t="shared" si="0"/>
        <v>20</v>
      </c>
      <c r="Y2" s="131" t="str">
        <f t="shared" si="0"/>
        <v/>
      </c>
      <c r="Z2" s="131" t="str">
        <f t="shared" si="0"/>
        <v/>
      </c>
      <c r="AA2" s="131" t="str">
        <f t="shared" si="0"/>
        <v/>
      </c>
      <c r="AB2" s="131" t="str">
        <f t="shared" si="0"/>
        <v/>
      </c>
      <c r="AC2" s="131" t="str">
        <f t="shared" si="0"/>
        <v/>
      </c>
      <c r="AD2" s="131" t="str">
        <f t="shared" si="0"/>
        <v/>
      </c>
      <c r="AE2" s="131" t="str">
        <f t="shared" si="0"/>
        <v/>
      </c>
      <c r="AF2" s="131" t="str">
        <f t="shared" si="0"/>
        <v/>
      </c>
      <c r="AG2" s="131" t="str">
        <f t="shared" si="0"/>
        <v/>
      </c>
      <c r="AH2" s="131" t="str">
        <f t="shared" si="0"/>
        <v/>
      </c>
      <c r="AI2" s="131" t="str">
        <f t="shared" si="0"/>
        <v/>
      </c>
      <c r="AJ2" s="131" t="str">
        <f t="shared" si="0"/>
        <v/>
      </c>
      <c r="AK2" s="131" t="str">
        <f t="shared" si="0"/>
        <v/>
      </c>
      <c r="AL2" s="131" t="str">
        <f t="shared" si="0"/>
        <v/>
      </c>
      <c r="AM2" s="131" t="str">
        <f t="shared" si="0"/>
        <v/>
      </c>
      <c r="AN2" s="131" t="str">
        <f t="shared" si="0"/>
        <v/>
      </c>
      <c r="AO2" s="131" t="str">
        <f t="shared" si="0"/>
        <v/>
      </c>
      <c r="AP2" s="131" t="str">
        <f t="shared" si="0"/>
        <v/>
      </c>
      <c r="AQ2" s="131" t="str">
        <f t="shared" si="0"/>
        <v/>
      </c>
      <c r="AR2" s="131" t="str">
        <f t="shared" si="0"/>
        <v/>
      </c>
      <c r="AS2" s="131"/>
    </row>
    <row r="3" spans="1:45" s="45" customFormat="1" ht="17.25" customHeight="1">
      <c r="A3" s="43" t="s">
        <v>39</v>
      </c>
      <c r="B3" s="44"/>
      <c r="C3" s="44"/>
    </row>
    <row r="4" spans="1:45" s="74" customFormat="1" ht="12" customHeight="1">
      <c r="B4" s="12" t="s">
        <v>42</v>
      </c>
      <c r="C4" s="132"/>
      <c r="D4" s="133">
        <f>Inflation_Cur</f>
        <v>0.05</v>
      </c>
      <c r="E4" s="134">
        <f t="shared" ref="E4:N4" si="1">D4*EXP(Inflation_Speed*(Inflation_LT-D4))</f>
        <v>5.8091712136414154E-2</v>
      </c>
      <c r="F4" s="134">
        <f t="shared" si="1"/>
        <v>6.4816775092882944E-2</v>
      </c>
      <c r="G4" s="134">
        <f t="shared" si="1"/>
        <v>6.9929008928705308E-2</v>
      </c>
      <c r="H4" s="134">
        <f t="shared" si="1"/>
        <v>7.3540444827524018E-2</v>
      </c>
      <c r="I4" s="134">
        <f t="shared" si="1"/>
        <v>7.5954410655356047E-2</v>
      </c>
      <c r="J4" s="134">
        <f t="shared" si="1"/>
        <v>7.7506456860953088E-2</v>
      </c>
      <c r="K4" s="134">
        <f t="shared" si="1"/>
        <v>7.8478834397158789E-2</v>
      </c>
      <c r="L4" s="134">
        <f t="shared" si="1"/>
        <v>7.9078006626364286E-2</v>
      </c>
      <c r="M4" s="134">
        <f t="shared" si="1"/>
        <v>7.9443395184390031E-2</v>
      </c>
      <c r="N4" s="134">
        <f t="shared" si="1"/>
        <v>7.9664796005037716E-2</v>
      </c>
      <c r="O4" s="135">
        <f t="shared" ref="O4:AR4" si="2">N4*EXP(Inflation_Speed*(Inflation_LT-N4))</f>
        <v>7.9798427747885134E-2</v>
      </c>
      <c r="P4" s="135">
        <f t="shared" si="2"/>
        <v>7.9878894034482131E-2</v>
      </c>
      <c r="Q4" s="135">
        <f t="shared" si="2"/>
        <v>7.9927277734823346E-2</v>
      </c>
      <c r="R4" s="135">
        <f t="shared" si="2"/>
        <v>7.995634548261564E-2</v>
      </c>
      <c r="S4" s="135">
        <f t="shared" si="2"/>
        <v>7.997379966580051E-2</v>
      </c>
      <c r="T4" s="135">
        <f t="shared" si="2"/>
        <v>7.9984277053455413E-2</v>
      </c>
      <c r="U4" s="135">
        <f t="shared" si="2"/>
        <v>7.9990565243186942E-2</v>
      </c>
      <c r="V4" s="135">
        <f t="shared" si="2"/>
        <v>7.9994338789844521E-2</v>
      </c>
      <c r="W4" s="135">
        <f t="shared" si="2"/>
        <v>7.9996603145707557E-2</v>
      </c>
      <c r="X4" s="135">
        <f t="shared" si="2"/>
        <v>7.9997961841269644E-2</v>
      </c>
      <c r="Y4" s="135">
        <f t="shared" si="2"/>
        <v>7.9998777088145331E-2</v>
      </c>
      <c r="Z4" s="135">
        <f t="shared" si="2"/>
        <v>7.9999266246905121E-2</v>
      </c>
      <c r="AA4" s="135">
        <f t="shared" si="2"/>
        <v>7.999955974598949E-2</v>
      </c>
      <c r="AB4" s="135">
        <f t="shared" si="2"/>
        <v>7.9999735846818409E-2</v>
      </c>
      <c r="AC4" s="135">
        <f t="shared" si="2"/>
        <v>7.9999841507811933E-2</v>
      </c>
      <c r="AD4" s="135">
        <f t="shared" si="2"/>
        <v>7.999990490458668E-2</v>
      </c>
      <c r="AE4" s="135">
        <f t="shared" si="2"/>
        <v>7.999994294271584E-2</v>
      </c>
      <c r="AF4" s="135">
        <f t="shared" si="2"/>
        <v>7.9999965765616493E-2</v>
      </c>
      <c r="AG4" s="135">
        <f t="shared" si="2"/>
        <v>7.9999979459365211E-2</v>
      </c>
      <c r="AH4" s="135">
        <f t="shared" si="2"/>
        <v>7.9999987675617446E-2</v>
      </c>
      <c r="AI4" s="135">
        <f t="shared" si="2"/>
        <v>7.9999992605369857E-2</v>
      </c>
      <c r="AJ4" s="135">
        <f t="shared" si="2"/>
        <v>7.9999995563221696E-2</v>
      </c>
      <c r="AK4" s="135">
        <f t="shared" si="2"/>
        <v>7.9999997337932949E-2</v>
      </c>
      <c r="AL4" s="135">
        <f t="shared" si="2"/>
        <v>7.9999998402759731E-2</v>
      </c>
      <c r="AM4" s="135">
        <f t="shared" si="2"/>
        <v>7.9999999041655834E-2</v>
      </c>
      <c r="AN4" s="135">
        <f t="shared" si="2"/>
        <v>7.9999999424993487E-2</v>
      </c>
      <c r="AO4" s="135">
        <f t="shared" si="2"/>
        <v>7.9999999654996101E-2</v>
      </c>
      <c r="AP4" s="135">
        <f t="shared" si="2"/>
        <v>7.9999999792997656E-2</v>
      </c>
      <c r="AQ4" s="135">
        <f t="shared" si="2"/>
        <v>7.9999999875798589E-2</v>
      </c>
      <c r="AR4" s="136">
        <f t="shared" si="2"/>
        <v>7.9999999925479154E-2</v>
      </c>
    </row>
    <row r="5" spans="1:45" s="137" customFormat="1" ht="12" customHeight="1">
      <c r="B5" s="138"/>
      <c r="C5" s="139" t="s">
        <v>102</v>
      </c>
      <c r="D5" s="140">
        <v>100</v>
      </c>
      <c r="E5" s="141">
        <f t="shared" ref="E5:AR5" si="3">D5*EXP(E4)</f>
        <v>105.98121888933633</v>
      </c>
      <c r="F5" s="141">
        <f t="shared" si="3"/>
        <v>113.07809353159843</v>
      </c>
      <c r="G5" s="141">
        <f t="shared" si="3"/>
        <v>121.26857114190128</v>
      </c>
      <c r="H5" s="141">
        <f t="shared" si="3"/>
        <v>130.52282647363782</v>
      </c>
      <c r="I5" s="141">
        <f t="shared" si="3"/>
        <v>140.82282467164859</v>
      </c>
      <c r="J5" s="141">
        <f t="shared" si="3"/>
        <v>152.17162481266072</v>
      </c>
      <c r="K5" s="141">
        <f t="shared" si="3"/>
        <v>164.59498646637644</v>
      </c>
      <c r="L5" s="141">
        <f t="shared" si="3"/>
        <v>178.13930124895313</v>
      </c>
      <c r="M5" s="141">
        <f t="shared" si="3"/>
        <v>192.86861980332861</v>
      </c>
      <c r="N5" s="141">
        <f t="shared" si="3"/>
        <v>208.86205846151088</v>
      </c>
      <c r="O5" s="141">
        <f t="shared" si="3"/>
        <v>226.21196420828494</v>
      </c>
      <c r="P5" s="141">
        <f t="shared" si="3"/>
        <v>245.02281985810771</v>
      </c>
      <c r="Q5" s="141">
        <f t="shared" si="3"/>
        <v>265.41075006475904</v>
      </c>
      <c r="R5" s="141">
        <f t="shared" si="3"/>
        <v>287.50348206735407</v>
      </c>
      <c r="S5" s="141">
        <f t="shared" si="3"/>
        <v>311.44064407922951</v>
      </c>
      <c r="T5" s="141">
        <f t="shared" si="3"/>
        <v>337.37431751932758</v>
      </c>
      <c r="U5" s="141">
        <f t="shared" si="3"/>
        <v>365.46978699952382</v>
      </c>
      <c r="V5" s="141">
        <f t="shared" si="3"/>
        <v>395.9064525665317</v>
      </c>
      <c r="W5" s="141">
        <f t="shared" si="3"/>
        <v>428.87888323284335</v>
      </c>
      <c r="X5" s="141">
        <f t="shared" si="3"/>
        <v>464.59800087958126</v>
      </c>
      <c r="Y5" s="141">
        <f t="shared" si="3"/>
        <v>503.29239053788228</v>
      </c>
      <c r="Z5" s="141">
        <f t="shared" si="3"/>
        <v>545.2097378794233</v>
      </c>
      <c r="AA5" s="141">
        <f t="shared" si="3"/>
        <v>590.61839819305749</v>
      </c>
      <c r="AB5" s="141">
        <f t="shared" si="3"/>
        <v>639.80910368580555</v>
      </c>
      <c r="AC5" s="141">
        <f t="shared" si="3"/>
        <v>693.09681795309984</v>
      </c>
      <c r="AD5" s="141">
        <f t="shared" si="3"/>
        <v>750.82274813545507</v>
      </c>
      <c r="AE5" s="141">
        <f t="shared" si="3"/>
        <v>813.35652676339521</v>
      </c>
      <c r="AF5" s="141">
        <f t="shared" si="3"/>
        <v>881.09857668794029</v>
      </c>
      <c r="AG5" s="141">
        <f t="shared" si="3"/>
        <v>954.48267386717828</v>
      </c>
      <c r="AH5" s="141">
        <f t="shared" si="3"/>
        <v>1033.97872417698</v>
      </c>
      <c r="AI5" s="141">
        <f t="shared" si="3"/>
        <v>1120.0957718692816</v>
      </c>
      <c r="AJ5" s="141">
        <f t="shared" si="3"/>
        <v>1213.385258839872</v>
      </c>
      <c r="AK5" s="141">
        <f t="shared" si="3"/>
        <v>1314.4445555095258</v>
      </c>
      <c r="AL5" s="141">
        <f t="shared" si="3"/>
        <v>1423.9207858848849</v>
      </c>
      <c r="AM5" s="141">
        <f t="shared" si="3"/>
        <v>1542.5149712643993</v>
      </c>
      <c r="AN5" s="141">
        <f t="shared" si="3"/>
        <v>1670.9865191049057</v>
      </c>
      <c r="AO5" s="141">
        <f t="shared" si="3"/>
        <v>1810.1580857810277</v>
      </c>
      <c r="AP5" s="141">
        <f t="shared" si="3"/>
        <v>1960.9208443679304</v>
      </c>
      <c r="AQ5" s="141">
        <f t="shared" si="3"/>
        <v>2124.2401911742054</v>
      </c>
      <c r="AR5" s="142">
        <f t="shared" si="3"/>
        <v>2301.1619275629137</v>
      </c>
    </row>
    <row r="6" spans="1:45" s="74" customFormat="1">
      <c r="C6" s="132" t="s">
        <v>103</v>
      </c>
      <c r="D6" s="143">
        <v>1</v>
      </c>
      <c r="E6" s="144">
        <f t="shared" ref="E6:AR6" si="4">D6*EXP(-E4)</f>
        <v>0.94356340725254528</v>
      </c>
      <c r="F6" s="144">
        <f t="shared" si="4"/>
        <v>0.88434458768139823</v>
      </c>
      <c r="G6" s="144">
        <f t="shared" si="4"/>
        <v>0.82461596651440661</v>
      </c>
      <c r="H6" s="144">
        <f t="shared" si="4"/>
        <v>0.76614951347377813</v>
      </c>
      <c r="I6" s="144">
        <f t="shared" si="4"/>
        <v>0.71011215854508192</v>
      </c>
      <c r="J6" s="144">
        <f t="shared" si="4"/>
        <v>0.65715273871269042</v>
      </c>
      <c r="K6" s="144">
        <f t="shared" si="4"/>
        <v>0.60755191969609623</v>
      </c>
      <c r="L6" s="144">
        <f t="shared" si="4"/>
        <v>0.56135843858648604</v>
      </c>
      <c r="M6" s="144">
        <f t="shared" si="4"/>
        <v>0.51848766327032192</v>
      </c>
      <c r="N6" s="144">
        <f t="shared" si="4"/>
        <v>0.4787849010806719</v>
      </c>
      <c r="O6" s="144">
        <f t="shared" si="4"/>
        <v>0.44206326729882806</v>
      </c>
      <c r="P6" s="144">
        <f t="shared" si="4"/>
        <v>0.40812525159048374</v>
      </c>
      <c r="Q6" s="144">
        <f t="shared" si="4"/>
        <v>0.37677449001444147</v>
      </c>
      <c r="R6" s="144">
        <f t="shared" si="4"/>
        <v>0.34782187429845723</v>
      </c>
      <c r="S6" s="144">
        <f t="shared" si="4"/>
        <v>0.32108847031076743</v>
      </c>
      <c r="T6" s="144">
        <f t="shared" si="4"/>
        <v>0.29640667592983316</v>
      </c>
      <c r="U6" s="144">
        <f t="shared" si="4"/>
        <v>0.27362042925898628</v>
      </c>
      <c r="V6" s="144">
        <f t="shared" si="4"/>
        <v>0.25258492088657003</v>
      </c>
      <c r="W6" s="144">
        <f t="shared" si="4"/>
        <v>0.23316606135095913</v>
      </c>
      <c r="X6" s="144">
        <f t="shared" si="4"/>
        <v>0.21523984134817425</v>
      </c>
      <c r="Y6" s="144">
        <f t="shared" si="4"/>
        <v>0.1986916589244023</v>
      </c>
      <c r="Z6" s="144">
        <f t="shared" si="4"/>
        <v>0.18341565282554739</v>
      </c>
      <c r="AA6" s="144">
        <f t="shared" si="4"/>
        <v>0.1693140618476173</v>
      </c>
      <c r="AB6" s="144">
        <f t="shared" si="4"/>
        <v>0.15629661945089721</v>
      </c>
      <c r="AC6" s="144">
        <f t="shared" si="4"/>
        <v>0.14427998716734367</v>
      </c>
      <c r="AD6" s="144">
        <f t="shared" si="4"/>
        <v>0.13318722727612281</v>
      </c>
      <c r="AE6" s="144">
        <f t="shared" si="4"/>
        <v>0.12294731364354057</v>
      </c>
      <c r="AF6" s="144">
        <f t="shared" si="4"/>
        <v>0.11349467885409724</v>
      </c>
      <c r="AG6" s="144">
        <f t="shared" si="4"/>
        <v>0.10476879543013637</v>
      </c>
      <c r="AH6" s="144">
        <f t="shared" si="4"/>
        <v>9.6713788844734083E-2</v>
      </c>
      <c r="AI6" s="144">
        <f t="shared" si="4"/>
        <v>8.9278080063737886E-2</v>
      </c>
      <c r="AJ6" s="144">
        <f t="shared" si="4"/>
        <v>8.2414055446504153E-2</v>
      </c>
      <c r="AK6" s="144">
        <f t="shared" si="4"/>
        <v>7.6077761957206641E-2</v>
      </c>
      <c r="AL6" s="144">
        <f t="shared" si="4"/>
        <v>7.0228625771380782E-2</v>
      </c>
      <c r="AM6" s="144">
        <f t="shared" si="4"/>
        <v>6.4829192495960045E-2</v>
      </c>
      <c r="AN6" s="144">
        <f t="shared" si="4"/>
        <v>5.9844887350477743E-2</v>
      </c>
      <c r="AO6" s="144">
        <f t="shared" si="4"/>
        <v>5.5243793779952137E-2</v>
      </c>
      <c r="AP6" s="144">
        <f t="shared" si="4"/>
        <v>5.0996449085242555E-2</v>
      </c>
      <c r="AQ6" s="144">
        <f t="shared" si="4"/>
        <v>4.7075655764108069E-2</v>
      </c>
      <c r="AR6" s="145">
        <f t="shared" si="4"/>
        <v>4.3456307355956812E-2</v>
      </c>
    </row>
    <row r="7" spans="1:45" s="3" customFormat="1">
      <c r="J7" s="146"/>
    </row>
    <row r="8" spans="1:45" s="13" customFormat="1">
      <c r="B8" s="13" t="s">
        <v>104</v>
      </c>
      <c r="C8" s="138"/>
      <c r="D8" s="147">
        <f>ExRate_Cur</f>
        <v>100</v>
      </c>
      <c r="E8" s="148">
        <f t="shared" ref="E8:AR8" si="5">D8*EXP(ExRate_Growth)</f>
        <v>105.12710963760242</v>
      </c>
      <c r="F8" s="148">
        <f t="shared" si="5"/>
        <v>110.51709180756478</v>
      </c>
      <c r="G8" s="148">
        <f t="shared" si="5"/>
        <v>116.18342427282835</v>
      </c>
      <c r="H8" s="148">
        <f t="shared" si="5"/>
        <v>122.14027581601702</v>
      </c>
      <c r="I8" s="148">
        <f t="shared" si="5"/>
        <v>128.40254166877421</v>
      </c>
      <c r="J8" s="148">
        <f t="shared" si="5"/>
        <v>134.98588075760037</v>
      </c>
      <c r="K8" s="148">
        <f t="shared" si="5"/>
        <v>141.90675485932579</v>
      </c>
      <c r="L8" s="148">
        <f t="shared" si="5"/>
        <v>149.18246976412712</v>
      </c>
      <c r="M8" s="148">
        <f t="shared" si="5"/>
        <v>156.831218549017</v>
      </c>
      <c r="N8" s="148">
        <f t="shared" si="5"/>
        <v>164.87212707001294</v>
      </c>
      <c r="O8" s="148">
        <f t="shared" si="5"/>
        <v>173.32530178673966</v>
      </c>
      <c r="P8" s="148">
        <f t="shared" si="5"/>
        <v>182.21188003905104</v>
      </c>
      <c r="Q8" s="148">
        <f t="shared" si="5"/>
        <v>191.55408290138976</v>
      </c>
      <c r="R8" s="148">
        <f t="shared" si="5"/>
        <v>201.37527074704784</v>
      </c>
      <c r="S8" s="148">
        <f t="shared" si="5"/>
        <v>211.70000166126766</v>
      </c>
      <c r="T8" s="148">
        <f t="shared" si="5"/>
        <v>222.55409284924698</v>
      </c>
      <c r="U8" s="148">
        <f t="shared" si="5"/>
        <v>233.96468519259935</v>
      </c>
      <c r="V8" s="148">
        <f t="shared" si="5"/>
        <v>245.96031111569525</v>
      </c>
      <c r="W8" s="148">
        <f t="shared" si="5"/>
        <v>258.57096593158491</v>
      </c>
      <c r="X8" s="148">
        <f t="shared" si="5"/>
        <v>271.82818284590485</v>
      </c>
      <c r="Y8" s="148">
        <f t="shared" si="5"/>
        <v>285.76511180631672</v>
      </c>
      <c r="Z8" s="148">
        <f t="shared" si="5"/>
        <v>300.41660239464369</v>
      </c>
      <c r="AA8" s="148">
        <f t="shared" si="5"/>
        <v>315.81929096897716</v>
      </c>
      <c r="AB8" s="148">
        <f t="shared" si="5"/>
        <v>332.01169227365517</v>
      </c>
      <c r="AC8" s="148">
        <f t="shared" si="5"/>
        <v>349.03429574618463</v>
      </c>
      <c r="AD8" s="148">
        <f t="shared" si="5"/>
        <v>366.92966676192498</v>
      </c>
      <c r="AE8" s="148">
        <f t="shared" si="5"/>
        <v>385.74255306969803</v>
      </c>
      <c r="AF8" s="148">
        <f t="shared" si="5"/>
        <v>405.51999668446814</v>
      </c>
      <c r="AG8" s="148">
        <f t="shared" si="5"/>
        <v>426.31145151688247</v>
      </c>
      <c r="AH8" s="148">
        <f t="shared" si="5"/>
        <v>448.16890703380727</v>
      </c>
      <c r="AI8" s="148">
        <f t="shared" si="5"/>
        <v>471.14701825907503</v>
      </c>
      <c r="AJ8" s="148">
        <f t="shared" si="5"/>
        <v>495.30324243951247</v>
      </c>
      <c r="AK8" s="148">
        <f t="shared" si="5"/>
        <v>520.69798271798595</v>
      </c>
      <c r="AL8" s="148">
        <f t="shared" si="5"/>
        <v>547.39473917272119</v>
      </c>
      <c r="AM8" s="148">
        <f t="shared" si="5"/>
        <v>575.46026760057441</v>
      </c>
      <c r="AN8" s="148">
        <f t="shared" si="5"/>
        <v>604.96474644129614</v>
      </c>
      <c r="AO8" s="148">
        <f t="shared" si="5"/>
        <v>635.98195226018481</v>
      </c>
      <c r="AP8" s="148">
        <f t="shared" si="5"/>
        <v>668.58944422792877</v>
      </c>
      <c r="AQ8" s="148">
        <f t="shared" si="5"/>
        <v>702.86875805893135</v>
      </c>
      <c r="AR8" s="149">
        <f t="shared" si="5"/>
        <v>738.90560989306721</v>
      </c>
    </row>
    <row r="9" spans="1:45" s="13" customFormat="1">
      <c r="B9" s="13" t="s">
        <v>105</v>
      </c>
      <c r="C9" s="138"/>
      <c r="D9" s="150">
        <f t="shared" ref="D9:AR9" si="6">RealExRate_Det*(1+Inflation_Det)</f>
        <v>105</v>
      </c>
      <c r="E9" s="151">
        <f t="shared" si="6"/>
        <v>111.23412342840327</v>
      </c>
      <c r="F9" s="151">
        <f t="shared" si="6"/>
        <v>117.68045329117521</v>
      </c>
      <c r="G9" s="151">
        <f t="shared" si="6"/>
        <v>124.3080159861705</v>
      </c>
      <c r="H9" s="151">
        <f t="shared" si="6"/>
        <v>131.12252603088339</v>
      </c>
      <c r="I9" s="151">
        <f t="shared" si="6"/>
        <v>138.15528104787575</v>
      </c>
      <c r="J9" s="151">
        <f t="shared" si="6"/>
        <v>145.44815810137709</v>
      </c>
      <c r="K9" s="151">
        <f t="shared" si="6"/>
        <v>153.04343157376903</v>
      </c>
      <c r="L9" s="151">
        <f t="shared" si="6"/>
        <v>160.97952209667216</v>
      </c>
      <c r="M9" s="151">
        <f t="shared" si="6"/>
        <v>169.29042302145598</v>
      </c>
      <c r="N9" s="151">
        <f t="shared" si="6"/>
        <v>178.00663143996215</v>
      </c>
      <c r="O9" s="151">
        <f t="shared" si="6"/>
        <v>187.15638835824919</v>
      </c>
      <c r="P9" s="151">
        <f t="shared" si="6"/>
        <v>196.76676349651416</v>
      </c>
      <c r="Q9" s="151">
        <f t="shared" si="6"/>
        <v>206.86447928668855</v>
      </c>
      <c r="R9" s="151">
        <f t="shared" si="6"/>
        <v>217.47650146655403</v>
      </c>
      <c r="S9" s="151">
        <f t="shared" si="6"/>
        <v>228.63045518337552</v>
      </c>
      <c r="T9" s="151">
        <f t="shared" si="6"/>
        <v>240.35492107108158</v>
      </c>
      <c r="U9" s="151">
        <f t="shared" si="6"/>
        <v>252.67965260809964</v>
      </c>
      <c r="V9" s="151">
        <f t="shared" si="6"/>
        <v>265.63574357193971</v>
      </c>
      <c r="W9" s="151">
        <f t="shared" si="6"/>
        <v>279.25576487821616</v>
      </c>
      <c r="X9" s="151">
        <f t="shared" si="6"/>
        <v>293.57388344459321</v>
      </c>
      <c r="Y9" s="151">
        <f t="shared" si="6"/>
        <v>308.62597128527921</v>
      </c>
      <c r="Z9" s="151">
        <f t="shared" si="6"/>
        <v>324.44971015460345</v>
      </c>
      <c r="AA9" s="151">
        <f t="shared" si="6"/>
        <v>341.08469520578586</v>
      </c>
      <c r="AB9" s="151">
        <f t="shared" si="6"/>
        <v>358.57253995360276</v>
      </c>
      <c r="AC9" s="151">
        <f t="shared" si="6"/>
        <v>376.95698408667016</v>
      </c>
      <c r="AD9" s="151">
        <f t="shared" si="6"/>
        <v>396.28400520955068</v>
      </c>
      <c r="AE9" s="151">
        <f t="shared" si="6"/>
        <v>416.60193530585144</v>
      </c>
      <c r="AF9" s="151">
        <f t="shared" si="6"/>
        <v>437.9615825364985</v>
      </c>
      <c r="AG9" s="151">
        <f t="shared" si="6"/>
        <v>460.41635888152518</v>
      </c>
      <c r="AH9" s="151">
        <f t="shared" si="6"/>
        <v>484.0224140731068</v>
      </c>
      <c r="AI9" s="151">
        <f t="shared" si="6"/>
        <v>508.83877623584306</v>
      </c>
      <c r="AJ9" s="151">
        <f t="shared" si="6"/>
        <v>534.92749963712288</v>
      </c>
      <c r="AK9" s="151">
        <f t="shared" si="6"/>
        <v>562.35381994929196</v>
      </c>
      <c r="AL9" s="151">
        <f t="shared" si="6"/>
        <v>591.18631743221795</v>
      </c>
      <c r="AM9" s="151">
        <f t="shared" si="6"/>
        <v>621.49708845713133</v>
      </c>
      <c r="AN9" s="151">
        <f t="shared" si="6"/>
        <v>653.36192580874126</v>
      </c>
      <c r="AO9" s="151">
        <f t="shared" si="6"/>
        <v>686.86050822158336</v>
      </c>
      <c r="AP9" s="151">
        <f t="shared" si="6"/>
        <v>722.07659962776347</v>
      </c>
      <c r="AQ9" s="151">
        <f t="shared" si="6"/>
        <v>759.09825861634852</v>
      </c>
      <c r="AR9" s="152">
        <f t="shared" si="6"/>
        <v>798.01805862944877</v>
      </c>
    </row>
    <row r="10" spans="1:45" s="153" customFormat="1">
      <c r="E10" s="154"/>
      <c r="F10" s="154"/>
      <c r="G10" s="154"/>
      <c r="H10" s="154"/>
      <c r="I10" s="154"/>
      <c r="J10" s="154"/>
      <c r="K10" s="154"/>
      <c r="L10" s="154"/>
      <c r="M10" s="154"/>
      <c r="N10" s="154"/>
      <c r="O10" s="154"/>
      <c r="P10" s="154"/>
      <c r="Q10" s="154"/>
      <c r="R10" s="154"/>
      <c r="S10" s="154"/>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54"/>
      <c r="AR10" s="154"/>
    </row>
    <row r="11" spans="1:45" s="155" customFormat="1">
      <c r="B11" s="155" t="s">
        <v>106</v>
      </c>
      <c r="C11" s="156"/>
      <c r="D11" s="157">
        <v>1</v>
      </c>
      <c r="E11" s="158">
        <f t="shared" ref="E11:AR11" si="7">D11*EXP(-DisRate_Cur)</f>
        <v>0.93239381990594827</v>
      </c>
      <c r="F11" s="158">
        <f t="shared" si="7"/>
        <v>0.86935823539880586</v>
      </c>
      <c r="G11" s="158">
        <f t="shared" si="7"/>
        <v>0.81058424597018719</v>
      </c>
      <c r="H11" s="158">
        <f t="shared" si="7"/>
        <v>0.75578374145572558</v>
      </c>
      <c r="I11" s="158">
        <f t="shared" si="7"/>
        <v>0.70468808971871355</v>
      </c>
      <c r="J11" s="158">
        <f t="shared" si="7"/>
        <v>0.65704681981505697</v>
      </c>
      <c r="K11" s="158">
        <f t="shared" si="7"/>
        <v>0.61262639418441622</v>
      </c>
      <c r="L11" s="158">
        <f t="shared" si="7"/>
        <v>0.57120906384881509</v>
      </c>
      <c r="M11" s="158">
        <f t="shared" si="7"/>
        <v>0.5325918010068974</v>
      </c>
      <c r="N11" s="158">
        <f t="shared" si="7"/>
        <v>0.49658530379140975</v>
      </c>
      <c r="O11" s="158">
        <f t="shared" si="7"/>
        <v>0.46301306831122829</v>
      </c>
      <c r="P11" s="158">
        <f t="shared" si="7"/>
        <v>0.4317105234290799</v>
      </c>
      <c r="Q11" s="158">
        <f t="shared" si="7"/>
        <v>0.40252422403363619</v>
      </c>
      <c r="R11" s="158">
        <f t="shared" si="7"/>
        <v>0.37531109885139974</v>
      </c>
      <c r="S11" s="158">
        <f t="shared" si="7"/>
        <v>0.34993774911115555</v>
      </c>
      <c r="T11" s="158">
        <f t="shared" si="7"/>
        <v>0.32627979462303969</v>
      </c>
      <c r="U11" s="158">
        <f t="shared" si="7"/>
        <v>0.30422126406670424</v>
      </c>
      <c r="V11" s="158">
        <f t="shared" si="7"/>
        <v>0.28365402649977056</v>
      </c>
      <c r="W11" s="158">
        <f t="shared" si="7"/>
        <v>0.26447726129982413</v>
      </c>
      <c r="X11" s="158">
        <f t="shared" si="7"/>
        <v>0.24659696394160663</v>
      </c>
      <c r="Y11" s="158">
        <f t="shared" si="7"/>
        <v>0.22992548518672398</v>
      </c>
      <c r="Z11" s="158">
        <f t="shared" si="7"/>
        <v>0.21438110142697811</v>
      </c>
      <c r="AA11" s="158">
        <f t="shared" si="7"/>
        <v>0.19988761407514466</v>
      </c>
      <c r="AB11" s="158">
        <f t="shared" si="7"/>
        <v>0.18637397603941011</v>
      </c>
      <c r="AC11" s="158">
        <f t="shared" si="7"/>
        <v>0.17377394345044528</v>
      </c>
      <c r="AD11" s="158">
        <f t="shared" si="7"/>
        <v>0.16202575093388091</v>
      </c>
      <c r="AE11" s="158">
        <f t="shared" si="7"/>
        <v>0.151071808836371</v>
      </c>
      <c r="AF11" s="158">
        <f t="shared" si="7"/>
        <v>0.14085842092104514</v>
      </c>
      <c r="AG11" s="158">
        <f t="shared" si="7"/>
        <v>0.13133552114849323</v>
      </c>
      <c r="AH11" s="158">
        <f t="shared" si="7"/>
        <v>0.12245642825298206</v>
      </c>
      <c r="AI11" s="158">
        <f t="shared" si="7"/>
        <v>0.11417761691083662</v>
      </c>
      <c r="AJ11" s="158">
        <f t="shared" si="7"/>
        <v>0.10645850437925296</v>
      </c>
      <c r="AK11" s="158">
        <f t="shared" si="7"/>
        <v>9.9261251559645783E-2</v>
      </c>
      <c r="AL11" s="158">
        <f t="shared" si="7"/>
        <v>9.2550577510343401E-2</v>
      </c>
      <c r="AM11" s="158">
        <f t="shared" si="7"/>
        <v>8.6293586499370634E-2</v>
      </c>
      <c r="AN11" s="158">
        <f t="shared" si="7"/>
        <v>8.045960674953255E-2</v>
      </c>
      <c r="AO11" s="158">
        <f t="shared" si="7"/>
        <v>7.5020040085327075E-2</v>
      </c>
      <c r="AP11" s="158">
        <f t="shared" si="7"/>
        <v>6.9948221744655467E-2</v>
      </c>
      <c r="AQ11" s="158">
        <f t="shared" si="7"/>
        <v>6.5219289668127622E-2</v>
      </c>
      <c r="AR11" s="159">
        <f t="shared" si="7"/>
        <v>6.0810062625218056E-2</v>
      </c>
    </row>
    <row r="12" spans="1:45" s="3" customFormat="1">
      <c r="J12" s="146"/>
    </row>
    <row r="13" spans="1:45" s="3" customFormat="1">
      <c r="J13" s="74"/>
    </row>
    <row r="14" spans="1:45" s="45" customFormat="1" ht="17.399999999999999">
      <c r="A14" s="43" t="s">
        <v>107</v>
      </c>
      <c r="B14" s="44"/>
      <c r="C14" s="44"/>
    </row>
    <row r="15" spans="1:45" s="13" customFormat="1">
      <c r="B15" s="12" t="s">
        <v>108</v>
      </c>
      <c r="C15" s="12"/>
      <c r="D15" s="147">
        <f>Customers_Init</f>
        <v>50000</v>
      </c>
      <c r="E15" s="148">
        <f t="shared" ref="E15:AR15" si="8">D15*EXP(Customers_Growth)</f>
        <v>50000</v>
      </c>
      <c r="F15" s="148">
        <f t="shared" si="8"/>
        <v>50000</v>
      </c>
      <c r="G15" s="148">
        <f t="shared" si="8"/>
        <v>50000</v>
      </c>
      <c r="H15" s="148">
        <f t="shared" si="8"/>
        <v>50000</v>
      </c>
      <c r="I15" s="148">
        <f t="shared" si="8"/>
        <v>50000</v>
      </c>
      <c r="J15" s="148">
        <f t="shared" si="8"/>
        <v>50000</v>
      </c>
      <c r="K15" s="148">
        <f t="shared" si="8"/>
        <v>50000</v>
      </c>
      <c r="L15" s="148">
        <f t="shared" si="8"/>
        <v>50000</v>
      </c>
      <c r="M15" s="148">
        <f t="shared" si="8"/>
        <v>50000</v>
      </c>
      <c r="N15" s="148">
        <f t="shared" si="8"/>
        <v>50000</v>
      </c>
      <c r="O15" s="148">
        <f t="shared" si="8"/>
        <v>50000</v>
      </c>
      <c r="P15" s="148">
        <f t="shared" si="8"/>
        <v>50000</v>
      </c>
      <c r="Q15" s="148">
        <f t="shared" si="8"/>
        <v>50000</v>
      </c>
      <c r="R15" s="148">
        <f t="shared" si="8"/>
        <v>50000</v>
      </c>
      <c r="S15" s="148">
        <f t="shared" si="8"/>
        <v>50000</v>
      </c>
      <c r="T15" s="148">
        <f t="shared" si="8"/>
        <v>50000</v>
      </c>
      <c r="U15" s="148">
        <f t="shared" si="8"/>
        <v>50000</v>
      </c>
      <c r="V15" s="148">
        <f t="shared" si="8"/>
        <v>50000</v>
      </c>
      <c r="W15" s="148">
        <f t="shared" si="8"/>
        <v>50000</v>
      </c>
      <c r="X15" s="148">
        <f t="shared" si="8"/>
        <v>50000</v>
      </c>
      <c r="Y15" s="148">
        <f t="shared" si="8"/>
        <v>50000</v>
      </c>
      <c r="Z15" s="148">
        <f t="shared" si="8"/>
        <v>50000</v>
      </c>
      <c r="AA15" s="148">
        <f t="shared" si="8"/>
        <v>50000</v>
      </c>
      <c r="AB15" s="148">
        <f t="shared" si="8"/>
        <v>50000</v>
      </c>
      <c r="AC15" s="148">
        <f t="shared" si="8"/>
        <v>50000</v>
      </c>
      <c r="AD15" s="148">
        <f t="shared" si="8"/>
        <v>50000</v>
      </c>
      <c r="AE15" s="148">
        <f t="shared" si="8"/>
        <v>50000</v>
      </c>
      <c r="AF15" s="148">
        <f t="shared" si="8"/>
        <v>50000</v>
      </c>
      <c r="AG15" s="148">
        <f t="shared" si="8"/>
        <v>50000</v>
      </c>
      <c r="AH15" s="148">
        <f t="shared" si="8"/>
        <v>50000</v>
      </c>
      <c r="AI15" s="148">
        <f t="shared" si="8"/>
        <v>50000</v>
      </c>
      <c r="AJ15" s="148">
        <f t="shared" si="8"/>
        <v>50000</v>
      </c>
      <c r="AK15" s="148">
        <f t="shared" si="8"/>
        <v>50000</v>
      </c>
      <c r="AL15" s="148">
        <f t="shared" si="8"/>
        <v>50000</v>
      </c>
      <c r="AM15" s="148">
        <f t="shared" si="8"/>
        <v>50000</v>
      </c>
      <c r="AN15" s="148">
        <f t="shared" si="8"/>
        <v>50000</v>
      </c>
      <c r="AO15" s="148">
        <f t="shared" si="8"/>
        <v>50000</v>
      </c>
      <c r="AP15" s="148">
        <f t="shared" si="8"/>
        <v>50000</v>
      </c>
      <c r="AQ15" s="148">
        <f t="shared" si="8"/>
        <v>50000</v>
      </c>
      <c r="AR15" s="149">
        <f t="shared" si="8"/>
        <v>50000</v>
      </c>
    </row>
    <row r="16" spans="1:45" s="137" customFormat="1">
      <c r="B16" s="160" t="s">
        <v>109</v>
      </c>
      <c r="C16" s="139"/>
      <c r="D16" s="161">
        <f>ServTarget_Exist</f>
        <v>0.5</v>
      </c>
      <c r="E16" s="162">
        <f t="shared" ref="E16:AR16" si="9">IF(Year&lt;ServTarget_Year,ServTarget_Exist+(ServTarget-ServTarget_Exist)/(1+EXP(-(10/ServTarget_Year)*(Year-1-(ServTarget_Year-1)/2))),ServTarget)</f>
        <v>0.50549347131529654</v>
      </c>
      <c r="F16" s="162">
        <f t="shared" si="9"/>
        <v>0.51465611537567812</v>
      </c>
      <c r="G16" s="162">
        <f t="shared" si="9"/>
        <v>0.53792909001062172</v>
      </c>
      <c r="H16" s="162">
        <f t="shared" si="9"/>
        <v>0.59121276190317817</v>
      </c>
      <c r="I16" s="162">
        <f t="shared" si="9"/>
        <v>0.68877033439907276</v>
      </c>
      <c r="J16" s="162">
        <f t="shared" si="9"/>
        <v>0.81122966560092724</v>
      </c>
      <c r="K16" s="162">
        <f t="shared" si="9"/>
        <v>0.90878723809682183</v>
      </c>
      <c r="L16" s="162">
        <f t="shared" si="9"/>
        <v>0.96207090998937828</v>
      </c>
      <c r="M16" s="162">
        <f t="shared" si="9"/>
        <v>0.98534388462432188</v>
      </c>
      <c r="N16" s="162">
        <f t="shared" si="9"/>
        <v>1</v>
      </c>
      <c r="O16" s="162">
        <f t="shared" si="9"/>
        <v>1</v>
      </c>
      <c r="P16" s="162">
        <f t="shared" si="9"/>
        <v>1</v>
      </c>
      <c r="Q16" s="162">
        <f t="shared" si="9"/>
        <v>1</v>
      </c>
      <c r="R16" s="162">
        <f t="shared" si="9"/>
        <v>1</v>
      </c>
      <c r="S16" s="162">
        <f t="shared" si="9"/>
        <v>1</v>
      </c>
      <c r="T16" s="162">
        <f t="shared" si="9"/>
        <v>1</v>
      </c>
      <c r="U16" s="162">
        <f t="shared" si="9"/>
        <v>1</v>
      </c>
      <c r="V16" s="162">
        <f t="shared" si="9"/>
        <v>1</v>
      </c>
      <c r="W16" s="162">
        <f t="shared" si="9"/>
        <v>1</v>
      </c>
      <c r="X16" s="162">
        <f t="shared" si="9"/>
        <v>1</v>
      </c>
      <c r="Y16" s="162">
        <f t="shared" si="9"/>
        <v>1</v>
      </c>
      <c r="Z16" s="162">
        <f t="shared" si="9"/>
        <v>1</v>
      </c>
      <c r="AA16" s="162">
        <f t="shared" si="9"/>
        <v>1</v>
      </c>
      <c r="AB16" s="162">
        <f t="shared" si="9"/>
        <v>1</v>
      </c>
      <c r="AC16" s="162">
        <f t="shared" si="9"/>
        <v>1</v>
      </c>
      <c r="AD16" s="162">
        <f t="shared" si="9"/>
        <v>1</v>
      </c>
      <c r="AE16" s="162">
        <f t="shared" si="9"/>
        <v>1</v>
      </c>
      <c r="AF16" s="162">
        <f t="shared" si="9"/>
        <v>1</v>
      </c>
      <c r="AG16" s="162">
        <f t="shared" si="9"/>
        <v>1</v>
      </c>
      <c r="AH16" s="162">
        <f t="shared" si="9"/>
        <v>1</v>
      </c>
      <c r="AI16" s="162">
        <f t="shared" si="9"/>
        <v>1</v>
      </c>
      <c r="AJ16" s="162">
        <f t="shared" si="9"/>
        <v>1</v>
      </c>
      <c r="AK16" s="162">
        <f t="shared" si="9"/>
        <v>1</v>
      </c>
      <c r="AL16" s="162">
        <f t="shared" si="9"/>
        <v>1</v>
      </c>
      <c r="AM16" s="162">
        <f t="shared" si="9"/>
        <v>1</v>
      </c>
      <c r="AN16" s="162">
        <f t="shared" si="9"/>
        <v>1</v>
      </c>
      <c r="AO16" s="162">
        <f t="shared" si="9"/>
        <v>1</v>
      </c>
      <c r="AP16" s="162">
        <f t="shared" si="9"/>
        <v>1</v>
      </c>
      <c r="AQ16" s="162">
        <f t="shared" si="9"/>
        <v>1</v>
      </c>
      <c r="AR16" s="163">
        <f t="shared" si="9"/>
        <v>1</v>
      </c>
    </row>
    <row r="17" spans="1:58" s="13" customFormat="1">
      <c r="B17" s="12" t="s">
        <v>110</v>
      </c>
      <c r="C17" s="12"/>
      <c r="D17" s="164">
        <f t="shared" ref="D17:AR17" si="10">INT(ServTarget_FC*PotentialConnections)</f>
        <v>25000</v>
      </c>
      <c r="E17" s="165">
        <f>INT(ServTarget_FC*PotentialConnections)</f>
        <v>25274</v>
      </c>
      <c r="F17" s="165">
        <f t="shared" si="10"/>
        <v>25732</v>
      </c>
      <c r="G17" s="165">
        <f t="shared" si="10"/>
        <v>26896</v>
      </c>
      <c r="H17" s="165">
        <f t="shared" si="10"/>
        <v>29560</v>
      </c>
      <c r="I17" s="165">
        <f t="shared" si="10"/>
        <v>34438</v>
      </c>
      <c r="J17" s="165">
        <f t="shared" si="10"/>
        <v>40561</v>
      </c>
      <c r="K17" s="165">
        <f t="shared" si="10"/>
        <v>45439</v>
      </c>
      <c r="L17" s="165">
        <f t="shared" si="10"/>
        <v>48103</v>
      </c>
      <c r="M17" s="165">
        <f t="shared" si="10"/>
        <v>49267</v>
      </c>
      <c r="N17" s="165">
        <f t="shared" si="10"/>
        <v>50000</v>
      </c>
      <c r="O17" s="165">
        <f t="shared" si="10"/>
        <v>50000</v>
      </c>
      <c r="P17" s="165">
        <f t="shared" si="10"/>
        <v>50000</v>
      </c>
      <c r="Q17" s="165">
        <f t="shared" si="10"/>
        <v>50000</v>
      </c>
      <c r="R17" s="165">
        <f t="shared" si="10"/>
        <v>50000</v>
      </c>
      <c r="S17" s="165">
        <f t="shared" si="10"/>
        <v>50000</v>
      </c>
      <c r="T17" s="165">
        <f t="shared" si="10"/>
        <v>50000</v>
      </c>
      <c r="U17" s="165">
        <f t="shared" si="10"/>
        <v>50000</v>
      </c>
      <c r="V17" s="165">
        <f t="shared" si="10"/>
        <v>50000</v>
      </c>
      <c r="W17" s="165">
        <f t="shared" si="10"/>
        <v>50000</v>
      </c>
      <c r="X17" s="165">
        <f t="shared" si="10"/>
        <v>50000</v>
      </c>
      <c r="Y17" s="165">
        <f t="shared" si="10"/>
        <v>50000</v>
      </c>
      <c r="Z17" s="165">
        <f t="shared" si="10"/>
        <v>50000</v>
      </c>
      <c r="AA17" s="165">
        <f t="shared" si="10"/>
        <v>50000</v>
      </c>
      <c r="AB17" s="165">
        <f t="shared" si="10"/>
        <v>50000</v>
      </c>
      <c r="AC17" s="165">
        <f t="shared" si="10"/>
        <v>50000</v>
      </c>
      <c r="AD17" s="165">
        <f t="shared" si="10"/>
        <v>50000</v>
      </c>
      <c r="AE17" s="165">
        <f t="shared" si="10"/>
        <v>50000</v>
      </c>
      <c r="AF17" s="165">
        <f t="shared" si="10"/>
        <v>50000</v>
      </c>
      <c r="AG17" s="165">
        <f t="shared" si="10"/>
        <v>50000</v>
      </c>
      <c r="AH17" s="165">
        <f t="shared" si="10"/>
        <v>50000</v>
      </c>
      <c r="AI17" s="165">
        <f t="shared" si="10"/>
        <v>50000</v>
      </c>
      <c r="AJ17" s="165">
        <f t="shared" si="10"/>
        <v>50000</v>
      </c>
      <c r="AK17" s="165">
        <f t="shared" si="10"/>
        <v>50000</v>
      </c>
      <c r="AL17" s="165">
        <f t="shared" si="10"/>
        <v>50000</v>
      </c>
      <c r="AM17" s="165">
        <f t="shared" si="10"/>
        <v>50000</v>
      </c>
      <c r="AN17" s="165">
        <f t="shared" si="10"/>
        <v>50000</v>
      </c>
      <c r="AO17" s="165">
        <f t="shared" si="10"/>
        <v>50000</v>
      </c>
      <c r="AP17" s="165">
        <f t="shared" si="10"/>
        <v>50000</v>
      </c>
      <c r="AQ17" s="165">
        <f t="shared" si="10"/>
        <v>50000</v>
      </c>
      <c r="AR17" s="166">
        <f t="shared" si="10"/>
        <v>50000</v>
      </c>
    </row>
    <row r="18" spans="1:58" s="13" customFormat="1">
      <c r="B18" s="138"/>
      <c r="C18" s="138" t="s">
        <v>111</v>
      </c>
      <c r="D18" s="167"/>
      <c r="E18" s="168">
        <f>MAX(E17-D17,0)</f>
        <v>274</v>
      </c>
      <c r="F18" s="169">
        <f>MAX(F17-E17,0)</f>
        <v>458</v>
      </c>
      <c r="G18" s="169">
        <f t="shared" ref="G18:AR18" si="11">MAX(G17-F17,0)</f>
        <v>1164</v>
      </c>
      <c r="H18" s="169">
        <f t="shared" si="11"/>
        <v>2664</v>
      </c>
      <c r="I18" s="169">
        <f t="shared" si="11"/>
        <v>4878</v>
      </c>
      <c r="J18" s="169">
        <f t="shared" si="11"/>
        <v>6123</v>
      </c>
      <c r="K18" s="169">
        <f t="shared" si="11"/>
        <v>4878</v>
      </c>
      <c r="L18" s="169">
        <f t="shared" si="11"/>
        <v>2664</v>
      </c>
      <c r="M18" s="169">
        <f t="shared" si="11"/>
        <v>1164</v>
      </c>
      <c r="N18" s="169">
        <f t="shared" si="11"/>
        <v>733</v>
      </c>
      <c r="O18" s="169">
        <f t="shared" si="11"/>
        <v>0</v>
      </c>
      <c r="P18" s="169">
        <f t="shared" si="11"/>
        <v>0</v>
      </c>
      <c r="Q18" s="169">
        <f t="shared" si="11"/>
        <v>0</v>
      </c>
      <c r="R18" s="169">
        <f t="shared" si="11"/>
        <v>0</v>
      </c>
      <c r="S18" s="169">
        <f t="shared" si="11"/>
        <v>0</v>
      </c>
      <c r="T18" s="169">
        <f t="shared" si="11"/>
        <v>0</v>
      </c>
      <c r="U18" s="169">
        <f t="shared" si="11"/>
        <v>0</v>
      </c>
      <c r="V18" s="169">
        <f t="shared" si="11"/>
        <v>0</v>
      </c>
      <c r="W18" s="169">
        <f t="shared" si="11"/>
        <v>0</v>
      </c>
      <c r="X18" s="169">
        <f t="shared" si="11"/>
        <v>0</v>
      </c>
      <c r="Y18" s="169">
        <f t="shared" si="11"/>
        <v>0</v>
      </c>
      <c r="Z18" s="169">
        <f t="shared" si="11"/>
        <v>0</v>
      </c>
      <c r="AA18" s="169">
        <f t="shared" si="11"/>
        <v>0</v>
      </c>
      <c r="AB18" s="169">
        <f t="shared" si="11"/>
        <v>0</v>
      </c>
      <c r="AC18" s="169">
        <f t="shared" si="11"/>
        <v>0</v>
      </c>
      <c r="AD18" s="169">
        <f t="shared" si="11"/>
        <v>0</v>
      </c>
      <c r="AE18" s="169">
        <f t="shared" si="11"/>
        <v>0</v>
      </c>
      <c r="AF18" s="169">
        <f t="shared" si="11"/>
        <v>0</v>
      </c>
      <c r="AG18" s="169">
        <f t="shared" si="11"/>
        <v>0</v>
      </c>
      <c r="AH18" s="169">
        <f t="shared" si="11"/>
        <v>0</v>
      </c>
      <c r="AI18" s="169">
        <f t="shared" si="11"/>
        <v>0</v>
      </c>
      <c r="AJ18" s="169">
        <f t="shared" si="11"/>
        <v>0</v>
      </c>
      <c r="AK18" s="169">
        <f t="shared" si="11"/>
        <v>0</v>
      </c>
      <c r="AL18" s="169">
        <f t="shared" si="11"/>
        <v>0</v>
      </c>
      <c r="AM18" s="169">
        <f t="shared" si="11"/>
        <v>0</v>
      </c>
      <c r="AN18" s="169">
        <f t="shared" si="11"/>
        <v>0</v>
      </c>
      <c r="AO18" s="169">
        <f t="shared" si="11"/>
        <v>0</v>
      </c>
      <c r="AP18" s="169">
        <f t="shared" si="11"/>
        <v>0</v>
      </c>
      <c r="AQ18" s="169">
        <f t="shared" si="11"/>
        <v>0</v>
      </c>
      <c r="AR18" s="170">
        <f t="shared" si="11"/>
        <v>0</v>
      </c>
    </row>
    <row r="19" spans="1:58" s="160" customFormat="1"/>
    <row r="20" spans="1:58" s="13" customFormat="1">
      <c r="B20" s="12" t="s">
        <v>112</v>
      </c>
      <c r="C20" s="12"/>
      <c r="D20" s="147">
        <f>Demand</f>
        <v>150</v>
      </c>
      <c r="E20" s="148">
        <f>D20*EXP(Demand_Growth)</f>
        <v>153.03020100401338</v>
      </c>
      <c r="F20" s="148">
        <f t="shared" ref="F20:AR20" si="12">E20*EXP(Demand_Growth)</f>
        <v>156.12161612885822</v>
      </c>
      <c r="G20" s="148">
        <f t="shared" si="12"/>
        <v>159.27548198180392</v>
      </c>
      <c r="H20" s="148">
        <f t="shared" si="12"/>
        <v>162.49306015124375</v>
      </c>
      <c r="I20" s="148">
        <f t="shared" si="12"/>
        <v>165.77563771134712</v>
      </c>
      <c r="J20" s="148">
        <f t="shared" si="12"/>
        <v>169.12452773690632</v>
      </c>
      <c r="K20" s="148">
        <f t="shared" si="12"/>
        <v>172.54106982858406</v>
      </c>
      <c r="L20" s="148">
        <f t="shared" si="12"/>
        <v>176.02663064877149</v>
      </c>
      <c r="M20" s="148">
        <f t="shared" si="12"/>
        <v>179.58260446827148</v>
      </c>
      <c r="N20" s="148">
        <f t="shared" si="12"/>
        <v>183.21041372402541</v>
      </c>
      <c r="O20" s="148">
        <f t="shared" si="12"/>
        <v>186.91150958810707</v>
      </c>
      <c r="P20" s="148">
        <f t="shared" si="12"/>
        <v>190.68737254821065</v>
      </c>
      <c r="Q20" s="148">
        <f t="shared" si="12"/>
        <v>194.53951299986571</v>
      </c>
      <c r="R20" s="148">
        <f t="shared" si="12"/>
        <v>198.46947185061546</v>
      </c>
      <c r="S20" s="148">
        <f t="shared" si="12"/>
        <v>202.47882113640037</v>
      </c>
      <c r="T20" s="148">
        <f t="shared" si="12"/>
        <v>206.56916465039345</v>
      </c>
      <c r="U20" s="148">
        <f t="shared" si="12"/>
        <v>210.74213858453894</v>
      </c>
      <c r="V20" s="148">
        <f t="shared" si="12"/>
        <v>214.9994121840509</v>
      </c>
      <c r="W20" s="148">
        <f t="shared" si="12"/>
        <v>219.34268841513352</v>
      </c>
      <c r="X20" s="148">
        <f t="shared" si="12"/>
        <v>223.77370464619037</v>
      </c>
      <c r="Y20" s="148">
        <f t="shared" si="12"/>
        <v>228.29423334279488</v>
      </c>
      <c r="Z20" s="148">
        <f t="shared" si="12"/>
        <v>232.9060827767002</v>
      </c>
      <c r="AA20" s="148">
        <f t="shared" si="12"/>
        <v>237.61109774917205</v>
      </c>
      <c r="AB20" s="148">
        <f t="shared" si="12"/>
        <v>242.41116032893376</v>
      </c>
      <c r="AC20" s="148">
        <f t="shared" si="12"/>
        <v>247.30819060501895</v>
      </c>
      <c r="AD20" s="148">
        <f t="shared" si="12"/>
        <v>252.30414745483267</v>
      </c>
      <c r="AE20" s="148">
        <f t="shared" si="12"/>
        <v>257.40102932772845</v>
      </c>
      <c r="AF20" s="148">
        <f t="shared" si="12"/>
        <v>262.60087504441481</v>
      </c>
      <c r="AG20" s="148">
        <f t="shared" si="12"/>
        <v>267.90576461251061</v>
      </c>
      <c r="AH20" s="148">
        <f t="shared" si="12"/>
        <v>273.31782005857593</v>
      </c>
      <c r="AI20" s="148">
        <f t="shared" si="12"/>
        <v>278.8392062769509</v>
      </c>
      <c r="AJ20" s="148">
        <f t="shared" si="12"/>
        <v>284.47213189574228</v>
      </c>
      <c r="AK20" s="148">
        <f t="shared" si="12"/>
        <v>290.21885016030427</v>
      </c>
      <c r="AL20" s="148">
        <f t="shared" si="12"/>
        <v>296.08165983456666</v>
      </c>
      <c r="AM20" s="148">
        <f t="shared" si="12"/>
        <v>302.06290612057097</v>
      </c>
      <c r="AN20" s="148">
        <f t="shared" si="12"/>
        <v>308.16498159658261</v>
      </c>
      <c r="AO20" s="148">
        <f t="shared" si="12"/>
        <v>314.39032717415409</v>
      </c>
      <c r="AP20" s="148">
        <f t="shared" si="12"/>
        <v>320.74143307452221</v>
      </c>
      <c r="AQ20" s="148">
        <f t="shared" si="12"/>
        <v>327.22083982472958</v>
      </c>
      <c r="AR20" s="149">
        <f t="shared" si="12"/>
        <v>333.83113927386955</v>
      </c>
    </row>
    <row r="21" spans="1:58" s="13" customFormat="1">
      <c r="B21" s="12" t="str">
        <f>CONCATENATE("Total demand (",WaterDenomination," m3)")</f>
        <v>Total demand (Millions m3)</v>
      </c>
      <c r="C21" s="3"/>
      <c r="D21" s="171">
        <f t="shared" ref="D21:AR21" si="13">D20*Connections*365/1000/WaterDenValue</f>
        <v>1.3687499999999999</v>
      </c>
      <c r="E21" s="172">
        <f>E20*Connections*365/1000/WaterDenValue</f>
        <v>1.4117051345640335</v>
      </c>
      <c r="F21" s="172">
        <f t="shared" si="13"/>
        <v>1.4663223205731397</v>
      </c>
      <c r="G21" s="172">
        <f t="shared" si="13"/>
        <v>1.5636137776346484</v>
      </c>
      <c r="H21" s="172">
        <f t="shared" si="13"/>
        <v>1.7532026231958293</v>
      </c>
      <c r="I21" s="172">
        <f t="shared" si="13"/>
        <v>2.083778215198731</v>
      </c>
      <c r="J21" s="172">
        <f t="shared" si="13"/>
        <v>2.5038488888808801</v>
      </c>
      <c r="K21" s="172">
        <f t="shared" si="13"/>
        <v>2.8616341902584765</v>
      </c>
      <c r="L21" s="172">
        <f t="shared" si="13"/>
        <v>3.0906042901457167</v>
      </c>
      <c r="M21" s="172">
        <f t="shared" si="13"/>
        <v>3.2293361036334907</v>
      </c>
      <c r="N21" s="172">
        <f t="shared" si="13"/>
        <v>3.3435900504634635</v>
      </c>
      <c r="O21" s="172">
        <f t="shared" si="13"/>
        <v>3.411135049982954</v>
      </c>
      <c r="P21" s="172">
        <f t="shared" si="13"/>
        <v>3.4800445490048451</v>
      </c>
      <c r="Q21" s="172">
        <f t="shared" si="13"/>
        <v>3.5503461122475488</v>
      </c>
      <c r="R21" s="172">
        <f t="shared" si="13"/>
        <v>3.6220678612737327</v>
      </c>
      <c r="S21" s="172">
        <f t="shared" si="13"/>
        <v>3.6952384857393064</v>
      </c>
      <c r="T21" s="172">
        <f t="shared" si="13"/>
        <v>3.7698872548696807</v>
      </c>
      <c r="U21" s="172">
        <f t="shared" si="13"/>
        <v>3.8460440291678353</v>
      </c>
      <c r="V21" s="172">
        <f t="shared" si="13"/>
        <v>3.9237392723589291</v>
      </c>
      <c r="W21" s="172">
        <f t="shared" si="13"/>
        <v>4.0030040635761868</v>
      </c>
      <c r="X21" s="172">
        <f t="shared" si="13"/>
        <v>4.0838701097929739</v>
      </c>
      <c r="Y21" s="172">
        <f t="shared" si="13"/>
        <v>4.1663697585060069</v>
      </c>
      <c r="Z21" s="172">
        <f t="shared" si="13"/>
        <v>4.2505360106747796</v>
      </c>
      <c r="AA21" s="172">
        <f t="shared" si="13"/>
        <v>4.3364025339223904</v>
      </c>
      <c r="AB21" s="172">
        <f t="shared" si="13"/>
        <v>4.4240036760030419</v>
      </c>
      <c r="AC21" s="172">
        <f t="shared" si="13"/>
        <v>4.5133744785415972</v>
      </c>
      <c r="AD21" s="172">
        <f t="shared" si="13"/>
        <v>4.6045506910506964</v>
      </c>
      <c r="AE21" s="172">
        <f t="shared" si="13"/>
        <v>4.6975687852310433</v>
      </c>
      <c r="AF21" s="172">
        <f t="shared" si="13"/>
        <v>4.7924659695605714</v>
      </c>
      <c r="AG21" s="172">
        <f t="shared" si="13"/>
        <v>4.889280204178319</v>
      </c>
      <c r="AH21" s="172">
        <f t="shared" si="13"/>
        <v>4.988050216069011</v>
      </c>
      <c r="AI21" s="172">
        <f t="shared" si="13"/>
        <v>5.0888155145543532</v>
      </c>
      <c r="AJ21" s="172">
        <f t="shared" si="13"/>
        <v>5.191616407097297</v>
      </c>
      <c r="AK21" s="172">
        <f t="shared" si="13"/>
        <v>5.2964940154255533</v>
      </c>
      <c r="AL21" s="172">
        <f t="shared" si="13"/>
        <v>5.403490291980841</v>
      </c>
      <c r="AM21" s="172">
        <f t="shared" si="13"/>
        <v>5.51264803670042</v>
      </c>
      <c r="AN21" s="172">
        <f t="shared" si="13"/>
        <v>5.6240109141376324</v>
      </c>
      <c r="AO21" s="172">
        <f t="shared" si="13"/>
        <v>5.7376234709283125</v>
      </c>
      <c r="AP21" s="172">
        <f t="shared" si="13"/>
        <v>5.8535311536100298</v>
      </c>
      <c r="AQ21" s="172">
        <f t="shared" si="13"/>
        <v>5.9717803268013139</v>
      </c>
      <c r="AR21" s="173">
        <f t="shared" si="13"/>
        <v>6.0924182917481193</v>
      </c>
      <c r="AS21" s="174"/>
      <c r="AT21" s="174"/>
      <c r="AU21" s="174"/>
      <c r="AV21" s="174"/>
      <c r="AW21" s="174"/>
      <c r="AX21" s="174"/>
      <c r="AY21" s="174"/>
      <c r="AZ21" s="174"/>
      <c r="BA21" s="174"/>
      <c r="BB21" s="174"/>
      <c r="BC21" s="174"/>
      <c r="BD21" s="174"/>
      <c r="BE21" s="174"/>
      <c r="BF21" s="174"/>
    </row>
    <row r="22" spans="1:58" s="3" customFormat="1">
      <c r="B22" s="6"/>
      <c r="D22" s="175"/>
      <c r="E22" s="175"/>
      <c r="F22" s="175"/>
    </row>
    <row r="23" spans="1:58" s="13" customFormat="1">
      <c r="B23" s="12" t="s">
        <v>62</v>
      </c>
      <c r="C23" s="3"/>
      <c r="D23" s="176">
        <f>UFW_CurVal</f>
        <v>0.01</v>
      </c>
      <c r="E23" s="158">
        <f t="shared" ref="E23:AR23" si="14">IF(Year&lt;UFW_TargetYr,UFW_CurVal+(UFW_Target-UFW_CurVal)/(1+EXP(-(10/UFW_TargetYr)*(Year-1-(UFW_TargetYr-1)/2))),UFW_Target)</f>
        <v>1.0359724199241832E-2</v>
      </c>
      <c r="F23" s="158">
        <f t="shared" si="14"/>
        <v>1.2384058440442351E-2</v>
      </c>
      <c r="G23" s="158">
        <f t="shared" si="14"/>
        <v>1.9999999999999997E-2</v>
      </c>
      <c r="H23" s="158">
        <f t="shared" si="14"/>
        <v>2.7615941559557641E-2</v>
      </c>
      <c r="I23" s="158">
        <f t="shared" si="14"/>
        <v>0.03</v>
      </c>
      <c r="J23" s="158">
        <f t="shared" si="14"/>
        <v>0.03</v>
      </c>
      <c r="K23" s="158">
        <f t="shared" si="14"/>
        <v>0.03</v>
      </c>
      <c r="L23" s="158">
        <f t="shared" si="14"/>
        <v>0.03</v>
      </c>
      <c r="M23" s="158">
        <f t="shared" si="14"/>
        <v>0.03</v>
      </c>
      <c r="N23" s="158">
        <f t="shared" si="14"/>
        <v>0.03</v>
      </c>
      <c r="O23" s="158">
        <f t="shared" si="14"/>
        <v>0.03</v>
      </c>
      <c r="P23" s="158">
        <f t="shared" si="14"/>
        <v>0.03</v>
      </c>
      <c r="Q23" s="158">
        <f t="shared" si="14"/>
        <v>0.03</v>
      </c>
      <c r="R23" s="158">
        <f t="shared" si="14"/>
        <v>0.03</v>
      </c>
      <c r="S23" s="158">
        <f t="shared" si="14"/>
        <v>0.03</v>
      </c>
      <c r="T23" s="158">
        <f t="shared" si="14"/>
        <v>0.03</v>
      </c>
      <c r="U23" s="158">
        <f t="shared" si="14"/>
        <v>0.03</v>
      </c>
      <c r="V23" s="158">
        <f t="shared" si="14"/>
        <v>0.03</v>
      </c>
      <c r="W23" s="158">
        <f t="shared" si="14"/>
        <v>0.03</v>
      </c>
      <c r="X23" s="158">
        <f t="shared" si="14"/>
        <v>0.03</v>
      </c>
      <c r="Y23" s="158">
        <f t="shared" si="14"/>
        <v>0.03</v>
      </c>
      <c r="Z23" s="158">
        <f t="shared" si="14"/>
        <v>0.03</v>
      </c>
      <c r="AA23" s="158">
        <f t="shared" si="14"/>
        <v>0.03</v>
      </c>
      <c r="AB23" s="158">
        <f t="shared" si="14"/>
        <v>0.03</v>
      </c>
      <c r="AC23" s="158">
        <f t="shared" si="14"/>
        <v>0.03</v>
      </c>
      <c r="AD23" s="158">
        <f t="shared" si="14"/>
        <v>0.03</v>
      </c>
      <c r="AE23" s="158">
        <f t="shared" si="14"/>
        <v>0.03</v>
      </c>
      <c r="AF23" s="158">
        <f t="shared" si="14"/>
        <v>0.03</v>
      </c>
      <c r="AG23" s="158">
        <f t="shared" si="14"/>
        <v>0.03</v>
      </c>
      <c r="AH23" s="158">
        <f t="shared" si="14"/>
        <v>0.03</v>
      </c>
      <c r="AI23" s="158">
        <f t="shared" si="14"/>
        <v>0.03</v>
      </c>
      <c r="AJ23" s="158">
        <f t="shared" si="14"/>
        <v>0.03</v>
      </c>
      <c r="AK23" s="158">
        <f t="shared" si="14"/>
        <v>0.03</v>
      </c>
      <c r="AL23" s="158">
        <f t="shared" si="14"/>
        <v>0.03</v>
      </c>
      <c r="AM23" s="158">
        <f t="shared" si="14"/>
        <v>0.03</v>
      </c>
      <c r="AN23" s="158">
        <f t="shared" si="14"/>
        <v>0.03</v>
      </c>
      <c r="AO23" s="158">
        <f t="shared" si="14"/>
        <v>0.03</v>
      </c>
      <c r="AP23" s="158">
        <f t="shared" si="14"/>
        <v>0.03</v>
      </c>
      <c r="AQ23" s="158">
        <f t="shared" si="14"/>
        <v>0.03</v>
      </c>
      <c r="AR23" s="159">
        <f t="shared" si="14"/>
        <v>0.03</v>
      </c>
    </row>
    <row r="24" spans="1:58" s="13" customFormat="1">
      <c r="B24" s="12" t="s">
        <v>113</v>
      </c>
      <c r="C24" s="3"/>
      <c r="D24" s="176">
        <f>Collection</f>
        <v>1</v>
      </c>
      <c r="E24" s="158">
        <f t="shared" ref="E24:AR24" si="15">IF(Year&lt;Collection_TargetYr,Collection+(Collection_Target-Collection)/(1+EXP(-(10/Collection_TargetYr)*(Year-1-(Collection_TargetYr-1)/2))),Collection_Target)</f>
        <v>1</v>
      </c>
      <c r="F24" s="158">
        <f t="shared" si="15"/>
        <v>1</v>
      </c>
      <c r="G24" s="158">
        <f t="shared" si="15"/>
        <v>1</v>
      </c>
      <c r="H24" s="158">
        <f t="shared" si="15"/>
        <v>1</v>
      </c>
      <c r="I24" s="158">
        <f t="shared" si="15"/>
        <v>1</v>
      </c>
      <c r="J24" s="158">
        <f t="shared" si="15"/>
        <v>1</v>
      </c>
      <c r="K24" s="158">
        <f t="shared" si="15"/>
        <v>1</v>
      </c>
      <c r="L24" s="158">
        <f t="shared" si="15"/>
        <v>1</v>
      </c>
      <c r="M24" s="158">
        <f t="shared" si="15"/>
        <v>1</v>
      </c>
      <c r="N24" s="158">
        <f t="shared" si="15"/>
        <v>1</v>
      </c>
      <c r="O24" s="158">
        <f t="shared" si="15"/>
        <v>1</v>
      </c>
      <c r="P24" s="158">
        <f t="shared" si="15"/>
        <v>1</v>
      </c>
      <c r="Q24" s="158">
        <f t="shared" si="15"/>
        <v>1</v>
      </c>
      <c r="R24" s="158">
        <f t="shared" si="15"/>
        <v>1</v>
      </c>
      <c r="S24" s="158">
        <f t="shared" si="15"/>
        <v>1</v>
      </c>
      <c r="T24" s="158">
        <f t="shared" si="15"/>
        <v>1</v>
      </c>
      <c r="U24" s="158">
        <f t="shared" si="15"/>
        <v>1</v>
      </c>
      <c r="V24" s="158">
        <f t="shared" si="15"/>
        <v>1</v>
      </c>
      <c r="W24" s="158">
        <f t="shared" si="15"/>
        <v>1</v>
      </c>
      <c r="X24" s="158">
        <f t="shared" si="15"/>
        <v>1</v>
      </c>
      <c r="Y24" s="158">
        <f t="shared" si="15"/>
        <v>1</v>
      </c>
      <c r="Z24" s="158">
        <f t="shared" si="15"/>
        <v>1</v>
      </c>
      <c r="AA24" s="158">
        <f t="shared" si="15"/>
        <v>1</v>
      </c>
      <c r="AB24" s="158">
        <f t="shared" si="15"/>
        <v>1</v>
      </c>
      <c r="AC24" s="158">
        <f t="shared" si="15"/>
        <v>1</v>
      </c>
      <c r="AD24" s="158">
        <f t="shared" si="15"/>
        <v>1</v>
      </c>
      <c r="AE24" s="158">
        <f t="shared" si="15"/>
        <v>1</v>
      </c>
      <c r="AF24" s="158">
        <f t="shared" si="15"/>
        <v>1</v>
      </c>
      <c r="AG24" s="158">
        <f t="shared" si="15"/>
        <v>1</v>
      </c>
      <c r="AH24" s="158">
        <f t="shared" si="15"/>
        <v>1</v>
      </c>
      <c r="AI24" s="158">
        <f t="shared" si="15"/>
        <v>1</v>
      </c>
      <c r="AJ24" s="158">
        <f t="shared" si="15"/>
        <v>1</v>
      </c>
      <c r="AK24" s="158">
        <f t="shared" si="15"/>
        <v>1</v>
      </c>
      <c r="AL24" s="158">
        <f t="shared" si="15"/>
        <v>1</v>
      </c>
      <c r="AM24" s="158">
        <f t="shared" si="15"/>
        <v>1</v>
      </c>
      <c r="AN24" s="158">
        <f t="shared" si="15"/>
        <v>1</v>
      </c>
      <c r="AO24" s="158">
        <f t="shared" si="15"/>
        <v>1</v>
      </c>
      <c r="AP24" s="158">
        <f t="shared" si="15"/>
        <v>1</v>
      </c>
      <c r="AQ24" s="158">
        <f t="shared" si="15"/>
        <v>1</v>
      </c>
      <c r="AR24" s="159">
        <f t="shared" si="15"/>
        <v>1</v>
      </c>
    </row>
    <row r="25" spans="1:58" s="3" customFormat="1">
      <c r="D25" s="155"/>
    </row>
    <row r="26" spans="1:58" s="3" customFormat="1">
      <c r="C26" s="12"/>
      <c r="D26" s="155"/>
    </row>
    <row r="27" spans="1:58" s="45" customFormat="1" ht="17.399999999999999">
      <c r="A27" s="177" t="str">
        <f>CONCATENATE("Costs &amp; subsidies (",MonDenomination,")")</f>
        <v>Costs &amp; subsidies (Millions)</v>
      </c>
      <c r="B27" s="178"/>
      <c r="C27" s="178"/>
      <c r="D27" s="179"/>
      <c r="E27" s="179"/>
      <c r="F27" s="179"/>
      <c r="G27" s="179"/>
      <c r="H27" s="179"/>
      <c r="I27" s="179"/>
      <c r="J27" s="179"/>
      <c r="K27" s="179"/>
      <c r="L27" s="179"/>
      <c r="M27" s="179"/>
      <c r="N27" s="179"/>
    </row>
    <row r="28" spans="1:58" s="13" customFormat="1">
      <c r="B28" s="4" t="s">
        <v>114</v>
      </c>
      <c r="C28" s="138"/>
      <c r="D28" s="175"/>
      <c r="E28" s="175"/>
      <c r="F28" s="175"/>
      <c r="G28" s="175"/>
      <c r="H28" s="175"/>
      <c r="I28" s="175"/>
      <c r="J28" s="175"/>
      <c r="K28" s="175"/>
      <c r="L28" s="175"/>
      <c r="M28" s="175"/>
      <c r="N28" s="175"/>
    </row>
    <row r="29" spans="1:58" s="13" customFormat="1">
      <c r="B29" s="4"/>
      <c r="C29" s="40" t="s">
        <v>14</v>
      </c>
      <c r="D29" s="175"/>
      <c r="E29" s="180"/>
      <c r="F29" s="180"/>
      <c r="G29" s="180"/>
      <c r="H29" s="180"/>
      <c r="I29" s="180"/>
      <c r="J29" s="180"/>
      <c r="K29" s="180"/>
      <c r="L29" s="180"/>
      <c r="M29" s="180"/>
      <c r="N29" s="180"/>
    </row>
    <row r="30" spans="1:58" s="13" customFormat="1">
      <c r="C30" s="138" t="s">
        <v>115</v>
      </c>
      <c r="D30" s="147">
        <f>(Opex_Fixed/MonDenValue)*(1-Opex_FixedForeign)</f>
        <v>10</v>
      </c>
      <c r="E30" s="148">
        <f t="shared" ref="E30:T31" si="16">D30*EXP(Opex_FixedGrowth)</f>
        <v>10.304545339535169</v>
      </c>
      <c r="F30" s="148">
        <f t="shared" si="16"/>
        <v>10.618365465453598</v>
      </c>
      <c r="G30" s="148">
        <f t="shared" si="16"/>
        <v>10.941742837052107</v>
      </c>
      <c r="H30" s="148">
        <f t="shared" si="16"/>
        <v>11.274968515793761</v>
      </c>
      <c r="I30" s="148">
        <f t="shared" si="16"/>
        <v>11.618342427282837</v>
      </c>
      <c r="J30" s="148">
        <f t="shared" si="16"/>
        <v>11.972173631218109</v>
      </c>
      <c r="K30" s="148">
        <f t="shared" si="16"/>
        <v>12.33678059956744</v>
      </c>
      <c r="L30" s="148">
        <f t="shared" si="16"/>
        <v>12.712491503214055</v>
      </c>
      <c r="M30" s="148">
        <f t="shared" si="16"/>
        <v>13.099644507332483</v>
      </c>
      <c r="N30" s="148">
        <f t="shared" si="16"/>
        <v>13.498588075760042</v>
      </c>
      <c r="O30" s="148">
        <f t="shared" si="16"/>
        <v>13.909681284637815</v>
      </c>
      <c r="P30" s="148">
        <f t="shared" si="16"/>
        <v>14.333294145603416</v>
      </c>
      <c r="Q30" s="148">
        <f t="shared" si="16"/>
        <v>14.769807938826441</v>
      </c>
      <c r="R30" s="148">
        <f t="shared" si="16"/>
        <v>15.219615556186355</v>
      </c>
      <c r="S30" s="148">
        <f t="shared" si="16"/>
        <v>15.683121854901707</v>
      </c>
      <c r="T30" s="148">
        <f t="shared" si="16"/>
        <v>16.160744021928956</v>
      </c>
      <c r="U30" s="148">
        <f t="shared" ref="U30:AJ30" si="17">T30*EXP(Opex_FixedGrowth)</f>
        <v>16.652911949458886</v>
      </c>
      <c r="V30" s="148">
        <f t="shared" si="17"/>
        <v>17.160068621848609</v>
      </c>
      <c r="W30" s="148">
        <f t="shared" si="17"/>
        <v>17.682670514337378</v>
      </c>
      <c r="X30" s="148">
        <f t="shared" si="17"/>
        <v>18.22118800390512</v>
      </c>
      <c r="Y30" s="148">
        <f t="shared" si="17"/>
        <v>18.776105792643463</v>
      </c>
      <c r="Z30" s="148">
        <f t="shared" si="17"/>
        <v>19.347923344020348</v>
      </c>
      <c r="AA30" s="148">
        <f t="shared" si="17"/>
        <v>19.937155332430859</v>
      </c>
      <c r="AB30" s="148">
        <f t="shared" si="17"/>
        <v>20.544332106438915</v>
      </c>
      <c r="AC30" s="148">
        <f t="shared" si="17"/>
        <v>21.170000166126787</v>
      </c>
      <c r="AD30" s="148">
        <f t="shared" si="17"/>
        <v>21.814722654982056</v>
      </c>
      <c r="AE30" s="148">
        <f t="shared" si="17"/>
        <v>22.479079866764764</v>
      </c>
      <c r="AF30" s="148">
        <f t="shared" si="17"/>
        <v>23.163669767810969</v>
      </c>
      <c r="AG30" s="148">
        <f t="shared" si="17"/>
        <v>23.869108535242823</v>
      </c>
      <c r="AH30" s="148">
        <f t="shared" si="17"/>
        <v>24.596031111569555</v>
      </c>
      <c r="AI30" s="148">
        <f t="shared" si="17"/>
        <v>25.345091776178609</v>
      </c>
      <c r="AJ30" s="148">
        <f t="shared" si="17"/>
        <v>26.116964734231242</v>
      </c>
      <c r="AK30" s="148">
        <f t="shared" ref="AK30:AR30" si="18">AJ30*EXP(Opex_FixedGrowth)</f>
        <v>26.912344723492691</v>
      </c>
      <c r="AL30" s="148">
        <f t="shared" si="18"/>
        <v>27.73194763964305</v>
      </c>
      <c r="AM30" s="148">
        <f t="shared" si="18"/>
        <v>28.576511180631712</v>
      </c>
      <c r="AN30" s="148">
        <f t="shared" si="18"/>
        <v>29.446795510655317</v>
      </c>
      <c r="AO30" s="148">
        <f t="shared" si="18"/>
        <v>30.34358394435684</v>
      </c>
      <c r="AP30" s="148">
        <f t="shared" si="18"/>
        <v>31.267683651861649</v>
      </c>
      <c r="AQ30" s="148">
        <f t="shared" si="18"/>
        <v>32.219926385285099</v>
      </c>
      <c r="AR30" s="149">
        <f t="shared" si="18"/>
        <v>33.201169227365583</v>
      </c>
    </row>
    <row r="31" spans="1:58" s="13" customFormat="1">
      <c r="C31" s="138" t="s">
        <v>116</v>
      </c>
      <c r="D31" s="150">
        <f>(Opex_Fixed/MonDenValue)*Opex_FixedForeign/ExRate_Cur</f>
        <v>0.1</v>
      </c>
      <c r="E31" s="151">
        <f t="shared" si="16"/>
        <v>0.1030454533953517</v>
      </c>
      <c r="F31" s="151">
        <f t="shared" ref="F31:U31" si="19">E31*EXP(Opex_FixedGrowth)</f>
        <v>0.106183654654536</v>
      </c>
      <c r="G31" s="151">
        <f t="shared" si="19"/>
        <v>0.10941742837052108</v>
      </c>
      <c r="H31" s="151">
        <f t="shared" si="19"/>
        <v>0.11274968515793762</v>
      </c>
      <c r="I31" s="151">
        <f t="shared" si="19"/>
        <v>0.11618342427282838</v>
      </c>
      <c r="J31" s="151">
        <f t="shared" si="19"/>
        <v>0.1197217363121811</v>
      </c>
      <c r="K31" s="151">
        <f t="shared" si="19"/>
        <v>0.12336780599567441</v>
      </c>
      <c r="L31" s="151">
        <f t="shared" si="19"/>
        <v>0.12712491503214057</v>
      </c>
      <c r="M31" s="151">
        <f t="shared" si="19"/>
        <v>0.13099644507332486</v>
      </c>
      <c r="N31" s="151">
        <f t="shared" si="19"/>
        <v>0.13498588075760046</v>
      </c>
      <c r="O31" s="151">
        <f t="shared" si="19"/>
        <v>0.13909681284637818</v>
      </c>
      <c r="P31" s="151">
        <f t="shared" si="19"/>
        <v>0.1433329414560342</v>
      </c>
      <c r="Q31" s="151">
        <f t="shared" si="19"/>
        <v>0.14769807938826446</v>
      </c>
      <c r="R31" s="151">
        <f t="shared" si="19"/>
        <v>0.15219615556186361</v>
      </c>
      <c r="S31" s="151">
        <f t="shared" si="19"/>
        <v>0.15683121854901713</v>
      </c>
      <c r="T31" s="151">
        <f t="shared" si="19"/>
        <v>0.16160744021928961</v>
      </c>
      <c r="U31" s="151">
        <f t="shared" si="19"/>
        <v>0.16652911949458893</v>
      </c>
      <c r="V31" s="151">
        <f t="shared" ref="V31:AK31" si="20">U31*EXP(Opex_FixedGrowth)</f>
        <v>0.17160068621848618</v>
      </c>
      <c r="W31" s="151">
        <f t="shared" si="20"/>
        <v>0.17682670514337387</v>
      </c>
      <c r="X31" s="151">
        <f t="shared" si="20"/>
        <v>0.18221188003905128</v>
      </c>
      <c r="Y31" s="151">
        <f t="shared" si="20"/>
        <v>0.18776105792643472</v>
      </c>
      <c r="Z31" s="151">
        <f t="shared" si="20"/>
        <v>0.19347923344020357</v>
      </c>
      <c r="AA31" s="151">
        <f t="shared" si="20"/>
        <v>0.19937155332430867</v>
      </c>
      <c r="AB31" s="151">
        <f t="shared" si="20"/>
        <v>0.20544332106438923</v>
      </c>
      <c r="AC31" s="151">
        <f t="shared" si="20"/>
        <v>0.21170000166126796</v>
      </c>
      <c r="AD31" s="151">
        <f t="shared" si="20"/>
        <v>0.21814722654982063</v>
      </c>
      <c r="AE31" s="151">
        <f t="shared" si="20"/>
        <v>0.2247907986676477</v>
      </c>
      <c r="AF31" s="151">
        <f t="shared" si="20"/>
        <v>0.23163669767810977</v>
      </c>
      <c r="AG31" s="151">
        <f t="shared" si="20"/>
        <v>0.23869108535242831</v>
      </c>
      <c r="AH31" s="151">
        <f t="shared" si="20"/>
        <v>0.24596031111569563</v>
      </c>
      <c r="AI31" s="151">
        <f t="shared" si="20"/>
        <v>0.25345091776178619</v>
      </c>
      <c r="AJ31" s="151">
        <f t="shared" si="20"/>
        <v>0.26116964734231252</v>
      </c>
      <c r="AK31" s="151">
        <f t="shared" si="20"/>
        <v>0.26912344723492704</v>
      </c>
      <c r="AL31" s="151">
        <f t="shared" ref="AL31:AR31" si="21">AK31*EXP(Opex_FixedGrowth)</f>
        <v>0.27731947639643062</v>
      </c>
      <c r="AM31" s="151">
        <f t="shared" si="21"/>
        <v>0.28576511180631725</v>
      </c>
      <c r="AN31" s="151">
        <f t="shared" si="21"/>
        <v>0.29446795510655333</v>
      </c>
      <c r="AO31" s="151">
        <f t="shared" si="21"/>
        <v>0.30343583944356856</v>
      </c>
      <c r="AP31" s="151">
        <f t="shared" si="21"/>
        <v>0.31267683651861661</v>
      </c>
      <c r="AQ31" s="151">
        <f t="shared" si="21"/>
        <v>0.32219926385285108</v>
      </c>
      <c r="AR31" s="152">
        <f t="shared" si="21"/>
        <v>0.3320116922736559</v>
      </c>
    </row>
    <row r="32" spans="1:58" s="13" customFormat="1">
      <c r="B32" s="181"/>
      <c r="C32" s="40" t="s">
        <v>17</v>
      </c>
      <c r="E32" s="182"/>
    </row>
    <row r="33" spans="1:44" s="13" customFormat="1">
      <c r="C33" s="138" t="s">
        <v>115</v>
      </c>
      <c r="D33" s="147">
        <f>Opex_Var*(1-Opex_VarForeign)</f>
        <v>10</v>
      </c>
      <c r="E33" s="148">
        <f t="shared" ref="E33:T33" si="22">D33*EXP(Opex_VarGrowth)</f>
        <v>10.304545339535169</v>
      </c>
      <c r="F33" s="148">
        <f t="shared" si="22"/>
        <v>10.618365465453598</v>
      </c>
      <c r="G33" s="148">
        <f t="shared" si="22"/>
        <v>10.941742837052107</v>
      </c>
      <c r="H33" s="148">
        <f t="shared" si="22"/>
        <v>11.274968515793761</v>
      </c>
      <c r="I33" s="148">
        <f t="shared" si="22"/>
        <v>11.618342427282837</v>
      </c>
      <c r="J33" s="148">
        <f t="shared" si="22"/>
        <v>11.972173631218109</v>
      </c>
      <c r="K33" s="148">
        <f t="shared" si="22"/>
        <v>12.33678059956744</v>
      </c>
      <c r="L33" s="148">
        <f t="shared" si="22"/>
        <v>12.712491503214055</v>
      </c>
      <c r="M33" s="148">
        <f t="shared" si="22"/>
        <v>13.099644507332483</v>
      </c>
      <c r="N33" s="148">
        <f t="shared" si="22"/>
        <v>13.498588075760042</v>
      </c>
      <c r="O33" s="148">
        <f t="shared" si="22"/>
        <v>13.909681284637815</v>
      </c>
      <c r="P33" s="148">
        <f t="shared" si="22"/>
        <v>14.333294145603416</v>
      </c>
      <c r="Q33" s="148">
        <f t="shared" si="22"/>
        <v>14.769807938826441</v>
      </c>
      <c r="R33" s="148">
        <f t="shared" si="22"/>
        <v>15.219615556186355</v>
      </c>
      <c r="S33" s="148">
        <f t="shared" si="22"/>
        <v>15.683121854901707</v>
      </c>
      <c r="T33" s="148">
        <f t="shared" si="22"/>
        <v>16.160744021928956</v>
      </c>
      <c r="U33" s="148">
        <f t="shared" ref="U33:AJ33" si="23">T33*EXP(Opex_VarGrowth)</f>
        <v>16.652911949458886</v>
      </c>
      <c r="V33" s="148">
        <f t="shared" si="23"/>
        <v>17.160068621848609</v>
      </c>
      <c r="W33" s="148">
        <f t="shared" si="23"/>
        <v>17.682670514337378</v>
      </c>
      <c r="X33" s="148">
        <f t="shared" si="23"/>
        <v>18.22118800390512</v>
      </c>
      <c r="Y33" s="148">
        <f t="shared" si="23"/>
        <v>18.776105792643463</v>
      </c>
      <c r="Z33" s="148">
        <f t="shared" si="23"/>
        <v>19.347923344020348</v>
      </c>
      <c r="AA33" s="148">
        <f t="shared" si="23"/>
        <v>19.937155332430859</v>
      </c>
      <c r="AB33" s="148">
        <f t="shared" si="23"/>
        <v>20.544332106438915</v>
      </c>
      <c r="AC33" s="148">
        <f t="shared" si="23"/>
        <v>21.170000166126787</v>
      </c>
      <c r="AD33" s="148">
        <f t="shared" si="23"/>
        <v>21.814722654982056</v>
      </c>
      <c r="AE33" s="148">
        <f t="shared" si="23"/>
        <v>22.479079866764764</v>
      </c>
      <c r="AF33" s="148">
        <f t="shared" si="23"/>
        <v>23.163669767810969</v>
      </c>
      <c r="AG33" s="148">
        <f t="shared" si="23"/>
        <v>23.869108535242823</v>
      </c>
      <c r="AH33" s="148">
        <f t="shared" si="23"/>
        <v>24.596031111569555</v>
      </c>
      <c r="AI33" s="148">
        <f t="shared" si="23"/>
        <v>25.345091776178609</v>
      </c>
      <c r="AJ33" s="148">
        <f t="shared" si="23"/>
        <v>26.116964734231242</v>
      </c>
      <c r="AK33" s="148">
        <f t="shared" ref="AK33:AR33" si="24">AJ33*EXP(Opex_VarGrowth)</f>
        <v>26.912344723492691</v>
      </c>
      <c r="AL33" s="148">
        <f t="shared" si="24"/>
        <v>27.73194763964305</v>
      </c>
      <c r="AM33" s="148">
        <f t="shared" si="24"/>
        <v>28.576511180631712</v>
      </c>
      <c r="AN33" s="148">
        <f t="shared" si="24"/>
        <v>29.446795510655317</v>
      </c>
      <c r="AO33" s="148">
        <f t="shared" si="24"/>
        <v>30.34358394435684</v>
      </c>
      <c r="AP33" s="148">
        <f t="shared" si="24"/>
        <v>31.267683651861649</v>
      </c>
      <c r="AQ33" s="148">
        <f t="shared" si="24"/>
        <v>32.219926385285099</v>
      </c>
      <c r="AR33" s="149">
        <f t="shared" si="24"/>
        <v>33.201169227365583</v>
      </c>
    </row>
    <row r="34" spans="1:44" s="13" customFormat="1">
      <c r="C34" s="138" t="s">
        <v>116</v>
      </c>
      <c r="D34" s="150">
        <f>Opex_Var*Opex_VarForeign/ExRate_Cur</f>
        <v>0.1</v>
      </c>
      <c r="E34" s="151">
        <f>D34*EXP(Opex_VarGrowth)</f>
        <v>0.1030454533953517</v>
      </c>
      <c r="F34" s="151">
        <f t="shared" ref="F34:U34" si="25">E34*EXP(Opex_VarGrowth)</f>
        <v>0.106183654654536</v>
      </c>
      <c r="G34" s="151">
        <f t="shared" si="25"/>
        <v>0.10941742837052108</v>
      </c>
      <c r="H34" s="151">
        <f t="shared" si="25"/>
        <v>0.11274968515793762</v>
      </c>
      <c r="I34" s="151">
        <f t="shared" si="25"/>
        <v>0.11618342427282838</v>
      </c>
      <c r="J34" s="151">
        <f t="shared" si="25"/>
        <v>0.1197217363121811</v>
      </c>
      <c r="K34" s="151">
        <f t="shared" si="25"/>
        <v>0.12336780599567441</v>
      </c>
      <c r="L34" s="151">
        <f t="shared" si="25"/>
        <v>0.12712491503214057</v>
      </c>
      <c r="M34" s="151">
        <f t="shared" si="25"/>
        <v>0.13099644507332486</v>
      </c>
      <c r="N34" s="151">
        <f t="shared" si="25"/>
        <v>0.13498588075760046</v>
      </c>
      <c r="O34" s="151">
        <f t="shared" si="25"/>
        <v>0.13909681284637818</v>
      </c>
      <c r="P34" s="151">
        <f t="shared" si="25"/>
        <v>0.1433329414560342</v>
      </c>
      <c r="Q34" s="151">
        <f t="shared" si="25"/>
        <v>0.14769807938826446</v>
      </c>
      <c r="R34" s="151">
        <f t="shared" si="25"/>
        <v>0.15219615556186361</v>
      </c>
      <c r="S34" s="151">
        <f t="shared" si="25"/>
        <v>0.15683121854901713</v>
      </c>
      <c r="T34" s="151">
        <f t="shared" si="25"/>
        <v>0.16160744021928961</v>
      </c>
      <c r="U34" s="151">
        <f t="shared" si="25"/>
        <v>0.16652911949458893</v>
      </c>
      <c r="V34" s="151">
        <f t="shared" ref="V34:AK34" si="26">U34*EXP(Opex_VarGrowth)</f>
        <v>0.17160068621848618</v>
      </c>
      <c r="W34" s="151">
        <f t="shared" si="26"/>
        <v>0.17682670514337387</v>
      </c>
      <c r="X34" s="151">
        <f t="shared" si="26"/>
        <v>0.18221188003905128</v>
      </c>
      <c r="Y34" s="151">
        <f t="shared" si="26"/>
        <v>0.18776105792643472</v>
      </c>
      <c r="Z34" s="151">
        <f t="shared" si="26"/>
        <v>0.19347923344020357</v>
      </c>
      <c r="AA34" s="151">
        <f t="shared" si="26"/>
        <v>0.19937155332430867</v>
      </c>
      <c r="AB34" s="151">
        <f t="shared" si="26"/>
        <v>0.20544332106438923</v>
      </c>
      <c r="AC34" s="151">
        <f t="shared" si="26"/>
        <v>0.21170000166126796</v>
      </c>
      <c r="AD34" s="151">
        <f t="shared" si="26"/>
        <v>0.21814722654982063</v>
      </c>
      <c r="AE34" s="151">
        <f t="shared" si="26"/>
        <v>0.2247907986676477</v>
      </c>
      <c r="AF34" s="151">
        <f t="shared" si="26"/>
        <v>0.23163669767810977</v>
      </c>
      <c r="AG34" s="151">
        <f t="shared" si="26"/>
        <v>0.23869108535242831</v>
      </c>
      <c r="AH34" s="151">
        <f t="shared" si="26"/>
        <v>0.24596031111569563</v>
      </c>
      <c r="AI34" s="151">
        <f t="shared" si="26"/>
        <v>0.25345091776178619</v>
      </c>
      <c r="AJ34" s="151">
        <f t="shared" si="26"/>
        <v>0.26116964734231252</v>
      </c>
      <c r="AK34" s="151">
        <f t="shared" si="26"/>
        <v>0.26912344723492704</v>
      </c>
      <c r="AL34" s="151">
        <f t="shared" ref="AL34:AR34" si="27">AK34*EXP(Opex_VarGrowth)</f>
        <v>0.27731947639643062</v>
      </c>
      <c r="AM34" s="151">
        <f t="shared" si="27"/>
        <v>0.28576511180631725</v>
      </c>
      <c r="AN34" s="151">
        <f t="shared" si="27"/>
        <v>0.29446795510655333</v>
      </c>
      <c r="AO34" s="151">
        <f t="shared" si="27"/>
        <v>0.30343583944356856</v>
      </c>
      <c r="AP34" s="151">
        <f t="shared" si="27"/>
        <v>0.31267683651861661</v>
      </c>
      <c r="AQ34" s="151">
        <f t="shared" si="27"/>
        <v>0.32219926385285108</v>
      </c>
      <c r="AR34" s="152">
        <f t="shared" si="27"/>
        <v>0.3320116922736559</v>
      </c>
    </row>
    <row r="35" spans="1:44" s="3" customFormat="1">
      <c r="B35" s="6"/>
    </row>
    <row r="36" spans="1:44" s="3" customFormat="1"/>
    <row r="37" spans="1:44" s="45" customFormat="1" ht="17.399999999999999">
      <c r="A37" s="43" t="str">
        <f>CONCATENATE("Financing costs (",MonDenomination,")")</f>
        <v>Financing costs (Millions)</v>
      </c>
      <c r="B37" s="44"/>
      <c r="C37" s="44"/>
      <c r="D37" s="179"/>
      <c r="E37" s="179"/>
      <c r="F37" s="179"/>
      <c r="G37" s="179"/>
      <c r="H37" s="179"/>
      <c r="I37" s="179"/>
      <c r="J37" s="179"/>
      <c r="K37" s="179"/>
      <c r="L37" s="179"/>
      <c r="M37" s="179"/>
      <c r="N37" s="179"/>
    </row>
    <row r="38" spans="1:44" s="13" customFormat="1">
      <c r="B38" s="4" t="s">
        <v>117</v>
      </c>
      <c r="E38" s="183">
        <f t="shared" ref="E38:AR38" si="28">Connections_New*InvestPerConnection/(DeflateFactor_Det*MonDenValue)</f>
        <v>0.58077707951356317</v>
      </c>
      <c r="F38" s="184">
        <f t="shared" si="28"/>
        <v>1.0357953367494417</v>
      </c>
      <c r="G38" s="184">
        <f t="shared" si="28"/>
        <v>2.8231323361834617</v>
      </c>
      <c r="H38" s="184">
        <f t="shared" si="28"/>
        <v>6.9542561945154242</v>
      </c>
      <c r="I38" s="184">
        <f t="shared" si="28"/>
        <v>13.738674774966036</v>
      </c>
      <c r="J38" s="184">
        <f t="shared" si="28"/>
        <v>18.634937174558434</v>
      </c>
      <c r="K38" s="184">
        <f t="shared" si="28"/>
        <v>16.057886879659687</v>
      </c>
      <c r="L38" s="184">
        <f t="shared" si="28"/>
        <v>9.4912619705442243</v>
      </c>
      <c r="M38" s="184">
        <f t="shared" si="28"/>
        <v>4.4899814690214912</v>
      </c>
      <c r="N38" s="184">
        <f t="shared" si="28"/>
        <v>3.0619177770457497</v>
      </c>
      <c r="O38" s="184">
        <f t="shared" si="28"/>
        <v>0</v>
      </c>
      <c r="P38" s="184">
        <f t="shared" si="28"/>
        <v>0</v>
      </c>
      <c r="Q38" s="184">
        <f t="shared" si="28"/>
        <v>0</v>
      </c>
      <c r="R38" s="184">
        <f t="shared" si="28"/>
        <v>0</v>
      </c>
      <c r="S38" s="184">
        <f t="shared" si="28"/>
        <v>0</v>
      </c>
      <c r="T38" s="184">
        <f t="shared" si="28"/>
        <v>0</v>
      </c>
      <c r="U38" s="184">
        <f t="shared" si="28"/>
        <v>0</v>
      </c>
      <c r="V38" s="184">
        <f t="shared" si="28"/>
        <v>0</v>
      </c>
      <c r="W38" s="184">
        <f t="shared" si="28"/>
        <v>0</v>
      </c>
      <c r="X38" s="184">
        <f t="shared" si="28"/>
        <v>0</v>
      </c>
      <c r="Y38" s="184">
        <f t="shared" si="28"/>
        <v>0</v>
      </c>
      <c r="Z38" s="184">
        <f t="shared" si="28"/>
        <v>0</v>
      </c>
      <c r="AA38" s="184">
        <f t="shared" si="28"/>
        <v>0</v>
      </c>
      <c r="AB38" s="184">
        <f t="shared" si="28"/>
        <v>0</v>
      </c>
      <c r="AC38" s="184">
        <f t="shared" si="28"/>
        <v>0</v>
      </c>
      <c r="AD38" s="184">
        <f t="shared" si="28"/>
        <v>0</v>
      </c>
      <c r="AE38" s="184">
        <f t="shared" si="28"/>
        <v>0</v>
      </c>
      <c r="AF38" s="184">
        <f t="shared" si="28"/>
        <v>0</v>
      </c>
      <c r="AG38" s="184">
        <f t="shared" si="28"/>
        <v>0</v>
      </c>
      <c r="AH38" s="184">
        <f t="shared" si="28"/>
        <v>0</v>
      </c>
      <c r="AI38" s="184">
        <f t="shared" si="28"/>
        <v>0</v>
      </c>
      <c r="AJ38" s="184">
        <f t="shared" si="28"/>
        <v>0</v>
      </c>
      <c r="AK38" s="184">
        <f t="shared" si="28"/>
        <v>0</v>
      </c>
      <c r="AL38" s="184">
        <f t="shared" si="28"/>
        <v>0</v>
      </c>
      <c r="AM38" s="184">
        <f t="shared" si="28"/>
        <v>0</v>
      </c>
      <c r="AN38" s="184">
        <f t="shared" si="28"/>
        <v>0</v>
      </c>
      <c r="AO38" s="184">
        <f t="shared" si="28"/>
        <v>0</v>
      </c>
      <c r="AP38" s="184">
        <f t="shared" si="28"/>
        <v>0</v>
      </c>
      <c r="AQ38" s="184">
        <f t="shared" si="28"/>
        <v>0</v>
      </c>
      <c r="AR38" s="185">
        <f t="shared" si="28"/>
        <v>0</v>
      </c>
    </row>
    <row r="39" spans="1:44" s="13" customFormat="1">
      <c r="B39" s="186"/>
      <c r="C39" s="13" t="s">
        <v>118</v>
      </c>
      <c r="E39" s="187">
        <f>E38*ServExt_Debt</f>
        <v>0.29038853975678158</v>
      </c>
      <c r="F39" s="188">
        <f t="shared" ref="F39:AR39" si="29">F38*ServExt_Debt</f>
        <v>0.51789766837472084</v>
      </c>
      <c r="G39" s="188">
        <f t="shared" si="29"/>
        <v>1.4115661680917309</v>
      </c>
      <c r="H39" s="188">
        <f t="shared" si="29"/>
        <v>3.4771280972577121</v>
      </c>
      <c r="I39" s="188">
        <f t="shared" si="29"/>
        <v>6.8693373874830179</v>
      </c>
      <c r="J39" s="188">
        <f t="shared" si="29"/>
        <v>9.3174685872792171</v>
      </c>
      <c r="K39" s="188">
        <f t="shared" si="29"/>
        <v>8.0289434398298436</v>
      </c>
      <c r="L39" s="188">
        <f t="shared" si="29"/>
        <v>4.7456309852721121</v>
      </c>
      <c r="M39" s="188">
        <f t="shared" si="29"/>
        <v>2.2449907345107456</v>
      </c>
      <c r="N39" s="188">
        <f t="shared" si="29"/>
        <v>1.5309588885228749</v>
      </c>
      <c r="O39" s="188">
        <f t="shared" si="29"/>
        <v>0</v>
      </c>
      <c r="P39" s="188">
        <f t="shared" si="29"/>
        <v>0</v>
      </c>
      <c r="Q39" s="188">
        <f t="shared" si="29"/>
        <v>0</v>
      </c>
      <c r="R39" s="188">
        <f t="shared" si="29"/>
        <v>0</v>
      </c>
      <c r="S39" s="188">
        <f t="shared" si="29"/>
        <v>0</v>
      </c>
      <c r="T39" s="188">
        <f t="shared" si="29"/>
        <v>0</v>
      </c>
      <c r="U39" s="188">
        <f t="shared" si="29"/>
        <v>0</v>
      </c>
      <c r="V39" s="188">
        <f t="shared" si="29"/>
        <v>0</v>
      </c>
      <c r="W39" s="188">
        <f t="shared" si="29"/>
        <v>0</v>
      </c>
      <c r="X39" s="188">
        <f t="shared" si="29"/>
        <v>0</v>
      </c>
      <c r="Y39" s="188">
        <f t="shared" si="29"/>
        <v>0</v>
      </c>
      <c r="Z39" s="188">
        <f t="shared" si="29"/>
        <v>0</v>
      </c>
      <c r="AA39" s="188">
        <f t="shared" si="29"/>
        <v>0</v>
      </c>
      <c r="AB39" s="188">
        <f t="shared" si="29"/>
        <v>0</v>
      </c>
      <c r="AC39" s="188">
        <f t="shared" si="29"/>
        <v>0</v>
      </c>
      <c r="AD39" s="188">
        <f t="shared" si="29"/>
        <v>0</v>
      </c>
      <c r="AE39" s="188">
        <f t="shared" si="29"/>
        <v>0</v>
      </c>
      <c r="AF39" s="188">
        <f t="shared" si="29"/>
        <v>0</v>
      </c>
      <c r="AG39" s="188">
        <f t="shared" si="29"/>
        <v>0</v>
      </c>
      <c r="AH39" s="188">
        <f t="shared" si="29"/>
        <v>0</v>
      </c>
      <c r="AI39" s="188">
        <f t="shared" si="29"/>
        <v>0</v>
      </c>
      <c r="AJ39" s="188">
        <f t="shared" si="29"/>
        <v>0</v>
      </c>
      <c r="AK39" s="188">
        <f t="shared" si="29"/>
        <v>0</v>
      </c>
      <c r="AL39" s="188">
        <f t="shared" si="29"/>
        <v>0</v>
      </c>
      <c r="AM39" s="188">
        <f t="shared" si="29"/>
        <v>0</v>
      </c>
      <c r="AN39" s="188">
        <f t="shared" si="29"/>
        <v>0</v>
      </c>
      <c r="AO39" s="188">
        <f t="shared" si="29"/>
        <v>0</v>
      </c>
      <c r="AP39" s="188">
        <f t="shared" si="29"/>
        <v>0</v>
      </c>
      <c r="AQ39" s="188">
        <f t="shared" si="29"/>
        <v>0</v>
      </c>
      <c r="AR39" s="189">
        <f t="shared" si="29"/>
        <v>0</v>
      </c>
    </row>
    <row r="40" spans="1:44" s="13" customFormat="1" outlineLevel="1">
      <c r="B40" s="40" t="str">
        <f>"Debt financing (" &amp; LOWER(ServExt_LoanIntDen) &amp; " currency)"</f>
        <v>Debt financing (foreign currency)</v>
      </c>
    </row>
    <row r="41" spans="1:44" s="13" customFormat="1" outlineLevel="1">
      <c r="C41" s="40" t="s">
        <v>119</v>
      </c>
      <c r="D41" s="190" t="s">
        <v>120</v>
      </c>
      <c r="O41" s="191"/>
      <c r="P41" s="191"/>
      <c r="Q41" s="191"/>
      <c r="R41" s="191"/>
      <c r="S41" s="191"/>
      <c r="T41" s="191"/>
      <c r="U41" s="191"/>
      <c r="V41" s="191"/>
      <c r="W41" s="191"/>
      <c r="X41" s="191"/>
      <c r="Y41" s="191"/>
      <c r="Z41" s="191"/>
      <c r="AA41" s="191"/>
      <c r="AB41" s="191"/>
      <c r="AC41" s="191"/>
      <c r="AD41" s="191"/>
      <c r="AE41" s="191"/>
      <c r="AF41" s="191"/>
      <c r="AG41" s="191"/>
      <c r="AH41" s="191"/>
      <c r="AI41" s="191"/>
      <c r="AJ41" s="191"/>
      <c r="AK41" s="191"/>
      <c r="AL41" s="191"/>
      <c r="AM41" s="191"/>
      <c r="AN41" s="191"/>
      <c r="AO41" s="191"/>
      <c r="AP41" s="191"/>
      <c r="AQ41" s="191"/>
      <c r="AR41" s="191"/>
    </row>
    <row r="42" spans="1:44" s="13" customFormat="1" outlineLevel="1">
      <c r="B42" s="192"/>
      <c r="C42" s="193" t="str">
        <f t="shared" ref="C42:C81" si="30">IF(INDEX(Year,1,5+ROW()-ROW($A$42))="","","Investment in Year "&amp;INDEX(Year,1,5+ROW()-ROW($A$42)))</f>
        <v>Investment in Year 1</v>
      </c>
      <c r="D42" s="194">
        <f t="shared" ref="D42:D81" si="31">INDEX($39:$39,1,5+ROW()-ROW($A$42))/IF(ServExt_LoanIntDen=lbl_Dom,1,INDEX(RealExRate_Det,1,5+ROW()-ROW($A$42)))</f>
        <v>2.76226123554446E-3</v>
      </c>
      <c r="E42" s="195">
        <f t="shared" ref="E42:N51" si="32">IF(OR($C42="",Year&gt;Contract_Length),,IF(Year&lt;INDEX(Year,1,5+ROW()-ROW($A$42)),,IF(Year&gt;INDEX(Year,1,5+ROW()-ROW($A$42))+Invest_Period-1,,$D42/Invest_Period)))</f>
        <v>1.38113061777223E-4</v>
      </c>
      <c r="F42" s="196">
        <f t="shared" si="32"/>
        <v>1.38113061777223E-4</v>
      </c>
      <c r="G42" s="196">
        <f t="shared" si="32"/>
        <v>1.38113061777223E-4</v>
      </c>
      <c r="H42" s="196">
        <f t="shared" si="32"/>
        <v>1.38113061777223E-4</v>
      </c>
      <c r="I42" s="196">
        <f t="shared" si="32"/>
        <v>1.38113061777223E-4</v>
      </c>
      <c r="J42" s="196">
        <f t="shared" si="32"/>
        <v>1.38113061777223E-4</v>
      </c>
      <c r="K42" s="196">
        <f t="shared" si="32"/>
        <v>1.38113061777223E-4</v>
      </c>
      <c r="L42" s="196">
        <f t="shared" si="32"/>
        <v>1.38113061777223E-4</v>
      </c>
      <c r="M42" s="196">
        <f t="shared" si="32"/>
        <v>1.38113061777223E-4</v>
      </c>
      <c r="N42" s="196">
        <f t="shared" si="32"/>
        <v>1.38113061777223E-4</v>
      </c>
      <c r="O42" s="196">
        <f t="shared" ref="O42:X51" si="33">IF(OR($C42="",Year&gt;Contract_Length),,IF(Year&lt;INDEX(Year,1,5+ROW()-ROW($A$42)),,IF(Year&gt;INDEX(Year,1,5+ROW()-ROW($A$42))+Invest_Period-1,,$D42/Invest_Period)))</f>
        <v>1.38113061777223E-4</v>
      </c>
      <c r="P42" s="196">
        <f t="shared" si="33"/>
        <v>1.38113061777223E-4</v>
      </c>
      <c r="Q42" s="196">
        <f t="shared" si="33"/>
        <v>1.38113061777223E-4</v>
      </c>
      <c r="R42" s="196">
        <f t="shared" si="33"/>
        <v>1.38113061777223E-4</v>
      </c>
      <c r="S42" s="196">
        <f t="shared" si="33"/>
        <v>1.38113061777223E-4</v>
      </c>
      <c r="T42" s="196">
        <f t="shared" si="33"/>
        <v>1.38113061777223E-4</v>
      </c>
      <c r="U42" s="196">
        <f t="shared" si="33"/>
        <v>1.38113061777223E-4</v>
      </c>
      <c r="V42" s="196">
        <f t="shared" si="33"/>
        <v>1.38113061777223E-4</v>
      </c>
      <c r="W42" s="196">
        <f t="shared" si="33"/>
        <v>1.38113061777223E-4</v>
      </c>
      <c r="X42" s="196">
        <f t="shared" si="33"/>
        <v>1.38113061777223E-4</v>
      </c>
      <c r="Y42" s="196">
        <f t="shared" ref="Y42:AH51" si="34">IF(OR($C42="",Year&gt;Contract_Length),,IF(Year&lt;INDEX(Year,1,5+ROW()-ROW($A$42)),,IF(Year&gt;INDEX(Year,1,5+ROW()-ROW($A$42))+Invest_Period-1,,$D42/Invest_Period)))</f>
        <v>0</v>
      </c>
      <c r="Z42" s="196">
        <f t="shared" si="34"/>
        <v>0</v>
      </c>
      <c r="AA42" s="196">
        <f t="shared" si="34"/>
        <v>0</v>
      </c>
      <c r="AB42" s="196">
        <f t="shared" si="34"/>
        <v>0</v>
      </c>
      <c r="AC42" s="196">
        <f t="shared" si="34"/>
        <v>0</v>
      </c>
      <c r="AD42" s="196">
        <f t="shared" si="34"/>
        <v>0</v>
      </c>
      <c r="AE42" s="196">
        <f t="shared" si="34"/>
        <v>0</v>
      </c>
      <c r="AF42" s="196">
        <f t="shared" si="34"/>
        <v>0</v>
      </c>
      <c r="AG42" s="196">
        <f t="shared" si="34"/>
        <v>0</v>
      </c>
      <c r="AH42" s="196">
        <f t="shared" si="34"/>
        <v>0</v>
      </c>
      <c r="AI42" s="196">
        <f t="shared" ref="AI42:AR51" si="35">IF(OR($C42="",Year&gt;Contract_Length),,IF(Year&lt;INDEX(Year,1,5+ROW()-ROW($A$42)),,IF(Year&gt;INDEX(Year,1,5+ROW()-ROW($A$42))+Invest_Period-1,,$D42/Invest_Period)))</f>
        <v>0</v>
      </c>
      <c r="AJ42" s="196">
        <f t="shared" si="35"/>
        <v>0</v>
      </c>
      <c r="AK42" s="196">
        <f t="shared" si="35"/>
        <v>0</v>
      </c>
      <c r="AL42" s="196">
        <f t="shared" si="35"/>
        <v>0</v>
      </c>
      <c r="AM42" s="196">
        <f t="shared" si="35"/>
        <v>0</v>
      </c>
      <c r="AN42" s="196">
        <f t="shared" si="35"/>
        <v>0</v>
      </c>
      <c r="AO42" s="196">
        <f t="shared" si="35"/>
        <v>0</v>
      </c>
      <c r="AP42" s="196">
        <f t="shared" si="35"/>
        <v>0</v>
      </c>
      <c r="AQ42" s="196">
        <f t="shared" si="35"/>
        <v>0</v>
      </c>
      <c r="AR42" s="197">
        <f t="shared" si="35"/>
        <v>0</v>
      </c>
    </row>
    <row r="43" spans="1:44" s="13" customFormat="1" outlineLevel="1">
      <c r="B43" s="192"/>
      <c r="C43" s="193" t="str">
        <f t="shared" si="30"/>
        <v>Investment in Year 2</v>
      </c>
      <c r="D43" s="198">
        <f t="shared" si="31"/>
        <v>4.68613189059026E-3</v>
      </c>
      <c r="E43" s="199">
        <f t="shared" si="32"/>
        <v>0</v>
      </c>
      <c r="F43" s="200">
        <f t="shared" si="32"/>
        <v>2.3430659452951301E-4</v>
      </c>
      <c r="G43" s="200">
        <f t="shared" si="32"/>
        <v>2.3430659452951301E-4</v>
      </c>
      <c r="H43" s="200">
        <f t="shared" si="32"/>
        <v>2.3430659452951301E-4</v>
      </c>
      <c r="I43" s="200">
        <f t="shared" si="32"/>
        <v>2.3430659452951301E-4</v>
      </c>
      <c r="J43" s="200">
        <f t="shared" si="32"/>
        <v>2.3430659452951301E-4</v>
      </c>
      <c r="K43" s="200">
        <f t="shared" si="32"/>
        <v>2.3430659452951301E-4</v>
      </c>
      <c r="L43" s="200">
        <f t="shared" si="32"/>
        <v>2.3430659452951301E-4</v>
      </c>
      <c r="M43" s="200">
        <f t="shared" si="32"/>
        <v>2.3430659452951301E-4</v>
      </c>
      <c r="N43" s="200">
        <f t="shared" si="32"/>
        <v>2.3430659452951301E-4</v>
      </c>
      <c r="O43" s="200">
        <f t="shared" si="33"/>
        <v>2.3430659452951301E-4</v>
      </c>
      <c r="P43" s="200">
        <f t="shared" si="33"/>
        <v>2.3430659452951301E-4</v>
      </c>
      <c r="Q43" s="200">
        <f t="shared" si="33"/>
        <v>2.3430659452951301E-4</v>
      </c>
      <c r="R43" s="200">
        <f t="shared" si="33"/>
        <v>2.3430659452951301E-4</v>
      </c>
      <c r="S43" s="200">
        <f t="shared" si="33"/>
        <v>2.3430659452951301E-4</v>
      </c>
      <c r="T43" s="200">
        <f t="shared" si="33"/>
        <v>2.3430659452951301E-4</v>
      </c>
      <c r="U43" s="200">
        <f t="shared" si="33"/>
        <v>2.3430659452951301E-4</v>
      </c>
      <c r="V43" s="200">
        <f t="shared" si="33"/>
        <v>2.3430659452951301E-4</v>
      </c>
      <c r="W43" s="200">
        <f t="shared" si="33"/>
        <v>2.3430659452951301E-4</v>
      </c>
      <c r="X43" s="200">
        <f t="shared" si="33"/>
        <v>2.3430659452951301E-4</v>
      </c>
      <c r="Y43" s="200">
        <f t="shared" si="34"/>
        <v>0</v>
      </c>
      <c r="Z43" s="200">
        <f t="shared" si="34"/>
        <v>0</v>
      </c>
      <c r="AA43" s="200">
        <f t="shared" si="34"/>
        <v>0</v>
      </c>
      <c r="AB43" s="200">
        <f t="shared" si="34"/>
        <v>0</v>
      </c>
      <c r="AC43" s="200">
        <f t="shared" si="34"/>
        <v>0</v>
      </c>
      <c r="AD43" s="200">
        <f t="shared" si="34"/>
        <v>0</v>
      </c>
      <c r="AE43" s="200">
        <f t="shared" si="34"/>
        <v>0</v>
      </c>
      <c r="AF43" s="200">
        <f t="shared" si="34"/>
        <v>0</v>
      </c>
      <c r="AG43" s="200">
        <f t="shared" si="34"/>
        <v>0</v>
      </c>
      <c r="AH43" s="200">
        <f t="shared" si="34"/>
        <v>0</v>
      </c>
      <c r="AI43" s="200">
        <f t="shared" si="35"/>
        <v>0</v>
      </c>
      <c r="AJ43" s="200">
        <f t="shared" si="35"/>
        <v>0</v>
      </c>
      <c r="AK43" s="200">
        <f t="shared" si="35"/>
        <v>0</v>
      </c>
      <c r="AL43" s="200">
        <f t="shared" si="35"/>
        <v>0</v>
      </c>
      <c r="AM43" s="200">
        <f t="shared" si="35"/>
        <v>0</v>
      </c>
      <c r="AN43" s="200">
        <f t="shared" si="35"/>
        <v>0</v>
      </c>
      <c r="AO43" s="200">
        <f t="shared" si="35"/>
        <v>0</v>
      </c>
      <c r="AP43" s="200">
        <f t="shared" si="35"/>
        <v>0</v>
      </c>
      <c r="AQ43" s="200">
        <f t="shared" si="35"/>
        <v>0</v>
      </c>
      <c r="AR43" s="201">
        <f t="shared" si="35"/>
        <v>0</v>
      </c>
    </row>
    <row r="44" spans="1:44" s="13" customFormat="1" outlineLevel="1">
      <c r="B44" s="192"/>
      <c r="C44" s="193" t="str">
        <f t="shared" si="30"/>
        <v>Investment in Year 3</v>
      </c>
      <c r="D44" s="198">
        <f t="shared" si="31"/>
        <v>1.2149462601283063E-2</v>
      </c>
      <c r="E44" s="199">
        <f t="shared" si="32"/>
        <v>0</v>
      </c>
      <c r="F44" s="200">
        <f t="shared" si="32"/>
        <v>0</v>
      </c>
      <c r="G44" s="200">
        <f t="shared" si="32"/>
        <v>6.0747313006415311E-4</v>
      </c>
      <c r="H44" s="200">
        <f t="shared" si="32"/>
        <v>6.0747313006415311E-4</v>
      </c>
      <c r="I44" s="200">
        <f t="shared" si="32"/>
        <v>6.0747313006415311E-4</v>
      </c>
      <c r="J44" s="200">
        <f t="shared" si="32"/>
        <v>6.0747313006415311E-4</v>
      </c>
      <c r="K44" s="200">
        <f t="shared" si="32"/>
        <v>6.0747313006415311E-4</v>
      </c>
      <c r="L44" s="200">
        <f t="shared" si="32"/>
        <v>6.0747313006415311E-4</v>
      </c>
      <c r="M44" s="200">
        <f t="shared" si="32"/>
        <v>6.0747313006415311E-4</v>
      </c>
      <c r="N44" s="200">
        <f t="shared" si="32"/>
        <v>6.0747313006415311E-4</v>
      </c>
      <c r="O44" s="200">
        <f t="shared" si="33"/>
        <v>6.0747313006415311E-4</v>
      </c>
      <c r="P44" s="200">
        <f t="shared" si="33"/>
        <v>6.0747313006415311E-4</v>
      </c>
      <c r="Q44" s="200">
        <f t="shared" si="33"/>
        <v>6.0747313006415311E-4</v>
      </c>
      <c r="R44" s="200">
        <f t="shared" si="33"/>
        <v>6.0747313006415311E-4</v>
      </c>
      <c r="S44" s="200">
        <f t="shared" si="33"/>
        <v>6.0747313006415311E-4</v>
      </c>
      <c r="T44" s="200">
        <f t="shared" si="33"/>
        <v>6.0747313006415311E-4</v>
      </c>
      <c r="U44" s="200">
        <f t="shared" si="33"/>
        <v>6.0747313006415311E-4</v>
      </c>
      <c r="V44" s="200">
        <f t="shared" si="33"/>
        <v>6.0747313006415311E-4</v>
      </c>
      <c r="W44" s="200">
        <f t="shared" si="33"/>
        <v>6.0747313006415311E-4</v>
      </c>
      <c r="X44" s="200">
        <f t="shared" si="33"/>
        <v>6.0747313006415311E-4</v>
      </c>
      <c r="Y44" s="200">
        <f t="shared" si="34"/>
        <v>0</v>
      </c>
      <c r="Z44" s="200">
        <f t="shared" si="34"/>
        <v>0</v>
      </c>
      <c r="AA44" s="200">
        <f t="shared" si="34"/>
        <v>0</v>
      </c>
      <c r="AB44" s="200">
        <f t="shared" si="34"/>
        <v>0</v>
      </c>
      <c r="AC44" s="200">
        <f t="shared" si="34"/>
        <v>0</v>
      </c>
      <c r="AD44" s="200">
        <f t="shared" si="34"/>
        <v>0</v>
      </c>
      <c r="AE44" s="200">
        <f t="shared" si="34"/>
        <v>0</v>
      </c>
      <c r="AF44" s="200">
        <f t="shared" si="34"/>
        <v>0</v>
      </c>
      <c r="AG44" s="200">
        <f t="shared" si="34"/>
        <v>0</v>
      </c>
      <c r="AH44" s="200">
        <f t="shared" si="34"/>
        <v>0</v>
      </c>
      <c r="AI44" s="200">
        <f t="shared" si="35"/>
        <v>0</v>
      </c>
      <c r="AJ44" s="200">
        <f t="shared" si="35"/>
        <v>0</v>
      </c>
      <c r="AK44" s="200">
        <f t="shared" si="35"/>
        <v>0</v>
      </c>
      <c r="AL44" s="200">
        <f t="shared" si="35"/>
        <v>0</v>
      </c>
      <c r="AM44" s="200">
        <f t="shared" si="35"/>
        <v>0</v>
      </c>
      <c r="AN44" s="200">
        <f t="shared" si="35"/>
        <v>0</v>
      </c>
      <c r="AO44" s="200">
        <f t="shared" si="35"/>
        <v>0</v>
      </c>
      <c r="AP44" s="200">
        <f t="shared" si="35"/>
        <v>0</v>
      </c>
      <c r="AQ44" s="200">
        <f t="shared" si="35"/>
        <v>0</v>
      </c>
      <c r="AR44" s="201">
        <f t="shared" si="35"/>
        <v>0</v>
      </c>
    </row>
    <row r="45" spans="1:44" s="13" customFormat="1" outlineLevel="1">
      <c r="B45" s="192"/>
      <c r="C45" s="193" t="str">
        <f t="shared" si="30"/>
        <v>Investment in Year 4</v>
      </c>
      <c r="D45" s="198">
        <f t="shared" si="31"/>
        <v>2.846831705616416E-2</v>
      </c>
      <c r="E45" s="199">
        <f t="shared" si="32"/>
        <v>0</v>
      </c>
      <c r="F45" s="200">
        <f t="shared" si="32"/>
        <v>0</v>
      </c>
      <c r="G45" s="200">
        <f t="shared" si="32"/>
        <v>0</v>
      </c>
      <c r="H45" s="200">
        <f t="shared" si="32"/>
        <v>1.4234158528082081E-3</v>
      </c>
      <c r="I45" s="200">
        <f t="shared" si="32"/>
        <v>1.4234158528082081E-3</v>
      </c>
      <c r="J45" s="200">
        <f t="shared" si="32"/>
        <v>1.4234158528082081E-3</v>
      </c>
      <c r="K45" s="200">
        <f t="shared" si="32"/>
        <v>1.4234158528082081E-3</v>
      </c>
      <c r="L45" s="200">
        <f t="shared" si="32"/>
        <v>1.4234158528082081E-3</v>
      </c>
      <c r="M45" s="200">
        <f t="shared" si="32"/>
        <v>1.4234158528082081E-3</v>
      </c>
      <c r="N45" s="200">
        <f t="shared" si="32"/>
        <v>1.4234158528082081E-3</v>
      </c>
      <c r="O45" s="200">
        <f t="shared" si="33"/>
        <v>1.4234158528082081E-3</v>
      </c>
      <c r="P45" s="200">
        <f t="shared" si="33"/>
        <v>1.4234158528082081E-3</v>
      </c>
      <c r="Q45" s="200">
        <f t="shared" si="33"/>
        <v>1.4234158528082081E-3</v>
      </c>
      <c r="R45" s="200">
        <f t="shared" si="33"/>
        <v>1.4234158528082081E-3</v>
      </c>
      <c r="S45" s="200">
        <f t="shared" si="33"/>
        <v>1.4234158528082081E-3</v>
      </c>
      <c r="T45" s="200">
        <f t="shared" si="33"/>
        <v>1.4234158528082081E-3</v>
      </c>
      <c r="U45" s="200">
        <f t="shared" si="33"/>
        <v>1.4234158528082081E-3</v>
      </c>
      <c r="V45" s="200">
        <f t="shared" si="33"/>
        <v>1.4234158528082081E-3</v>
      </c>
      <c r="W45" s="200">
        <f t="shared" si="33"/>
        <v>1.4234158528082081E-3</v>
      </c>
      <c r="X45" s="200">
        <f t="shared" si="33"/>
        <v>1.4234158528082081E-3</v>
      </c>
      <c r="Y45" s="200">
        <f t="shared" si="34"/>
        <v>0</v>
      </c>
      <c r="Z45" s="200">
        <f t="shared" si="34"/>
        <v>0</v>
      </c>
      <c r="AA45" s="200">
        <f t="shared" si="34"/>
        <v>0</v>
      </c>
      <c r="AB45" s="200">
        <f t="shared" si="34"/>
        <v>0</v>
      </c>
      <c r="AC45" s="200">
        <f t="shared" si="34"/>
        <v>0</v>
      </c>
      <c r="AD45" s="200">
        <f t="shared" si="34"/>
        <v>0</v>
      </c>
      <c r="AE45" s="200">
        <f t="shared" si="34"/>
        <v>0</v>
      </c>
      <c r="AF45" s="200">
        <f t="shared" si="34"/>
        <v>0</v>
      </c>
      <c r="AG45" s="200">
        <f t="shared" si="34"/>
        <v>0</v>
      </c>
      <c r="AH45" s="200">
        <f t="shared" si="34"/>
        <v>0</v>
      </c>
      <c r="AI45" s="200">
        <f t="shared" si="35"/>
        <v>0</v>
      </c>
      <c r="AJ45" s="200">
        <f t="shared" si="35"/>
        <v>0</v>
      </c>
      <c r="AK45" s="200">
        <f t="shared" si="35"/>
        <v>0</v>
      </c>
      <c r="AL45" s="200">
        <f t="shared" si="35"/>
        <v>0</v>
      </c>
      <c r="AM45" s="200">
        <f t="shared" si="35"/>
        <v>0</v>
      </c>
      <c r="AN45" s="200">
        <f t="shared" si="35"/>
        <v>0</v>
      </c>
      <c r="AO45" s="200">
        <f t="shared" si="35"/>
        <v>0</v>
      </c>
      <c r="AP45" s="200">
        <f t="shared" si="35"/>
        <v>0</v>
      </c>
      <c r="AQ45" s="200">
        <f t="shared" si="35"/>
        <v>0</v>
      </c>
      <c r="AR45" s="201">
        <f t="shared" si="35"/>
        <v>0</v>
      </c>
    </row>
    <row r="46" spans="1:44" s="13" customFormat="1" outlineLevel="1">
      <c r="B46" s="192"/>
      <c r="C46" s="193" t="str">
        <f t="shared" si="30"/>
        <v>Investment in Year 5</v>
      </c>
      <c r="D46" s="198">
        <f t="shared" si="31"/>
        <v>5.3498453365534507E-2</v>
      </c>
      <c r="E46" s="199">
        <f t="shared" si="32"/>
        <v>0</v>
      </c>
      <c r="F46" s="200">
        <f t="shared" si="32"/>
        <v>0</v>
      </c>
      <c r="G46" s="200">
        <f t="shared" si="32"/>
        <v>0</v>
      </c>
      <c r="H46" s="200">
        <f t="shared" si="32"/>
        <v>0</v>
      </c>
      <c r="I46" s="200">
        <f t="shared" si="32"/>
        <v>2.6749226682767253E-3</v>
      </c>
      <c r="J46" s="200">
        <f t="shared" si="32"/>
        <v>2.6749226682767253E-3</v>
      </c>
      <c r="K46" s="200">
        <f t="shared" si="32"/>
        <v>2.6749226682767253E-3</v>
      </c>
      <c r="L46" s="200">
        <f t="shared" si="32"/>
        <v>2.6749226682767253E-3</v>
      </c>
      <c r="M46" s="200">
        <f t="shared" si="32"/>
        <v>2.6749226682767253E-3</v>
      </c>
      <c r="N46" s="200">
        <f t="shared" si="32"/>
        <v>2.6749226682767253E-3</v>
      </c>
      <c r="O46" s="200">
        <f t="shared" si="33"/>
        <v>2.6749226682767253E-3</v>
      </c>
      <c r="P46" s="200">
        <f t="shared" si="33"/>
        <v>2.6749226682767253E-3</v>
      </c>
      <c r="Q46" s="200">
        <f t="shared" si="33"/>
        <v>2.6749226682767253E-3</v>
      </c>
      <c r="R46" s="200">
        <f t="shared" si="33"/>
        <v>2.6749226682767253E-3</v>
      </c>
      <c r="S46" s="200">
        <f t="shared" si="33"/>
        <v>2.6749226682767253E-3</v>
      </c>
      <c r="T46" s="200">
        <f t="shared" si="33"/>
        <v>2.6749226682767253E-3</v>
      </c>
      <c r="U46" s="200">
        <f t="shared" si="33"/>
        <v>2.6749226682767253E-3</v>
      </c>
      <c r="V46" s="200">
        <f t="shared" si="33"/>
        <v>2.6749226682767253E-3</v>
      </c>
      <c r="W46" s="200">
        <f t="shared" si="33"/>
        <v>2.6749226682767253E-3</v>
      </c>
      <c r="X46" s="200">
        <f t="shared" si="33"/>
        <v>2.6749226682767253E-3</v>
      </c>
      <c r="Y46" s="200">
        <f t="shared" si="34"/>
        <v>0</v>
      </c>
      <c r="Z46" s="200">
        <f t="shared" si="34"/>
        <v>0</v>
      </c>
      <c r="AA46" s="200">
        <f t="shared" si="34"/>
        <v>0</v>
      </c>
      <c r="AB46" s="200">
        <f t="shared" si="34"/>
        <v>0</v>
      </c>
      <c r="AC46" s="200">
        <f t="shared" si="34"/>
        <v>0</v>
      </c>
      <c r="AD46" s="200">
        <f t="shared" si="34"/>
        <v>0</v>
      </c>
      <c r="AE46" s="200">
        <f t="shared" si="34"/>
        <v>0</v>
      </c>
      <c r="AF46" s="200">
        <f t="shared" si="34"/>
        <v>0</v>
      </c>
      <c r="AG46" s="200">
        <f t="shared" si="34"/>
        <v>0</v>
      </c>
      <c r="AH46" s="200">
        <f t="shared" si="34"/>
        <v>0</v>
      </c>
      <c r="AI46" s="200">
        <f t="shared" si="35"/>
        <v>0</v>
      </c>
      <c r="AJ46" s="200">
        <f t="shared" si="35"/>
        <v>0</v>
      </c>
      <c r="AK46" s="200">
        <f t="shared" si="35"/>
        <v>0</v>
      </c>
      <c r="AL46" s="200">
        <f t="shared" si="35"/>
        <v>0</v>
      </c>
      <c r="AM46" s="200">
        <f t="shared" si="35"/>
        <v>0</v>
      </c>
      <c r="AN46" s="200">
        <f t="shared" si="35"/>
        <v>0</v>
      </c>
      <c r="AO46" s="200">
        <f t="shared" si="35"/>
        <v>0</v>
      </c>
      <c r="AP46" s="200">
        <f t="shared" si="35"/>
        <v>0</v>
      </c>
      <c r="AQ46" s="200">
        <f t="shared" si="35"/>
        <v>0</v>
      </c>
      <c r="AR46" s="201">
        <f t="shared" si="35"/>
        <v>0</v>
      </c>
    </row>
    <row r="47" spans="1:44" s="13" customFormat="1" outlineLevel="1">
      <c r="B47" s="192"/>
      <c r="C47" s="193" t="str">
        <f t="shared" si="30"/>
        <v>Investment in Year 6</v>
      </c>
      <c r="D47" s="198">
        <f t="shared" si="31"/>
        <v>6.9025505000859855E-2</v>
      </c>
      <c r="E47" s="199">
        <f t="shared" si="32"/>
        <v>0</v>
      </c>
      <c r="F47" s="200">
        <f t="shared" si="32"/>
        <v>0</v>
      </c>
      <c r="G47" s="200">
        <f t="shared" si="32"/>
        <v>0</v>
      </c>
      <c r="H47" s="200">
        <f t="shared" si="32"/>
        <v>0</v>
      </c>
      <c r="I47" s="200">
        <f t="shared" si="32"/>
        <v>0</v>
      </c>
      <c r="J47" s="200">
        <f t="shared" si="32"/>
        <v>3.4512752500429926E-3</v>
      </c>
      <c r="K47" s="200">
        <f t="shared" si="32"/>
        <v>3.4512752500429926E-3</v>
      </c>
      <c r="L47" s="200">
        <f t="shared" si="32"/>
        <v>3.4512752500429926E-3</v>
      </c>
      <c r="M47" s="200">
        <f t="shared" si="32"/>
        <v>3.4512752500429926E-3</v>
      </c>
      <c r="N47" s="200">
        <f t="shared" si="32"/>
        <v>3.4512752500429926E-3</v>
      </c>
      <c r="O47" s="200">
        <f t="shared" si="33"/>
        <v>3.4512752500429926E-3</v>
      </c>
      <c r="P47" s="200">
        <f t="shared" si="33"/>
        <v>3.4512752500429926E-3</v>
      </c>
      <c r="Q47" s="200">
        <f t="shared" si="33"/>
        <v>3.4512752500429926E-3</v>
      </c>
      <c r="R47" s="200">
        <f t="shared" si="33"/>
        <v>3.4512752500429926E-3</v>
      </c>
      <c r="S47" s="200">
        <f t="shared" si="33"/>
        <v>3.4512752500429926E-3</v>
      </c>
      <c r="T47" s="200">
        <f t="shared" si="33"/>
        <v>3.4512752500429926E-3</v>
      </c>
      <c r="U47" s="200">
        <f t="shared" si="33"/>
        <v>3.4512752500429926E-3</v>
      </c>
      <c r="V47" s="200">
        <f t="shared" si="33"/>
        <v>3.4512752500429926E-3</v>
      </c>
      <c r="W47" s="200">
        <f t="shared" si="33"/>
        <v>3.4512752500429926E-3</v>
      </c>
      <c r="X47" s="200">
        <f t="shared" si="33"/>
        <v>3.4512752500429926E-3</v>
      </c>
      <c r="Y47" s="200">
        <f t="shared" si="34"/>
        <v>0</v>
      </c>
      <c r="Z47" s="200">
        <f t="shared" si="34"/>
        <v>0</v>
      </c>
      <c r="AA47" s="200">
        <f t="shared" si="34"/>
        <v>0</v>
      </c>
      <c r="AB47" s="200">
        <f t="shared" si="34"/>
        <v>0</v>
      </c>
      <c r="AC47" s="200">
        <f t="shared" si="34"/>
        <v>0</v>
      </c>
      <c r="AD47" s="200">
        <f t="shared" si="34"/>
        <v>0</v>
      </c>
      <c r="AE47" s="200">
        <f t="shared" si="34"/>
        <v>0</v>
      </c>
      <c r="AF47" s="200">
        <f t="shared" si="34"/>
        <v>0</v>
      </c>
      <c r="AG47" s="200">
        <f t="shared" si="34"/>
        <v>0</v>
      </c>
      <c r="AH47" s="200">
        <f t="shared" si="34"/>
        <v>0</v>
      </c>
      <c r="AI47" s="200">
        <f t="shared" si="35"/>
        <v>0</v>
      </c>
      <c r="AJ47" s="200">
        <f t="shared" si="35"/>
        <v>0</v>
      </c>
      <c r="AK47" s="200">
        <f t="shared" si="35"/>
        <v>0</v>
      </c>
      <c r="AL47" s="200">
        <f t="shared" si="35"/>
        <v>0</v>
      </c>
      <c r="AM47" s="200">
        <f t="shared" si="35"/>
        <v>0</v>
      </c>
      <c r="AN47" s="200">
        <f t="shared" si="35"/>
        <v>0</v>
      </c>
      <c r="AO47" s="200">
        <f t="shared" si="35"/>
        <v>0</v>
      </c>
      <c r="AP47" s="200">
        <f t="shared" si="35"/>
        <v>0</v>
      </c>
      <c r="AQ47" s="200">
        <f t="shared" si="35"/>
        <v>0</v>
      </c>
      <c r="AR47" s="201">
        <f t="shared" si="35"/>
        <v>0</v>
      </c>
    </row>
    <row r="48" spans="1:44" s="13" customFormat="1" outlineLevel="1">
      <c r="B48" s="192"/>
      <c r="C48" s="193" t="str">
        <f t="shared" si="30"/>
        <v>Investment in Year 7</v>
      </c>
      <c r="D48" s="198">
        <f t="shared" si="31"/>
        <v>5.6579008150732857E-2</v>
      </c>
      <c r="E48" s="199">
        <f t="shared" si="32"/>
        <v>0</v>
      </c>
      <c r="F48" s="200">
        <f t="shared" si="32"/>
        <v>0</v>
      </c>
      <c r="G48" s="200">
        <f t="shared" si="32"/>
        <v>0</v>
      </c>
      <c r="H48" s="200">
        <f t="shared" si="32"/>
        <v>0</v>
      </c>
      <c r="I48" s="200">
        <f t="shared" si="32"/>
        <v>0</v>
      </c>
      <c r="J48" s="200">
        <f t="shared" si="32"/>
        <v>0</v>
      </c>
      <c r="K48" s="200">
        <f t="shared" si="32"/>
        <v>2.8289504075366427E-3</v>
      </c>
      <c r="L48" s="200">
        <f t="shared" si="32"/>
        <v>2.8289504075366427E-3</v>
      </c>
      <c r="M48" s="200">
        <f t="shared" si="32"/>
        <v>2.8289504075366427E-3</v>
      </c>
      <c r="N48" s="200">
        <f t="shared" si="32"/>
        <v>2.8289504075366427E-3</v>
      </c>
      <c r="O48" s="200">
        <f t="shared" si="33"/>
        <v>2.8289504075366427E-3</v>
      </c>
      <c r="P48" s="200">
        <f t="shared" si="33"/>
        <v>2.8289504075366427E-3</v>
      </c>
      <c r="Q48" s="200">
        <f t="shared" si="33"/>
        <v>2.8289504075366427E-3</v>
      </c>
      <c r="R48" s="200">
        <f t="shared" si="33"/>
        <v>2.8289504075366427E-3</v>
      </c>
      <c r="S48" s="200">
        <f t="shared" si="33"/>
        <v>2.8289504075366427E-3</v>
      </c>
      <c r="T48" s="200">
        <f t="shared" si="33"/>
        <v>2.8289504075366427E-3</v>
      </c>
      <c r="U48" s="200">
        <f t="shared" si="33"/>
        <v>2.8289504075366427E-3</v>
      </c>
      <c r="V48" s="200">
        <f t="shared" si="33"/>
        <v>2.8289504075366427E-3</v>
      </c>
      <c r="W48" s="200">
        <f t="shared" si="33"/>
        <v>2.8289504075366427E-3</v>
      </c>
      <c r="X48" s="200">
        <f t="shared" si="33"/>
        <v>2.8289504075366427E-3</v>
      </c>
      <c r="Y48" s="200">
        <f t="shared" si="34"/>
        <v>0</v>
      </c>
      <c r="Z48" s="200">
        <f t="shared" si="34"/>
        <v>0</v>
      </c>
      <c r="AA48" s="200">
        <f t="shared" si="34"/>
        <v>0</v>
      </c>
      <c r="AB48" s="200">
        <f t="shared" si="34"/>
        <v>0</v>
      </c>
      <c r="AC48" s="200">
        <f t="shared" si="34"/>
        <v>0</v>
      </c>
      <c r="AD48" s="200">
        <f t="shared" si="34"/>
        <v>0</v>
      </c>
      <c r="AE48" s="200">
        <f t="shared" si="34"/>
        <v>0</v>
      </c>
      <c r="AF48" s="200">
        <f t="shared" si="34"/>
        <v>0</v>
      </c>
      <c r="AG48" s="200">
        <f t="shared" si="34"/>
        <v>0</v>
      </c>
      <c r="AH48" s="200">
        <f t="shared" si="34"/>
        <v>0</v>
      </c>
      <c r="AI48" s="200">
        <f t="shared" si="35"/>
        <v>0</v>
      </c>
      <c r="AJ48" s="200">
        <f t="shared" si="35"/>
        <v>0</v>
      </c>
      <c r="AK48" s="200">
        <f t="shared" si="35"/>
        <v>0</v>
      </c>
      <c r="AL48" s="200">
        <f t="shared" si="35"/>
        <v>0</v>
      </c>
      <c r="AM48" s="200">
        <f t="shared" si="35"/>
        <v>0</v>
      </c>
      <c r="AN48" s="200">
        <f t="shared" si="35"/>
        <v>0</v>
      </c>
      <c r="AO48" s="200">
        <f t="shared" si="35"/>
        <v>0</v>
      </c>
      <c r="AP48" s="200">
        <f t="shared" si="35"/>
        <v>0</v>
      </c>
      <c r="AQ48" s="200">
        <f t="shared" si="35"/>
        <v>0</v>
      </c>
      <c r="AR48" s="201">
        <f t="shared" si="35"/>
        <v>0</v>
      </c>
    </row>
    <row r="49" spans="2:44" s="13" customFormat="1" outlineLevel="1">
      <c r="B49" s="192"/>
      <c r="C49" s="193" t="str">
        <f t="shared" si="30"/>
        <v>Investment in Year 8</v>
      </c>
      <c r="D49" s="198">
        <f t="shared" si="31"/>
        <v>3.1810915805157568E-2</v>
      </c>
      <c r="E49" s="199">
        <f t="shared" si="32"/>
        <v>0</v>
      </c>
      <c r="F49" s="200">
        <f t="shared" si="32"/>
        <v>0</v>
      </c>
      <c r="G49" s="200">
        <f t="shared" si="32"/>
        <v>0</v>
      </c>
      <c r="H49" s="200">
        <f t="shared" si="32"/>
        <v>0</v>
      </c>
      <c r="I49" s="200">
        <f t="shared" si="32"/>
        <v>0</v>
      </c>
      <c r="J49" s="200">
        <f t="shared" si="32"/>
        <v>0</v>
      </c>
      <c r="K49" s="200">
        <f t="shared" si="32"/>
        <v>0</v>
      </c>
      <c r="L49" s="200">
        <f t="shared" si="32"/>
        <v>1.5905457902578783E-3</v>
      </c>
      <c r="M49" s="200">
        <f t="shared" si="32"/>
        <v>1.5905457902578783E-3</v>
      </c>
      <c r="N49" s="200">
        <f t="shared" si="32"/>
        <v>1.5905457902578783E-3</v>
      </c>
      <c r="O49" s="200">
        <f t="shared" si="33"/>
        <v>1.5905457902578783E-3</v>
      </c>
      <c r="P49" s="200">
        <f t="shared" si="33"/>
        <v>1.5905457902578783E-3</v>
      </c>
      <c r="Q49" s="200">
        <f t="shared" si="33"/>
        <v>1.5905457902578783E-3</v>
      </c>
      <c r="R49" s="200">
        <f t="shared" si="33"/>
        <v>1.5905457902578783E-3</v>
      </c>
      <c r="S49" s="200">
        <f t="shared" si="33"/>
        <v>1.5905457902578783E-3</v>
      </c>
      <c r="T49" s="200">
        <f t="shared" si="33"/>
        <v>1.5905457902578783E-3</v>
      </c>
      <c r="U49" s="200">
        <f t="shared" si="33"/>
        <v>1.5905457902578783E-3</v>
      </c>
      <c r="V49" s="200">
        <f t="shared" si="33"/>
        <v>1.5905457902578783E-3</v>
      </c>
      <c r="W49" s="200">
        <f t="shared" si="33"/>
        <v>1.5905457902578783E-3</v>
      </c>
      <c r="X49" s="200">
        <f t="shared" si="33"/>
        <v>1.5905457902578783E-3</v>
      </c>
      <c r="Y49" s="200">
        <f t="shared" si="34"/>
        <v>0</v>
      </c>
      <c r="Z49" s="200">
        <f t="shared" si="34"/>
        <v>0</v>
      </c>
      <c r="AA49" s="200">
        <f t="shared" si="34"/>
        <v>0</v>
      </c>
      <c r="AB49" s="200">
        <f t="shared" si="34"/>
        <v>0</v>
      </c>
      <c r="AC49" s="200">
        <f t="shared" si="34"/>
        <v>0</v>
      </c>
      <c r="AD49" s="200">
        <f t="shared" si="34"/>
        <v>0</v>
      </c>
      <c r="AE49" s="200">
        <f t="shared" si="34"/>
        <v>0</v>
      </c>
      <c r="AF49" s="200">
        <f t="shared" si="34"/>
        <v>0</v>
      </c>
      <c r="AG49" s="200">
        <f t="shared" si="34"/>
        <v>0</v>
      </c>
      <c r="AH49" s="200">
        <f t="shared" si="34"/>
        <v>0</v>
      </c>
      <c r="AI49" s="200">
        <f t="shared" si="35"/>
        <v>0</v>
      </c>
      <c r="AJ49" s="200">
        <f t="shared" si="35"/>
        <v>0</v>
      </c>
      <c r="AK49" s="200">
        <f t="shared" si="35"/>
        <v>0</v>
      </c>
      <c r="AL49" s="200">
        <f t="shared" si="35"/>
        <v>0</v>
      </c>
      <c r="AM49" s="200">
        <f t="shared" si="35"/>
        <v>0</v>
      </c>
      <c r="AN49" s="200">
        <f t="shared" si="35"/>
        <v>0</v>
      </c>
      <c r="AO49" s="200">
        <f t="shared" si="35"/>
        <v>0</v>
      </c>
      <c r="AP49" s="200">
        <f t="shared" si="35"/>
        <v>0</v>
      </c>
      <c r="AQ49" s="200">
        <f t="shared" si="35"/>
        <v>0</v>
      </c>
      <c r="AR49" s="201">
        <f t="shared" si="35"/>
        <v>0</v>
      </c>
    </row>
    <row r="50" spans="2:44" s="13" customFormat="1" outlineLevel="1">
      <c r="B50" s="192"/>
      <c r="C50" s="193" t="str">
        <f t="shared" si="30"/>
        <v>Investment in Year 9</v>
      </c>
      <c r="D50" s="198">
        <f t="shared" si="31"/>
        <v>1.4314692924540929E-2</v>
      </c>
      <c r="E50" s="199">
        <f t="shared" si="32"/>
        <v>0</v>
      </c>
      <c r="F50" s="200">
        <f t="shared" si="32"/>
        <v>0</v>
      </c>
      <c r="G50" s="200">
        <f t="shared" si="32"/>
        <v>0</v>
      </c>
      <c r="H50" s="200">
        <f t="shared" si="32"/>
        <v>0</v>
      </c>
      <c r="I50" s="200">
        <f t="shared" si="32"/>
        <v>0</v>
      </c>
      <c r="J50" s="200">
        <f t="shared" si="32"/>
        <v>0</v>
      </c>
      <c r="K50" s="200">
        <f t="shared" si="32"/>
        <v>0</v>
      </c>
      <c r="L50" s="200">
        <f t="shared" si="32"/>
        <v>0</v>
      </c>
      <c r="M50" s="200">
        <f t="shared" si="32"/>
        <v>7.1573464622704647E-4</v>
      </c>
      <c r="N50" s="200">
        <f t="shared" si="32"/>
        <v>7.1573464622704647E-4</v>
      </c>
      <c r="O50" s="200">
        <f t="shared" si="33"/>
        <v>7.1573464622704647E-4</v>
      </c>
      <c r="P50" s="200">
        <f t="shared" si="33"/>
        <v>7.1573464622704647E-4</v>
      </c>
      <c r="Q50" s="200">
        <f t="shared" si="33"/>
        <v>7.1573464622704647E-4</v>
      </c>
      <c r="R50" s="200">
        <f t="shared" si="33"/>
        <v>7.1573464622704647E-4</v>
      </c>
      <c r="S50" s="200">
        <f t="shared" si="33"/>
        <v>7.1573464622704647E-4</v>
      </c>
      <c r="T50" s="200">
        <f t="shared" si="33"/>
        <v>7.1573464622704647E-4</v>
      </c>
      <c r="U50" s="200">
        <f t="shared" si="33"/>
        <v>7.1573464622704647E-4</v>
      </c>
      <c r="V50" s="200">
        <f t="shared" si="33"/>
        <v>7.1573464622704647E-4</v>
      </c>
      <c r="W50" s="200">
        <f t="shared" si="33"/>
        <v>7.1573464622704647E-4</v>
      </c>
      <c r="X50" s="200">
        <f t="shared" si="33"/>
        <v>7.1573464622704647E-4</v>
      </c>
      <c r="Y50" s="200">
        <f t="shared" si="34"/>
        <v>0</v>
      </c>
      <c r="Z50" s="200">
        <f t="shared" si="34"/>
        <v>0</v>
      </c>
      <c r="AA50" s="200">
        <f t="shared" si="34"/>
        <v>0</v>
      </c>
      <c r="AB50" s="200">
        <f t="shared" si="34"/>
        <v>0</v>
      </c>
      <c r="AC50" s="200">
        <f t="shared" si="34"/>
        <v>0</v>
      </c>
      <c r="AD50" s="200">
        <f t="shared" si="34"/>
        <v>0</v>
      </c>
      <c r="AE50" s="200">
        <f t="shared" si="34"/>
        <v>0</v>
      </c>
      <c r="AF50" s="200">
        <f t="shared" si="34"/>
        <v>0</v>
      </c>
      <c r="AG50" s="200">
        <f t="shared" si="34"/>
        <v>0</v>
      </c>
      <c r="AH50" s="200">
        <f t="shared" si="34"/>
        <v>0</v>
      </c>
      <c r="AI50" s="200">
        <f t="shared" si="35"/>
        <v>0</v>
      </c>
      <c r="AJ50" s="200">
        <f t="shared" si="35"/>
        <v>0</v>
      </c>
      <c r="AK50" s="200">
        <f t="shared" si="35"/>
        <v>0</v>
      </c>
      <c r="AL50" s="200">
        <f t="shared" si="35"/>
        <v>0</v>
      </c>
      <c r="AM50" s="200">
        <f t="shared" si="35"/>
        <v>0</v>
      </c>
      <c r="AN50" s="200">
        <f t="shared" si="35"/>
        <v>0</v>
      </c>
      <c r="AO50" s="200">
        <f t="shared" si="35"/>
        <v>0</v>
      </c>
      <c r="AP50" s="200">
        <f t="shared" si="35"/>
        <v>0</v>
      </c>
      <c r="AQ50" s="200">
        <f t="shared" si="35"/>
        <v>0</v>
      </c>
      <c r="AR50" s="201">
        <f t="shared" si="35"/>
        <v>0</v>
      </c>
    </row>
    <row r="51" spans="2:44" s="13" customFormat="1" outlineLevel="1">
      <c r="B51" s="192"/>
      <c r="C51" s="193" t="str">
        <f t="shared" si="30"/>
        <v>Investment in Year 10</v>
      </c>
      <c r="D51" s="198">
        <f t="shared" si="31"/>
        <v>9.285735046486986E-3</v>
      </c>
      <c r="E51" s="199">
        <f t="shared" si="32"/>
        <v>0</v>
      </c>
      <c r="F51" s="200">
        <f t="shared" si="32"/>
        <v>0</v>
      </c>
      <c r="G51" s="200">
        <f t="shared" si="32"/>
        <v>0</v>
      </c>
      <c r="H51" s="200">
        <f t="shared" si="32"/>
        <v>0</v>
      </c>
      <c r="I51" s="200">
        <f t="shared" si="32"/>
        <v>0</v>
      </c>
      <c r="J51" s="200">
        <f t="shared" si="32"/>
        <v>0</v>
      </c>
      <c r="K51" s="200">
        <f t="shared" si="32"/>
        <v>0</v>
      </c>
      <c r="L51" s="200">
        <f t="shared" si="32"/>
        <v>0</v>
      </c>
      <c r="M51" s="200">
        <f t="shared" si="32"/>
        <v>0</v>
      </c>
      <c r="N51" s="200">
        <f t="shared" si="32"/>
        <v>4.6428675232434931E-4</v>
      </c>
      <c r="O51" s="200">
        <f t="shared" si="33"/>
        <v>4.6428675232434931E-4</v>
      </c>
      <c r="P51" s="200">
        <f t="shared" si="33"/>
        <v>4.6428675232434931E-4</v>
      </c>
      <c r="Q51" s="200">
        <f t="shared" si="33"/>
        <v>4.6428675232434931E-4</v>
      </c>
      <c r="R51" s="200">
        <f t="shared" si="33"/>
        <v>4.6428675232434931E-4</v>
      </c>
      <c r="S51" s="200">
        <f t="shared" si="33"/>
        <v>4.6428675232434931E-4</v>
      </c>
      <c r="T51" s="200">
        <f t="shared" si="33"/>
        <v>4.6428675232434931E-4</v>
      </c>
      <c r="U51" s="200">
        <f t="shared" si="33"/>
        <v>4.6428675232434931E-4</v>
      </c>
      <c r="V51" s="200">
        <f t="shared" si="33"/>
        <v>4.6428675232434931E-4</v>
      </c>
      <c r="W51" s="200">
        <f t="shared" si="33"/>
        <v>4.6428675232434931E-4</v>
      </c>
      <c r="X51" s="200">
        <f t="shared" si="33"/>
        <v>4.6428675232434931E-4</v>
      </c>
      <c r="Y51" s="200">
        <f t="shared" si="34"/>
        <v>0</v>
      </c>
      <c r="Z51" s="200">
        <f t="shared" si="34"/>
        <v>0</v>
      </c>
      <c r="AA51" s="200">
        <f t="shared" si="34"/>
        <v>0</v>
      </c>
      <c r="AB51" s="200">
        <f t="shared" si="34"/>
        <v>0</v>
      </c>
      <c r="AC51" s="200">
        <f t="shared" si="34"/>
        <v>0</v>
      </c>
      <c r="AD51" s="200">
        <f t="shared" si="34"/>
        <v>0</v>
      </c>
      <c r="AE51" s="200">
        <f t="shared" si="34"/>
        <v>0</v>
      </c>
      <c r="AF51" s="200">
        <f t="shared" si="34"/>
        <v>0</v>
      </c>
      <c r="AG51" s="200">
        <f t="shared" si="34"/>
        <v>0</v>
      </c>
      <c r="AH51" s="200">
        <f t="shared" si="34"/>
        <v>0</v>
      </c>
      <c r="AI51" s="200">
        <f t="shared" si="35"/>
        <v>0</v>
      </c>
      <c r="AJ51" s="200">
        <f t="shared" si="35"/>
        <v>0</v>
      </c>
      <c r="AK51" s="200">
        <f t="shared" si="35"/>
        <v>0</v>
      </c>
      <c r="AL51" s="200">
        <f t="shared" si="35"/>
        <v>0</v>
      </c>
      <c r="AM51" s="200">
        <f t="shared" si="35"/>
        <v>0</v>
      </c>
      <c r="AN51" s="200">
        <f t="shared" si="35"/>
        <v>0</v>
      </c>
      <c r="AO51" s="200">
        <f t="shared" si="35"/>
        <v>0</v>
      </c>
      <c r="AP51" s="200">
        <f t="shared" si="35"/>
        <v>0</v>
      </c>
      <c r="AQ51" s="200">
        <f t="shared" si="35"/>
        <v>0</v>
      </c>
      <c r="AR51" s="201">
        <f t="shared" si="35"/>
        <v>0</v>
      </c>
    </row>
    <row r="52" spans="2:44" s="13" customFormat="1" outlineLevel="1">
      <c r="B52" s="192"/>
      <c r="C52" s="193" t="str">
        <f t="shared" si="30"/>
        <v>Investment in Year 11</v>
      </c>
      <c r="D52" s="198">
        <f t="shared" si="31"/>
        <v>0</v>
      </c>
      <c r="E52" s="199">
        <f t="shared" ref="E52:N61" si="36">IF(OR($C52="",Year&gt;Contract_Length),,IF(Year&lt;INDEX(Year,1,5+ROW()-ROW($A$42)),,IF(Year&gt;INDEX(Year,1,5+ROW()-ROW($A$42))+Invest_Period-1,,$D52/Invest_Period)))</f>
        <v>0</v>
      </c>
      <c r="F52" s="200">
        <f t="shared" si="36"/>
        <v>0</v>
      </c>
      <c r="G52" s="200">
        <f t="shared" si="36"/>
        <v>0</v>
      </c>
      <c r="H52" s="200">
        <f t="shared" si="36"/>
        <v>0</v>
      </c>
      <c r="I52" s="200">
        <f t="shared" si="36"/>
        <v>0</v>
      </c>
      <c r="J52" s="200">
        <f t="shared" si="36"/>
        <v>0</v>
      </c>
      <c r="K52" s="200">
        <f t="shared" si="36"/>
        <v>0</v>
      </c>
      <c r="L52" s="200">
        <f t="shared" si="36"/>
        <v>0</v>
      </c>
      <c r="M52" s="200">
        <f t="shared" si="36"/>
        <v>0</v>
      </c>
      <c r="N52" s="200">
        <f t="shared" si="36"/>
        <v>0</v>
      </c>
      <c r="O52" s="200">
        <f t="shared" ref="O52:X61" si="37">IF(OR($C52="",Year&gt;Contract_Length),,IF(Year&lt;INDEX(Year,1,5+ROW()-ROW($A$42)),,IF(Year&gt;INDEX(Year,1,5+ROW()-ROW($A$42))+Invest_Period-1,,$D52/Invest_Period)))</f>
        <v>0</v>
      </c>
      <c r="P52" s="200">
        <f t="shared" si="37"/>
        <v>0</v>
      </c>
      <c r="Q52" s="200">
        <f t="shared" si="37"/>
        <v>0</v>
      </c>
      <c r="R52" s="200">
        <f t="shared" si="37"/>
        <v>0</v>
      </c>
      <c r="S52" s="200">
        <f t="shared" si="37"/>
        <v>0</v>
      </c>
      <c r="T52" s="200">
        <f t="shared" si="37"/>
        <v>0</v>
      </c>
      <c r="U52" s="200">
        <f t="shared" si="37"/>
        <v>0</v>
      </c>
      <c r="V52" s="200">
        <f t="shared" si="37"/>
        <v>0</v>
      </c>
      <c r="W52" s="200">
        <f t="shared" si="37"/>
        <v>0</v>
      </c>
      <c r="X52" s="200">
        <f t="shared" si="37"/>
        <v>0</v>
      </c>
      <c r="Y52" s="200">
        <f t="shared" ref="Y52:AH61" si="38">IF(OR($C52="",Year&gt;Contract_Length),,IF(Year&lt;INDEX(Year,1,5+ROW()-ROW($A$42)),,IF(Year&gt;INDEX(Year,1,5+ROW()-ROW($A$42))+Invest_Period-1,,$D52/Invest_Period)))</f>
        <v>0</v>
      </c>
      <c r="Z52" s="200">
        <f t="shared" si="38"/>
        <v>0</v>
      </c>
      <c r="AA52" s="200">
        <f t="shared" si="38"/>
        <v>0</v>
      </c>
      <c r="AB52" s="200">
        <f t="shared" si="38"/>
        <v>0</v>
      </c>
      <c r="AC52" s="200">
        <f t="shared" si="38"/>
        <v>0</v>
      </c>
      <c r="AD52" s="200">
        <f t="shared" si="38"/>
        <v>0</v>
      </c>
      <c r="AE52" s="200">
        <f t="shared" si="38"/>
        <v>0</v>
      </c>
      <c r="AF52" s="200">
        <f t="shared" si="38"/>
        <v>0</v>
      </c>
      <c r="AG52" s="200">
        <f t="shared" si="38"/>
        <v>0</v>
      </c>
      <c r="AH52" s="200">
        <f t="shared" si="38"/>
        <v>0</v>
      </c>
      <c r="AI52" s="200">
        <f t="shared" ref="AI52:AR61" si="39">IF(OR($C52="",Year&gt;Contract_Length),,IF(Year&lt;INDEX(Year,1,5+ROW()-ROW($A$42)),,IF(Year&gt;INDEX(Year,1,5+ROW()-ROW($A$42))+Invest_Period-1,,$D52/Invest_Period)))</f>
        <v>0</v>
      </c>
      <c r="AJ52" s="200">
        <f t="shared" si="39"/>
        <v>0</v>
      </c>
      <c r="AK52" s="200">
        <f t="shared" si="39"/>
        <v>0</v>
      </c>
      <c r="AL52" s="200">
        <f t="shared" si="39"/>
        <v>0</v>
      </c>
      <c r="AM52" s="200">
        <f t="shared" si="39"/>
        <v>0</v>
      </c>
      <c r="AN52" s="200">
        <f t="shared" si="39"/>
        <v>0</v>
      </c>
      <c r="AO52" s="200">
        <f t="shared" si="39"/>
        <v>0</v>
      </c>
      <c r="AP52" s="200">
        <f t="shared" si="39"/>
        <v>0</v>
      </c>
      <c r="AQ52" s="200">
        <f t="shared" si="39"/>
        <v>0</v>
      </c>
      <c r="AR52" s="201">
        <f t="shared" si="39"/>
        <v>0</v>
      </c>
    </row>
    <row r="53" spans="2:44" s="13" customFormat="1" outlineLevel="1">
      <c r="B53" s="192"/>
      <c r="C53" s="193" t="str">
        <f t="shared" si="30"/>
        <v>Investment in Year 12</v>
      </c>
      <c r="D53" s="198">
        <f t="shared" si="31"/>
        <v>0</v>
      </c>
      <c r="E53" s="199">
        <f t="shared" si="36"/>
        <v>0</v>
      </c>
      <c r="F53" s="200">
        <f t="shared" si="36"/>
        <v>0</v>
      </c>
      <c r="G53" s="200">
        <f t="shared" si="36"/>
        <v>0</v>
      </c>
      <c r="H53" s="200">
        <f t="shared" si="36"/>
        <v>0</v>
      </c>
      <c r="I53" s="200">
        <f t="shared" si="36"/>
        <v>0</v>
      </c>
      <c r="J53" s="200">
        <f t="shared" si="36"/>
        <v>0</v>
      </c>
      <c r="K53" s="200">
        <f t="shared" si="36"/>
        <v>0</v>
      </c>
      <c r="L53" s="200">
        <f t="shared" si="36"/>
        <v>0</v>
      </c>
      <c r="M53" s="200">
        <f t="shared" si="36"/>
        <v>0</v>
      </c>
      <c r="N53" s="200">
        <f t="shared" si="36"/>
        <v>0</v>
      </c>
      <c r="O53" s="200">
        <f t="shared" si="37"/>
        <v>0</v>
      </c>
      <c r="P53" s="200">
        <f t="shared" si="37"/>
        <v>0</v>
      </c>
      <c r="Q53" s="200">
        <f t="shared" si="37"/>
        <v>0</v>
      </c>
      <c r="R53" s="200">
        <f t="shared" si="37"/>
        <v>0</v>
      </c>
      <c r="S53" s="200">
        <f t="shared" si="37"/>
        <v>0</v>
      </c>
      <c r="T53" s="200">
        <f t="shared" si="37"/>
        <v>0</v>
      </c>
      <c r="U53" s="200">
        <f t="shared" si="37"/>
        <v>0</v>
      </c>
      <c r="V53" s="200">
        <f t="shared" si="37"/>
        <v>0</v>
      </c>
      <c r="W53" s="200">
        <f t="shared" si="37"/>
        <v>0</v>
      </c>
      <c r="X53" s="200">
        <f t="shared" si="37"/>
        <v>0</v>
      </c>
      <c r="Y53" s="200">
        <f t="shared" si="38"/>
        <v>0</v>
      </c>
      <c r="Z53" s="200">
        <f t="shared" si="38"/>
        <v>0</v>
      </c>
      <c r="AA53" s="200">
        <f t="shared" si="38"/>
        <v>0</v>
      </c>
      <c r="AB53" s="200">
        <f t="shared" si="38"/>
        <v>0</v>
      </c>
      <c r="AC53" s="200">
        <f t="shared" si="38"/>
        <v>0</v>
      </c>
      <c r="AD53" s="200">
        <f t="shared" si="38"/>
        <v>0</v>
      </c>
      <c r="AE53" s="200">
        <f t="shared" si="38"/>
        <v>0</v>
      </c>
      <c r="AF53" s="200">
        <f t="shared" si="38"/>
        <v>0</v>
      </c>
      <c r="AG53" s="200">
        <f t="shared" si="38"/>
        <v>0</v>
      </c>
      <c r="AH53" s="200">
        <f t="shared" si="38"/>
        <v>0</v>
      </c>
      <c r="AI53" s="200">
        <f t="shared" si="39"/>
        <v>0</v>
      </c>
      <c r="AJ53" s="200">
        <f t="shared" si="39"/>
        <v>0</v>
      </c>
      <c r="AK53" s="200">
        <f t="shared" si="39"/>
        <v>0</v>
      </c>
      <c r="AL53" s="200">
        <f t="shared" si="39"/>
        <v>0</v>
      </c>
      <c r="AM53" s="200">
        <f t="shared" si="39"/>
        <v>0</v>
      </c>
      <c r="AN53" s="200">
        <f t="shared" si="39"/>
        <v>0</v>
      </c>
      <c r="AO53" s="200">
        <f t="shared" si="39"/>
        <v>0</v>
      </c>
      <c r="AP53" s="200">
        <f t="shared" si="39"/>
        <v>0</v>
      </c>
      <c r="AQ53" s="200">
        <f t="shared" si="39"/>
        <v>0</v>
      </c>
      <c r="AR53" s="201">
        <f t="shared" si="39"/>
        <v>0</v>
      </c>
    </row>
    <row r="54" spans="2:44" s="13" customFormat="1" outlineLevel="1">
      <c r="B54" s="192"/>
      <c r="C54" s="193" t="str">
        <f t="shared" si="30"/>
        <v>Investment in Year 13</v>
      </c>
      <c r="D54" s="198">
        <f t="shared" si="31"/>
        <v>0</v>
      </c>
      <c r="E54" s="199">
        <f t="shared" si="36"/>
        <v>0</v>
      </c>
      <c r="F54" s="200">
        <f t="shared" si="36"/>
        <v>0</v>
      </c>
      <c r="G54" s="200">
        <f t="shared" si="36"/>
        <v>0</v>
      </c>
      <c r="H54" s="200">
        <f t="shared" si="36"/>
        <v>0</v>
      </c>
      <c r="I54" s="200">
        <f t="shared" si="36"/>
        <v>0</v>
      </c>
      <c r="J54" s="200">
        <f t="shared" si="36"/>
        <v>0</v>
      </c>
      <c r="K54" s="200">
        <f t="shared" si="36"/>
        <v>0</v>
      </c>
      <c r="L54" s="200">
        <f t="shared" si="36"/>
        <v>0</v>
      </c>
      <c r="M54" s="200">
        <f t="shared" si="36"/>
        <v>0</v>
      </c>
      <c r="N54" s="200">
        <f t="shared" si="36"/>
        <v>0</v>
      </c>
      <c r="O54" s="200">
        <f t="shared" si="37"/>
        <v>0</v>
      </c>
      <c r="P54" s="200">
        <f t="shared" si="37"/>
        <v>0</v>
      </c>
      <c r="Q54" s="200">
        <f t="shared" si="37"/>
        <v>0</v>
      </c>
      <c r="R54" s="200">
        <f t="shared" si="37"/>
        <v>0</v>
      </c>
      <c r="S54" s="200">
        <f t="shared" si="37"/>
        <v>0</v>
      </c>
      <c r="T54" s="200">
        <f t="shared" si="37"/>
        <v>0</v>
      </c>
      <c r="U54" s="200">
        <f t="shared" si="37"/>
        <v>0</v>
      </c>
      <c r="V54" s="200">
        <f t="shared" si="37"/>
        <v>0</v>
      </c>
      <c r="W54" s="200">
        <f t="shared" si="37"/>
        <v>0</v>
      </c>
      <c r="X54" s="200">
        <f t="shared" si="37"/>
        <v>0</v>
      </c>
      <c r="Y54" s="200">
        <f t="shared" si="38"/>
        <v>0</v>
      </c>
      <c r="Z54" s="200">
        <f t="shared" si="38"/>
        <v>0</v>
      </c>
      <c r="AA54" s="200">
        <f t="shared" si="38"/>
        <v>0</v>
      </c>
      <c r="AB54" s="200">
        <f t="shared" si="38"/>
        <v>0</v>
      </c>
      <c r="AC54" s="200">
        <f t="shared" si="38"/>
        <v>0</v>
      </c>
      <c r="AD54" s="200">
        <f t="shared" si="38"/>
        <v>0</v>
      </c>
      <c r="AE54" s="200">
        <f t="shared" si="38"/>
        <v>0</v>
      </c>
      <c r="AF54" s="200">
        <f t="shared" si="38"/>
        <v>0</v>
      </c>
      <c r="AG54" s="200">
        <f t="shared" si="38"/>
        <v>0</v>
      </c>
      <c r="AH54" s="200">
        <f t="shared" si="38"/>
        <v>0</v>
      </c>
      <c r="AI54" s="200">
        <f t="shared" si="39"/>
        <v>0</v>
      </c>
      <c r="AJ54" s="200">
        <f t="shared" si="39"/>
        <v>0</v>
      </c>
      <c r="AK54" s="200">
        <f t="shared" si="39"/>
        <v>0</v>
      </c>
      <c r="AL54" s="200">
        <f t="shared" si="39"/>
        <v>0</v>
      </c>
      <c r="AM54" s="200">
        <f t="shared" si="39"/>
        <v>0</v>
      </c>
      <c r="AN54" s="200">
        <f t="shared" si="39"/>
        <v>0</v>
      </c>
      <c r="AO54" s="200">
        <f t="shared" si="39"/>
        <v>0</v>
      </c>
      <c r="AP54" s="200">
        <f t="shared" si="39"/>
        <v>0</v>
      </c>
      <c r="AQ54" s="200">
        <f t="shared" si="39"/>
        <v>0</v>
      </c>
      <c r="AR54" s="201">
        <f t="shared" si="39"/>
        <v>0</v>
      </c>
    </row>
    <row r="55" spans="2:44" s="13" customFormat="1" outlineLevel="1">
      <c r="B55" s="192"/>
      <c r="C55" s="193" t="str">
        <f t="shared" si="30"/>
        <v>Investment in Year 14</v>
      </c>
      <c r="D55" s="198">
        <f t="shared" si="31"/>
        <v>0</v>
      </c>
      <c r="E55" s="199">
        <f t="shared" si="36"/>
        <v>0</v>
      </c>
      <c r="F55" s="200">
        <f t="shared" si="36"/>
        <v>0</v>
      </c>
      <c r="G55" s="200">
        <f t="shared" si="36"/>
        <v>0</v>
      </c>
      <c r="H55" s="200">
        <f t="shared" si="36"/>
        <v>0</v>
      </c>
      <c r="I55" s="200">
        <f t="shared" si="36"/>
        <v>0</v>
      </c>
      <c r="J55" s="200">
        <f t="shared" si="36"/>
        <v>0</v>
      </c>
      <c r="K55" s="200">
        <f t="shared" si="36"/>
        <v>0</v>
      </c>
      <c r="L55" s="200">
        <f t="shared" si="36"/>
        <v>0</v>
      </c>
      <c r="M55" s="200">
        <f t="shared" si="36"/>
        <v>0</v>
      </c>
      <c r="N55" s="200">
        <f t="shared" si="36"/>
        <v>0</v>
      </c>
      <c r="O55" s="200">
        <f t="shared" si="37"/>
        <v>0</v>
      </c>
      <c r="P55" s="200">
        <f t="shared" si="37"/>
        <v>0</v>
      </c>
      <c r="Q55" s="200">
        <f t="shared" si="37"/>
        <v>0</v>
      </c>
      <c r="R55" s="200">
        <f t="shared" si="37"/>
        <v>0</v>
      </c>
      <c r="S55" s="200">
        <f t="shared" si="37"/>
        <v>0</v>
      </c>
      <c r="T55" s="200">
        <f t="shared" si="37"/>
        <v>0</v>
      </c>
      <c r="U55" s="200">
        <f t="shared" si="37"/>
        <v>0</v>
      </c>
      <c r="V55" s="200">
        <f t="shared" si="37"/>
        <v>0</v>
      </c>
      <c r="W55" s="200">
        <f t="shared" si="37"/>
        <v>0</v>
      </c>
      <c r="X55" s="200">
        <f t="shared" si="37"/>
        <v>0</v>
      </c>
      <c r="Y55" s="200">
        <f t="shared" si="38"/>
        <v>0</v>
      </c>
      <c r="Z55" s="200">
        <f t="shared" si="38"/>
        <v>0</v>
      </c>
      <c r="AA55" s="200">
        <f t="shared" si="38"/>
        <v>0</v>
      </c>
      <c r="AB55" s="200">
        <f t="shared" si="38"/>
        <v>0</v>
      </c>
      <c r="AC55" s="200">
        <f t="shared" si="38"/>
        <v>0</v>
      </c>
      <c r="AD55" s="200">
        <f t="shared" si="38"/>
        <v>0</v>
      </c>
      <c r="AE55" s="200">
        <f t="shared" si="38"/>
        <v>0</v>
      </c>
      <c r="AF55" s="200">
        <f t="shared" si="38"/>
        <v>0</v>
      </c>
      <c r="AG55" s="200">
        <f t="shared" si="38"/>
        <v>0</v>
      </c>
      <c r="AH55" s="200">
        <f t="shared" si="38"/>
        <v>0</v>
      </c>
      <c r="AI55" s="200">
        <f t="shared" si="39"/>
        <v>0</v>
      </c>
      <c r="AJ55" s="200">
        <f t="shared" si="39"/>
        <v>0</v>
      </c>
      <c r="AK55" s="200">
        <f t="shared" si="39"/>
        <v>0</v>
      </c>
      <c r="AL55" s="200">
        <f t="shared" si="39"/>
        <v>0</v>
      </c>
      <c r="AM55" s="200">
        <f t="shared" si="39"/>
        <v>0</v>
      </c>
      <c r="AN55" s="200">
        <f t="shared" si="39"/>
        <v>0</v>
      </c>
      <c r="AO55" s="200">
        <f t="shared" si="39"/>
        <v>0</v>
      </c>
      <c r="AP55" s="200">
        <f t="shared" si="39"/>
        <v>0</v>
      </c>
      <c r="AQ55" s="200">
        <f t="shared" si="39"/>
        <v>0</v>
      </c>
      <c r="AR55" s="201">
        <f t="shared" si="39"/>
        <v>0</v>
      </c>
    </row>
    <row r="56" spans="2:44" s="13" customFormat="1" outlineLevel="1">
      <c r="B56" s="192"/>
      <c r="C56" s="193" t="str">
        <f t="shared" si="30"/>
        <v>Investment in Year 15</v>
      </c>
      <c r="D56" s="198">
        <f t="shared" si="31"/>
        <v>0</v>
      </c>
      <c r="E56" s="199">
        <f t="shared" si="36"/>
        <v>0</v>
      </c>
      <c r="F56" s="200">
        <f t="shared" si="36"/>
        <v>0</v>
      </c>
      <c r="G56" s="200">
        <f t="shared" si="36"/>
        <v>0</v>
      </c>
      <c r="H56" s="200">
        <f t="shared" si="36"/>
        <v>0</v>
      </c>
      <c r="I56" s="200">
        <f t="shared" si="36"/>
        <v>0</v>
      </c>
      <c r="J56" s="200">
        <f t="shared" si="36"/>
        <v>0</v>
      </c>
      <c r="K56" s="200">
        <f t="shared" si="36"/>
        <v>0</v>
      </c>
      <c r="L56" s="200">
        <f t="shared" si="36"/>
        <v>0</v>
      </c>
      <c r="M56" s="200">
        <f t="shared" si="36"/>
        <v>0</v>
      </c>
      <c r="N56" s="200">
        <f t="shared" si="36"/>
        <v>0</v>
      </c>
      <c r="O56" s="200">
        <f t="shared" si="37"/>
        <v>0</v>
      </c>
      <c r="P56" s="200">
        <f t="shared" si="37"/>
        <v>0</v>
      </c>
      <c r="Q56" s="200">
        <f t="shared" si="37"/>
        <v>0</v>
      </c>
      <c r="R56" s="200">
        <f t="shared" si="37"/>
        <v>0</v>
      </c>
      <c r="S56" s="200">
        <f t="shared" si="37"/>
        <v>0</v>
      </c>
      <c r="T56" s="200">
        <f t="shared" si="37"/>
        <v>0</v>
      </c>
      <c r="U56" s="200">
        <f t="shared" si="37"/>
        <v>0</v>
      </c>
      <c r="V56" s="200">
        <f t="shared" si="37"/>
        <v>0</v>
      </c>
      <c r="W56" s="200">
        <f t="shared" si="37"/>
        <v>0</v>
      </c>
      <c r="X56" s="200">
        <f t="shared" si="37"/>
        <v>0</v>
      </c>
      <c r="Y56" s="200">
        <f t="shared" si="38"/>
        <v>0</v>
      </c>
      <c r="Z56" s="200">
        <f t="shared" si="38"/>
        <v>0</v>
      </c>
      <c r="AA56" s="200">
        <f t="shared" si="38"/>
        <v>0</v>
      </c>
      <c r="AB56" s="200">
        <f t="shared" si="38"/>
        <v>0</v>
      </c>
      <c r="AC56" s="200">
        <f t="shared" si="38"/>
        <v>0</v>
      </c>
      <c r="AD56" s="200">
        <f t="shared" si="38"/>
        <v>0</v>
      </c>
      <c r="AE56" s="200">
        <f t="shared" si="38"/>
        <v>0</v>
      </c>
      <c r="AF56" s="200">
        <f t="shared" si="38"/>
        <v>0</v>
      </c>
      <c r="AG56" s="200">
        <f t="shared" si="38"/>
        <v>0</v>
      </c>
      <c r="AH56" s="200">
        <f t="shared" si="38"/>
        <v>0</v>
      </c>
      <c r="AI56" s="200">
        <f t="shared" si="39"/>
        <v>0</v>
      </c>
      <c r="AJ56" s="200">
        <f t="shared" si="39"/>
        <v>0</v>
      </c>
      <c r="AK56" s="200">
        <f t="shared" si="39"/>
        <v>0</v>
      </c>
      <c r="AL56" s="200">
        <f t="shared" si="39"/>
        <v>0</v>
      </c>
      <c r="AM56" s="200">
        <f t="shared" si="39"/>
        <v>0</v>
      </c>
      <c r="AN56" s="200">
        <f t="shared" si="39"/>
        <v>0</v>
      </c>
      <c r="AO56" s="200">
        <f t="shared" si="39"/>
        <v>0</v>
      </c>
      <c r="AP56" s="200">
        <f t="shared" si="39"/>
        <v>0</v>
      </c>
      <c r="AQ56" s="200">
        <f t="shared" si="39"/>
        <v>0</v>
      </c>
      <c r="AR56" s="201">
        <f t="shared" si="39"/>
        <v>0</v>
      </c>
    </row>
    <row r="57" spans="2:44" s="13" customFormat="1" outlineLevel="1">
      <c r="B57" s="192"/>
      <c r="C57" s="193" t="str">
        <f t="shared" si="30"/>
        <v>Investment in Year 16</v>
      </c>
      <c r="D57" s="198">
        <f t="shared" si="31"/>
        <v>0</v>
      </c>
      <c r="E57" s="199">
        <f t="shared" si="36"/>
        <v>0</v>
      </c>
      <c r="F57" s="200">
        <f t="shared" si="36"/>
        <v>0</v>
      </c>
      <c r="G57" s="200">
        <f t="shared" si="36"/>
        <v>0</v>
      </c>
      <c r="H57" s="200">
        <f t="shared" si="36"/>
        <v>0</v>
      </c>
      <c r="I57" s="200">
        <f t="shared" si="36"/>
        <v>0</v>
      </c>
      <c r="J57" s="200">
        <f t="shared" si="36"/>
        <v>0</v>
      </c>
      <c r="K57" s="200">
        <f t="shared" si="36"/>
        <v>0</v>
      </c>
      <c r="L57" s="200">
        <f t="shared" si="36"/>
        <v>0</v>
      </c>
      <c r="M57" s="200">
        <f t="shared" si="36"/>
        <v>0</v>
      </c>
      <c r="N57" s="200">
        <f t="shared" si="36"/>
        <v>0</v>
      </c>
      <c r="O57" s="200">
        <f t="shared" si="37"/>
        <v>0</v>
      </c>
      <c r="P57" s="200">
        <f t="shared" si="37"/>
        <v>0</v>
      </c>
      <c r="Q57" s="200">
        <f t="shared" si="37"/>
        <v>0</v>
      </c>
      <c r="R57" s="200">
        <f t="shared" si="37"/>
        <v>0</v>
      </c>
      <c r="S57" s="200">
        <f t="shared" si="37"/>
        <v>0</v>
      </c>
      <c r="T57" s="200">
        <f t="shared" si="37"/>
        <v>0</v>
      </c>
      <c r="U57" s="200">
        <f t="shared" si="37"/>
        <v>0</v>
      </c>
      <c r="V57" s="200">
        <f t="shared" si="37"/>
        <v>0</v>
      </c>
      <c r="W57" s="200">
        <f t="shared" si="37"/>
        <v>0</v>
      </c>
      <c r="X57" s="200">
        <f t="shared" si="37"/>
        <v>0</v>
      </c>
      <c r="Y57" s="200">
        <f t="shared" si="38"/>
        <v>0</v>
      </c>
      <c r="Z57" s="200">
        <f t="shared" si="38"/>
        <v>0</v>
      </c>
      <c r="AA57" s="200">
        <f t="shared" si="38"/>
        <v>0</v>
      </c>
      <c r="AB57" s="200">
        <f t="shared" si="38"/>
        <v>0</v>
      </c>
      <c r="AC57" s="200">
        <f t="shared" si="38"/>
        <v>0</v>
      </c>
      <c r="AD57" s="200">
        <f t="shared" si="38"/>
        <v>0</v>
      </c>
      <c r="AE57" s="200">
        <f t="shared" si="38"/>
        <v>0</v>
      </c>
      <c r="AF57" s="200">
        <f t="shared" si="38"/>
        <v>0</v>
      </c>
      <c r="AG57" s="200">
        <f t="shared" si="38"/>
        <v>0</v>
      </c>
      <c r="AH57" s="200">
        <f t="shared" si="38"/>
        <v>0</v>
      </c>
      <c r="AI57" s="200">
        <f t="shared" si="39"/>
        <v>0</v>
      </c>
      <c r="AJ57" s="200">
        <f t="shared" si="39"/>
        <v>0</v>
      </c>
      <c r="AK57" s="200">
        <f t="shared" si="39"/>
        <v>0</v>
      </c>
      <c r="AL57" s="200">
        <f t="shared" si="39"/>
        <v>0</v>
      </c>
      <c r="AM57" s="200">
        <f t="shared" si="39"/>
        <v>0</v>
      </c>
      <c r="AN57" s="200">
        <f t="shared" si="39"/>
        <v>0</v>
      </c>
      <c r="AO57" s="200">
        <f t="shared" si="39"/>
        <v>0</v>
      </c>
      <c r="AP57" s="200">
        <f t="shared" si="39"/>
        <v>0</v>
      </c>
      <c r="AQ57" s="200">
        <f t="shared" si="39"/>
        <v>0</v>
      </c>
      <c r="AR57" s="201">
        <f t="shared" si="39"/>
        <v>0</v>
      </c>
    </row>
    <row r="58" spans="2:44" s="13" customFormat="1" outlineLevel="1">
      <c r="B58" s="192"/>
      <c r="C58" s="193" t="str">
        <f t="shared" si="30"/>
        <v>Investment in Year 17</v>
      </c>
      <c r="D58" s="198">
        <f t="shared" si="31"/>
        <v>0</v>
      </c>
      <c r="E58" s="199">
        <f t="shared" si="36"/>
        <v>0</v>
      </c>
      <c r="F58" s="200">
        <f t="shared" si="36"/>
        <v>0</v>
      </c>
      <c r="G58" s="200">
        <f t="shared" si="36"/>
        <v>0</v>
      </c>
      <c r="H58" s="200">
        <f t="shared" si="36"/>
        <v>0</v>
      </c>
      <c r="I58" s="200">
        <f t="shared" si="36"/>
        <v>0</v>
      </c>
      <c r="J58" s="200">
        <f t="shared" si="36"/>
        <v>0</v>
      </c>
      <c r="K58" s="200">
        <f t="shared" si="36"/>
        <v>0</v>
      </c>
      <c r="L58" s="200">
        <f t="shared" si="36"/>
        <v>0</v>
      </c>
      <c r="M58" s="200">
        <f t="shared" si="36"/>
        <v>0</v>
      </c>
      <c r="N58" s="200">
        <f t="shared" si="36"/>
        <v>0</v>
      </c>
      <c r="O58" s="200">
        <f t="shared" si="37"/>
        <v>0</v>
      </c>
      <c r="P58" s="200">
        <f t="shared" si="37"/>
        <v>0</v>
      </c>
      <c r="Q58" s="200">
        <f t="shared" si="37"/>
        <v>0</v>
      </c>
      <c r="R58" s="200">
        <f t="shared" si="37"/>
        <v>0</v>
      </c>
      <c r="S58" s="200">
        <f t="shared" si="37"/>
        <v>0</v>
      </c>
      <c r="T58" s="200">
        <f t="shared" si="37"/>
        <v>0</v>
      </c>
      <c r="U58" s="200">
        <f t="shared" si="37"/>
        <v>0</v>
      </c>
      <c r="V58" s="200">
        <f t="shared" si="37"/>
        <v>0</v>
      </c>
      <c r="W58" s="200">
        <f t="shared" si="37"/>
        <v>0</v>
      </c>
      <c r="X58" s="200">
        <f t="shared" si="37"/>
        <v>0</v>
      </c>
      <c r="Y58" s="200">
        <f t="shared" si="38"/>
        <v>0</v>
      </c>
      <c r="Z58" s="200">
        <f t="shared" si="38"/>
        <v>0</v>
      </c>
      <c r="AA58" s="200">
        <f t="shared" si="38"/>
        <v>0</v>
      </c>
      <c r="AB58" s="200">
        <f t="shared" si="38"/>
        <v>0</v>
      </c>
      <c r="AC58" s="200">
        <f t="shared" si="38"/>
        <v>0</v>
      </c>
      <c r="AD58" s="200">
        <f t="shared" si="38"/>
        <v>0</v>
      </c>
      <c r="AE58" s="200">
        <f t="shared" si="38"/>
        <v>0</v>
      </c>
      <c r="AF58" s="200">
        <f t="shared" si="38"/>
        <v>0</v>
      </c>
      <c r="AG58" s="200">
        <f t="shared" si="38"/>
        <v>0</v>
      </c>
      <c r="AH58" s="200">
        <f t="shared" si="38"/>
        <v>0</v>
      </c>
      <c r="AI58" s="200">
        <f t="shared" si="39"/>
        <v>0</v>
      </c>
      <c r="AJ58" s="200">
        <f t="shared" si="39"/>
        <v>0</v>
      </c>
      <c r="AK58" s="200">
        <f t="shared" si="39"/>
        <v>0</v>
      </c>
      <c r="AL58" s="200">
        <f t="shared" si="39"/>
        <v>0</v>
      </c>
      <c r="AM58" s="200">
        <f t="shared" si="39"/>
        <v>0</v>
      </c>
      <c r="AN58" s="200">
        <f t="shared" si="39"/>
        <v>0</v>
      </c>
      <c r="AO58" s="200">
        <f t="shared" si="39"/>
        <v>0</v>
      </c>
      <c r="AP58" s="200">
        <f t="shared" si="39"/>
        <v>0</v>
      </c>
      <c r="AQ58" s="200">
        <f t="shared" si="39"/>
        <v>0</v>
      </c>
      <c r="AR58" s="201">
        <f t="shared" si="39"/>
        <v>0</v>
      </c>
    </row>
    <row r="59" spans="2:44" s="13" customFormat="1" outlineLevel="1">
      <c r="B59" s="192"/>
      <c r="C59" s="193" t="str">
        <f t="shared" si="30"/>
        <v>Investment in Year 18</v>
      </c>
      <c r="D59" s="198">
        <f t="shared" si="31"/>
        <v>0</v>
      </c>
      <c r="E59" s="199">
        <f t="shared" si="36"/>
        <v>0</v>
      </c>
      <c r="F59" s="200">
        <f t="shared" si="36"/>
        <v>0</v>
      </c>
      <c r="G59" s="200">
        <f t="shared" si="36"/>
        <v>0</v>
      </c>
      <c r="H59" s="200">
        <f t="shared" si="36"/>
        <v>0</v>
      </c>
      <c r="I59" s="200">
        <f t="shared" si="36"/>
        <v>0</v>
      </c>
      <c r="J59" s="200">
        <f t="shared" si="36"/>
        <v>0</v>
      </c>
      <c r="K59" s="200">
        <f t="shared" si="36"/>
        <v>0</v>
      </c>
      <c r="L59" s="200">
        <f t="shared" si="36"/>
        <v>0</v>
      </c>
      <c r="M59" s="200">
        <f t="shared" si="36"/>
        <v>0</v>
      </c>
      <c r="N59" s="200">
        <f t="shared" si="36"/>
        <v>0</v>
      </c>
      <c r="O59" s="200">
        <f t="shared" si="37"/>
        <v>0</v>
      </c>
      <c r="P59" s="200">
        <f t="shared" si="37"/>
        <v>0</v>
      </c>
      <c r="Q59" s="200">
        <f t="shared" si="37"/>
        <v>0</v>
      </c>
      <c r="R59" s="200">
        <f t="shared" si="37"/>
        <v>0</v>
      </c>
      <c r="S59" s="200">
        <f t="shared" si="37"/>
        <v>0</v>
      </c>
      <c r="T59" s="200">
        <f t="shared" si="37"/>
        <v>0</v>
      </c>
      <c r="U59" s="200">
        <f t="shared" si="37"/>
        <v>0</v>
      </c>
      <c r="V59" s="200">
        <f t="shared" si="37"/>
        <v>0</v>
      </c>
      <c r="W59" s="200">
        <f t="shared" si="37"/>
        <v>0</v>
      </c>
      <c r="X59" s="200">
        <f t="shared" si="37"/>
        <v>0</v>
      </c>
      <c r="Y59" s="200">
        <f t="shared" si="38"/>
        <v>0</v>
      </c>
      <c r="Z59" s="200">
        <f t="shared" si="38"/>
        <v>0</v>
      </c>
      <c r="AA59" s="200">
        <f t="shared" si="38"/>
        <v>0</v>
      </c>
      <c r="AB59" s="200">
        <f t="shared" si="38"/>
        <v>0</v>
      </c>
      <c r="AC59" s="200">
        <f t="shared" si="38"/>
        <v>0</v>
      </c>
      <c r="AD59" s="200">
        <f t="shared" si="38"/>
        <v>0</v>
      </c>
      <c r="AE59" s="200">
        <f t="shared" si="38"/>
        <v>0</v>
      </c>
      <c r="AF59" s="200">
        <f t="shared" si="38"/>
        <v>0</v>
      </c>
      <c r="AG59" s="200">
        <f t="shared" si="38"/>
        <v>0</v>
      </c>
      <c r="AH59" s="200">
        <f t="shared" si="38"/>
        <v>0</v>
      </c>
      <c r="AI59" s="200">
        <f t="shared" si="39"/>
        <v>0</v>
      </c>
      <c r="AJ59" s="200">
        <f t="shared" si="39"/>
        <v>0</v>
      </c>
      <c r="AK59" s="200">
        <f t="shared" si="39"/>
        <v>0</v>
      </c>
      <c r="AL59" s="200">
        <f t="shared" si="39"/>
        <v>0</v>
      </c>
      <c r="AM59" s="200">
        <f t="shared" si="39"/>
        <v>0</v>
      </c>
      <c r="AN59" s="200">
        <f t="shared" si="39"/>
        <v>0</v>
      </c>
      <c r="AO59" s="200">
        <f t="shared" si="39"/>
        <v>0</v>
      </c>
      <c r="AP59" s="200">
        <f t="shared" si="39"/>
        <v>0</v>
      </c>
      <c r="AQ59" s="200">
        <f t="shared" si="39"/>
        <v>0</v>
      </c>
      <c r="AR59" s="201">
        <f t="shared" si="39"/>
        <v>0</v>
      </c>
    </row>
    <row r="60" spans="2:44" s="13" customFormat="1" outlineLevel="1">
      <c r="B60" s="192"/>
      <c r="C60" s="193" t="str">
        <f t="shared" si="30"/>
        <v>Investment in Year 19</v>
      </c>
      <c r="D60" s="198">
        <f t="shared" si="31"/>
        <v>0</v>
      </c>
      <c r="E60" s="199">
        <f t="shared" si="36"/>
        <v>0</v>
      </c>
      <c r="F60" s="200">
        <f t="shared" si="36"/>
        <v>0</v>
      </c>
      <c r="G60" s="200">
        <f t="shared" si="36"/>
        <v>0</v>
      </c>
      <c r="H60" s="200">
        <f t="shared" si="36"/>
        <v>0</v>
      </c>
      <c r="I60" s="200">
        <f t="shared" si="36"/>
        <v>0</v>
      </c>
      <c r="J60" s="200">
        <f t="shared" si="36"/>
        <v>0</v>
      </c>
      <c r="K60" s="200">
        <f t="shared" si="36"/>
        <v>0</v>
      </c>
      <c r="L60" s="200">
        <f t="shared" si="36"/>
        <v>0</v>
      </c>
      <c r="M60" s="200">
        <f t="shared" si="36"/>
        <v>0</v>
      </c>
      <c r="N60" s="200">
        <f t="shared" si="36"/>
        <v>0</v>
      </c>
      <c r="O60" s="200">
        <f t="shared" si="37"/>
        <v>0</v>
      </c>
      <c r="P60" s="200">
        <f t="shared" si="37"/>
        <v>0</v>
      </c>
      <c r="Q60" s="200">
        <f t="shared" si="37"/>
        <v>0</v>
      </c>
      <c r="R60" s="200">
        <f t="shared" si="37"/>
        <v>0</v>
      </c>
      <c r="S60" s="200">
        <f t="shared" si="37"/>
        <v>0</v>
      </c>
      <c r="T60" s="200">
        <f t="shared" si="37"/>
        <v>0</v>
      </c>
      <c r="U60" s="200">
        <f t="shared" si="37"/>
        <v>0</v>
      </c>
      <c r="V60" s="200">
        <f t="shared" si="37"/>
        <v>0</v>
      </c>
      <c r="W60" s="200">
        <f t="shared" si="37"/>
        <v>0</v>
      </c>
      <c r="X60" s="200">
        <f t="shared" si="37"/>
        <v>0</v>
      </c>
      <c r="Y60" s="200">
        <f t="shared" si="38"/>
        <v>0</v>
      </c>
      <c r="Z60" s="200">
        <f t="shared" si="38"/>
        <v>0</v>
      </c>
      <c r="AA60" s="200">
        <f t="shared" si="38"/>
        <v>0</v>
      </c>
      <c r="AB60" s="200">
        <f t="shared" si="38"/>
        <v>0</v>
      </c>
      <c r="AC60" s="200">
        <f t="shared" si="38"/>
        <v>0</v>
      </c>
      <c r="AD60" s="200">
        <f t="shared" si="38"/>
        <v>0</v>
      </c>
      <c r="AE60" s="200">
        <f t="shared" si="38"/>
        <v>0</v>
      </c>
      <c r="AF60" s="200">
        <f t="shared" si="38"/>
        <v>0</v>
      </c>
      <c r="AG60" s="200">
        <f t="shared" si="38"/>
        <v>0</v>
      </c>
      <c r="AH60" s="200">
        <f t="shared" si="38"/>
        <v>0</v>
      </c>
      <c r="AI60" s="200">
        <f t="shared" si="39"/>
        <v>0</v>
      </c>
      <c r="AJ60" s="200">
        <f t="shared" si="39"/>
        <v>0</v>
      </c>
      <c r="AK60" s="200">
        <f t="shared" si="39"/>
        <v>0</v>
      </c>
      <c r="AL60" s="200">
        <f t="shared" si="39"/>
        <v>0</v>
      </c>
      <c r="AM60" s="200">
        <f t="shared" si="39"/>
        <v>0</v>
      </c>
      <c r="AN60" s="200">
        <f t="shared" si="39"/>
        <v>0</v>
      </c>
      <c r="AO60" s="200">
        <f t="shared" si="39"/>
        <v>0</v>
      </c>
      <c r="AP60" s="200">
        <f t="shared" si="39"/>
        <v>0</v>
      </c>
      <c r="AQ60" s="200">
        <f t="shared" si="39"/>
        <v>0</v>
      </c>
      <c r="AR60" s="201">
        <f t="shared" si="39"/>
        <v>0</v>
      </c>
    </row>
    <row r="61" spans="2:44" s="13" customFormat="1" outlineLevel="1">
      <c r="B61" s="192"/>
      <c r="C61" s="193" t="str">
        <f t="shared" si="30"/>
        <v>Investment in Year 20</v>
      </c>
      <c r="D61" s="198">
        <f t="shared" si="31"/>
        <v>0</v>
      </c>
      <c r="E61" s="199">
        <f t="shared" si="36"/>
        <v>0</v>
      </c>
      <c r="F61" s="200">
        <f t="shared" si="36"/>
        <v>0</v>
      </c>
      <c r="G61" s="200">
        <f t="shared" si="36"/>
        <v>0</v>
      </c>
      <c r="H61" s="200">
        <f t="shared" si="36"/>
        <v>0</v>
      </c>
      <c r="I61" s="200">
        <f t="shared" si="36"/>
        <v>0</v>
      </c>
      <c r="J61" s="200">
        <f t="shared" si="36"/>
        <v>0</v>
      </c>
      <c r="K61" s="200">
        <f t="shared" si="36"/>
        <v>0</v>
      </c>
      <c r="L61" s="200">
        <f t="shared" si="36"/>
        <v>0</v>
      </c>
      <c r="M61" s="200">
        <f t="shared" si="36"/>
        <v>0</v>
      </c>
      <c r="N61" s="200">
        <f t="shared" si="36"/>
        <v>0</v>
      </c>
      <c r="O61" s="200">
        <f t="shared" si="37"/>
        <v>0</v>
      </c>
      <c r="P61" s="200">
        <f t="shared" si="37"/>
        <v>0</v>
      </c>
      <c r="Q61" s="200">
        <f t="shared" si="37"/>
        <v>0</v>
      </c>
      <c r="R61" s="200">
        <f t="shared" si="37"/>
        <v>0</v>
      </c>
      <c r="S61" s="200">
        <f t="shared" si="37"/>
        <v>0</v>
      </c>
      <c r="T61" s="200">
        <f t="shared" si="37"/>
        <v>0</v>
      </c>
      <c r="U61" s="200">
        <f t="shared" si="37"/>
        <v>0</v>
      </c>
      <c r="V61" s="200">
        <f t="shared" si="37"/>
        <v>0</v>
      </c>
      <c r="W61" s="200">
        <f t="shared" si="37"/>
        <v>0</v>
      </c>
      <c r="X61" s="200">
        <f t="shared" si="37"/>
        <v>0</v>
      </c>
      <c r="Y61" s="200">
        <f t="shared" si="38"/>
        <v>0</v>
      </c>
      <c r="Z61" s="200">
        <f t="shared" si="38"/>
        <v>0</v>
      </c>
      <c r="AA61" s="200">
        <f t="shared" si="38"/>
        <v>0</v>
      </c>
      <c r="AB61" s="200">
        <f t="shared" si="38"/>
        <v>0</v>
      </c>
      <c r="AC61" s="200">
        <f t="shared" si="38"/>
        <v>0</v>
      </c>
      <c r="AD61" s="200">
        <f t="shared" si="38"/>
        <v>0</v>
      </c>
      <c r="AE61" s="200">
        <f t="shared" si="38"/>
        <v>0</v>
      </c>
      <c r="AF61" s="200">
        <f t="shared" si="38"/>
        <v>0</v>
      </c>
      <c r="AG61" s="200">
        <f t="shared" si="38"/>
        <v>0</v>
      </c>
      <c r="AH61" s="200">
        <f t="shared" si="38"/>
        <v>0</v>
      </c>
      <c r="AI61" s="200">
        <f t="shared" si="39"/>
        <v>0</v>
      </c>
      <c r="AJ61" s="200">
        <f t="shared" si="39"/>
        <v>0</v>
      </c>
      <c r="AK61" s="200">
        <f t="shared" si="39"/>
        <v>0</v>
      </c>
      <c r="AL61" s="200">
        <f t="shared" si="39"/>
        <v>0</v>
      </c>
      <c r="AM61" s="200">
        <f t="shared" si="39"/>
        <v>0</v>
      </c>
      <c r="AN61" s="200">
        <f t="shared" si="39"/>
        <v>0</v>
      </c>
      <c r="AO61" s="200">
        <f t="shared" si="39"/>
        <v>0</v>
      </c>
      <c r="AP61" s="200">
        <f t="shared" si="39"/>
        <v>0</v>
      </c>
      <c r="AQ61" s="200">
        <f t="shared" si="39"/>
        <v>0</v>
      </c>
      <c r="AR61" s="201">
        <f t="shared" si="39"/>
        <v>0</v>
      </c>
    </row>
    <row r="62" spans="2:44" s="13" customFormat="1" outlineLevel="1">
      <c r="B62" s="192"/>
      <c r="C62" s="193" t="str">
        <f t="shared" si="30"/>
        <v/>
      </c>
      <c r="D62" s="198">
        <f t="shared" si="31"/>
        <v>0</v>
      </c>
      <c r="E62" s="199">
        <f t="shared" ref="E62:N71" si="40">IF(OR($C62="",Year&gt;Contract_Length),,IF(Year&lt;INDEX(Year,1,5+ROW()-ROW($A$42)),,IF(Year&gt;INDEX(Year,1,5+ROW()-ROW($A$42))+Invest_Period-1,,$D62/Invest_Period)))</f>
        <v>0</v>
      </c>
      <c r="F62" s="200">
        <f t="shared" si="40"/>
        <v>0</v>
      </c>
      <c r="G62" s="200">
        <f t="shared" si="40"/>
        <v>0</v>
      </c>
      <c r="H62" s="200">
        <f t="shared" si="40"/>
        <v>0</v>
      </c>
      <c r="I62" s="200">
        <f t="shared" si="40"/>
        <v>0</v>
      </c>
      <c r="J62" s="200">
        <f t="shared" si="40"/>
        <v>0</v>
      </c>
      <c r="K62" s="200">
        <f t="shared" si="40"/>
        <v>0</v>
      </c>
      <c r="L62" s="200">
        <f t="shared" si="40"/>
        <v>0</v>
      </c>
      <c r="M62" s="200">
        <f t="shared" si="40"/>
        <v>0</v>
      </c>
      <c r="N62" s="200">
        <f t="shared" si="40"/>
        <v>0</v>
      </c>
      <c r="O62" s="200">
        <f t="shared" ref="O62:X71" si="41">IF(OR($C62="",Year&gt;Contract_Length),,IF(Year&lt;INDEX(Year,1,5+ROW()-ROW($A$42)),,IF(Year&gt;INDEX(Year,1,5+ROW()-ROW($A$42))+Invest_Period-1,,$D62/Invest_Period)))</f>
        <v>0</v>
      </c>
      <c r="P62" s="200">
        <f t="shared" si="41"/>
        <v>0</v>
      </c>
      <c r="Q62" s="200">
        <f t="shared" si="41"/>
        <v>0</v>
      </c>
      <c r="R62" s="200">
        <f t="shared" si="41"/>
        <v>0</v>
      </c>
      <c r="S62" s="200">
        <f t="shared" si="41"/>
        <v>0</v>
      </c>
      <c r="T62" s="200">
        <f t="shared" si="41"/>
        <v>0</v>
      </c>
      <c r="U62" s="200">
        <f t="shared" si="41"/>
        <v>0</v>
      </c>
      <c r="V62" s="200">
        <f t="shared" si="41"/>
        <v>0</v>
      </c>
      <c r="W62" s="200">
        <f t="shared" si="41"/>
        <v>0</v>
      </c>
      <c r="X62" s="200">
        <f t="shared" si="41"/>
        <v>0</v>
      </c>
      <c r="Y62" s="200">
        <f t="shared" ref="Y62:AH71" si="42">IF(OR($C62="",Year&gt;Contract_Length),,IF(Year&lt;INDEX(Year,1,5+ROW()-ROW($A$42)),,IF(Year&gt;INDEX(Year,1,5+ROW()-ROW($A$42))+Invest_Period-1,,$D62/Invest_Period)))</f>
        <v>0</v>
      </c>
      <c r="Z62" s="200">
        <f t="shared" si="42"/>
        <v>0</v>
      </c>
      <c r="AA62" s="200">
        <f t="shared" si="42"/>
        <v>0</v>
      </c>
      <c r="AB62" s="200">
        <f t="shared" si="42"/>
        <v>0</v>
      </c>
      <c r="AC62" s="200">
        <f t="shared" si="42"/>
        <v>0</v>
      </c>
      <c r="AD62" s="200">
        <f t="shared" si="42"/>
        <v>0</v>
      </c>
      <c r="AE62" s="200">
        <f t="shared" si="42"/>
        <v>0</v>
      </c>
      <c r="AF62" s="200">
        <f t="shared" si="42"/>
        <v>0</v>
      </c>
      <c r="AG62" s="200">
        <f t="shared" si="42"/>
        <v>0</v>
      </c>
      <c r="AH62" s="200">
        <f t="shared" si="42"/>
        <v>0</v>
      </c>
      <c r="AI62" s="200">
        <f t="shared" ref="AI62:AR71" si="43">IF(OR($C62="",Year&gt;Contract_Length),,IF(Year&lt;INDEX(Year,1,5+ROW()-ROW($A$42)),,IF(Year&gt;INDEX(Year,1,5+ROW()-ROW($A$42))+Invest_Period-1,,$D62/Invest_Period)))</f>
        <v>0</v>
      </c>
      <c r="AJ62" s="200">
        <f t="shared" si="43"/>
        <v>0</v>
      </c>
      <c r="AK62" s="200">
        <f t="shared" si="43"/>
        <v>0</v>
      </c>
      <c r="AL62" s="200">
        <f t="shared" si="43"/>
        <v>0</v>
      </c>
      <c r="AM62" s="200">
        <f t="shared" si="43"/>
        <v>0</v>
      </c>
      <c r="AN62" s="200">
        <f t="shared" si="43"/>
        <v>0</v>
      </c>
      <c r="AO62" s="200">
        <f t="shared" si="43"/>
        <v>0</v>
      </c>
      <c r="AP62" s="200">
        <f t="shared" si="43"/>
        <v>0</v>
      </c>
      <c r="AQ62" s="200">
        <f t="shared" si="43"/>
        <v>0</v>
      </c>
      <c r="AR62" s="201">
        <f t="shared" si="43"/>
        <v>0</v>
      </c>
    </row>
    <row r="63" spans="2:44" s="13" customFormat="1" outlineLevel="1">
      <c r="B63" s="192"/>
      <c r="C63" s="193" t="str">
        <f t="shared" si="30"/>
        <v/>
      </c>
      <c r="D63" s="198">
        <f t="shared" si="31"/>
        <v>0</v>
      </c>
      <c r="E63" s="199">
        <f t="shared" si="40"/>
        <v>0</v>
      </c>
      <c r="F63" s="200">
        <f t="shared" si="40"/>
        <v>0</v>
      </c>
      <c r="G63" s="200">
        <f t="shared" si="40"/>
        <v>0</v>
      </c>
      <c r="H63" s="200">
        <f t="shared" si="40"/>
        <v>0</v>
      </c>
      <c r="I63" s="200">
        <f t="shared" si="40"/>
        <v>0</v>
      </c>
      <c r="J63" s="200">
        <f t="shared" si="40"/>
        <v>0</v>
      </c>
      <c r="K63" s="200">
        <f t="shared" si="40"/>
        <v>0</v>
      </c>
      <c r="L63" s="200">
        <f t="shared" si="40"/>
        <v>0</v>
      </c>
      <c r="M63" s="200">
        <f t="shared" si="40"/>
        <v>0</v>
      </c>
      <c r="N63" s="200">
        <f t="shared" si="40"/>
        <v>0</v>
      </c>
      <c r="O63" s="200">
        <f t="shared" si="41"/>
        <v>0</v>
      </c>
      <c r="P63" s="200">
        <f t="shared" si="41"/>
        <v>0</v>
      </c>
      <c r="Q63" s="200">
        <f t="shared" si="41"/>
        <v>0</v>
      </c>
      <c r="R63" s="200">
        <f t="shared" si="41"/>
        <v>0</v>
      </c>
      <c r="S63" s="200">
        <f t="shared" si="41"/>
        <v>0</v>
      </c>
      <c r="T63" s="200">
        <f t="shared" si="41"/>
        <v>0</v>
      </c>
      <c r="U63" s="200">
        <f t="shared" si="41"/>
        <v>0</v>
      </c>
      <c r="V63" s="200">
        <f t="shared" si="41"/>
        <v>0</v>
      </c>
      <c r="W63" s="200">
        <f t="shared" si="41"/>
        <v>0</v>
      </c>
      <c r="X63" s="200">
        <f t="shared" si="41"/>
        <v>0</v>
      </c>
      <c r="Y63" s="200">
        <f t="shared" si="42"/>
        <v>0</v>
      </c>
      <c r="Z63" s="200">
        <f t="shared" si="42"/>
        <v>0</v>
      </c>
      <c r="AA63" s="200">
        <f t="shared" si="42"/>
        <v>0</v>
      </c>
      <c r="AB63" s="200">
        <f t="shared" si="42"/>
        <v>0</v>
      </c>
      <c r="AC63" s="200">
        <f t="shared" si="42"/>
        <v>0</v>
      </c>
      <c r="AD63" s="200">
        <f t="shared" si="42"/>
        <v>0</v>
      </c>
      <c r="AE63" s="200">
        <f t="shared" si="42"/>
        <v>0</v>
      </c>
      <c r="AF63" s="200">
        <f t="shared" si="42"/>
        <v>0</v>
      </c>
      <c r="AG63" s="200">
        <f t="shared" si="42"/>
        <v>0</v>
      </c>
      <c r="AH63" s="200">
        <f t="shared" si="42"/>
        <v>0</v>
      </c>
      <c r="AI63" s="200">
        <f t="shared" si="43"/>
        <v>0</v>
      </c>
      <c r="AJ63" s="200">
        <f t="shared" si="43"/>
        <v>0</v>
      </c>
      <c r="AK63" s="200">
        <f t="shared" si="43"/>
        <v>0</v>
      </c>
      <c r="AL63" s="200">
        <f t="shared" si="43"/>
        <v>0</v>
      </c>
      <c r="AM63" s="200">
        <f t="shared" si="43"/>
        <v>0</v>
      </c>
      <c r="AN63" s="200">
        <f t="shared" si="43"/>
        <v>0</v>
      </c>
      <c r="AO63" s="200">
        <f t="shared" si="43"/>
        <v>0</v>
      </c>
      <c r="AP63" s="200">
        <f t="shared" si="43"/>
        <v>0</v>
      </c>
      <c r="AQ63" s="200">
        <f t="shared" si="43"/>
        <v>0</v>
      </c>
      <c r="AR63" s="201">
        <f t="shared" si="43"/>
        <v>0</v>
      </c>
    </row>
    <row r="64" spans="2:44" s="13" customFormat="1" outlineLevel="1">
      <c r="B64" s="192"/>
      <c r="C64" s="193" t="str">
        <f t="shared" si="30"/>
        <v/>
      </c>
      <c r="D64" s="198">
        <f t="shared" si="31"/>
        <v>0</v>
      </c>
      <c r="E64" s="199">
        <f t="shared" si="40"/>
        <v>0</v>
      </c>
      <c r="F64" s="200">
        <f t="shared" si="40"/>
        <v>0</v>
      </c>
      <c r="G64" s="200">
        <f t="shared" si="40"/>
        <v>0</v>
      </c>
      <c r="H64" s="200">
        <f t="shared" si="40"/>
        <v>0</v>
      </c>
      <c r="I64" s="200">
        <f t="shared" si="40"/>
        <v>0</v>
      </c>
      <c r="J64" s="200">
        <f t="shared" si="40"/>
        <v>0</v>
      </c>
      <c r="K64" s="200">
        <f t="shared" si="40"/>
        <v>0</v>
      </c>
      <c r="L64" s="200">
        <f t="shared" si="40"/>
        <v>0</v>
      </c>
      <c r="M64" s="200">
        <f t="shared" si="40"/>
        <v>0</v>
      </c>
      <c r="N64" s="200">
        <f t="shared" si="40"/>
        <v>0</v>
      </c>
      <c r="O64" s="200">
        <f t="shared" si="41"/>
        <v>0</v>
      </c>
      <c r="P64" s="200">
        <f t="shared" si="41"/>
        <v>0</v>
      </c>
      <c r="Q64" s="200">
        <f t="shared" si="41"/>
        <v>0</v>
      </c>
      <c r="R64" s="200">
        <f t="shared" si="41"/>
        <v>0</v>
      </c>
      <c r="S64" s="200">
        <f t="shared" si="41"/>
        <v>0</v>
      </c>
      <c r="T64" s="200">
        <f t="shared" si="41"/>
        <v>0</v>
      </c>
      <c r="U64" s="200">
        <f t="shared" si="41"/>
        <v>0</v>
      </c>
      <c r="V64" s="200">
        <f t="shared" si="41"/>
        <v>0</v>
      </c>
      <c r="W64" s="200">
        <f t="shared" si="41"/>
        <v>0</v>
      </c>
      <c r="X64" s="200">
        <f t="shared" si="41"/>
        <v>0</v>
      </c>
      <c r="Y64" s="200">
        <f t="shared" si="42"/>
        <v>0</v>
      </c>
      <c r="Z64" s="200">
        <f t="shared" si="42"/>
        <v>0</v>
      </c>
      <c r="AA64" s="200">
        <f t="shared" si="42"/>
        <v>0</v>
      </c>
      <c r="AB64" s="200">
        <f t="shared" si="42"/>
        <v>0</v>
      </c>
      <c r="AC64" s="200">
        <f t="shared" si="42"/>
        <v>0</v>
      </c>
      <c r="AD64" s="200">
        <f t="shared" si="42"/>
        <v>0</v>
      </c>
      <c r="AE64" s="200">
        <f t="shared" si="42"/>
        <v>0</v>
      </c>
      <c r="AF64" s="200">
        <f t="shared" si="42"/>
        <v>0</v>
      </c>
      <c r="AG64" s="200">
        <f t="shared" si="42"/>
        <v>0</v>
      </c>
      <c r="AH64" s="200">
        <f t="shared" si="42"/>
        <v>0</v>
      </c>
      <c r="AI64" s="200">
        <f t="shared" si="43"/>
        <v>0</v>
      </c>
      <c r="AJ64" s="200">
        <f t="shared" si="43"/>
        <v>0</v>
      </c>
      <c r="AK64" s="200">
        <f t="shared" si="43"/>
        <v>0</v>
      </c>
      <c r="AL64" s="200">
        <f t="shared" si="43"/>
        <v>0</v>
      </c>
      <c r="AM64" s="200">
        <f t="shared" si="43"/>
        <v>0</v>
      </c>
      <c r="AN64" s="200">
        <f t="shared" si="43"/>
        <v>0</v>
      </c>
      <c r="AO64" s="200">
        <f t="shared" si="43"/>
        <v>0</v>
      </c>
      <c r="AP64" s="200">
        <f t="shared" si="43"/>
        <v>0</v>
      </c>
      <c r="AQ64" s="200">
        <f t="shared" si="43"/>
        <v>0</v>
      </c>
      <c r="AR64" s="201">
        <f t="shared" si="43"/>
        <v>0</v>
      </c>
    </row>
    <row r="65" spans="2:44" s="13" customFormat="1" outlineLevel="1">
      <c r="B65" s="192"/>
      <c r="C65" s="193" t="str">
        <f t="shared" si="30"/>
        <v/>
      </c>
      <c r="D65" s="198">
        <f t="shared" si="31"/>
        <v>0</v>
      </c>
      <c r="E65" s="199">
        <f t="shared" si="40"/>
        <v>0</v>
      </c>
      <c r="F65" s="200">
        <f t="shared" si="40"/>
        <v>0</v>
      </c>
      <c r="G65" s="200">
        <f t="shared" si="40"/>
        <v>0</v>
      </c>
      <c r="H65" s="200">
        <f t="shared" si="40"/>
        <v>0</v>
      </c>
      <c r="I65" s="200">
        <f t="shared" si="40"/>
        <v>0</v>
      </c>
      <c r="J65" s="200">
        <f t="shared" si="40"/>
        <v>0</v>
      </c>
      <c r="K65" s="200">
        <f t="shared" si="40"/>
        <v>0</v>
      </c>
      <c r="L65" s="200">
        <f t="shared" si="40"/>
        <v>0</v>
      </c>
      <c r="M65" s="200">
        <f t="shared" si="40"/>
        <v>0</v>
      </c>
      <c r="N65" s="200">
        <f t="shared" si="40"/>
        <v>0</v>
      </c>
      <c r="O65" s="200">
        <f t="shared" si="41"/>
        <v>0</v>
      </c>
      <c r="P65" s="200">
        <f t="shared" si="41"/>
        <v>0</v>
      </c>
      <c r="Q65" s="200">
        <f t="shared" si="41"/>
        <v>0</v>
      </c>
      <c r="R65" s="200">
        <f t="shared" si="41"/>
        <v>0</v>
      </c>
      <c r="S65" s="200">
        <f t="shared" si="41"/>
        <v>0</v>
      </c>
      <c r="T65" s="200">
        <f t="shared" si="41"/>
        <v>0</v>
      </c>
      <c r="U65" s="200">
        <f t="shared" si="41"/>
        <v>0</v>
      </c>
      <c r="V65" s="200">
        <f t="shared" si="41"/>
        <v>0</v>
      </c>
      <c r="W65" s="200">
        <f t="shared" si="41"/>
        <v>0</v>
      </c>
      <c r="X65" s="200">
        <f t="shared" si="41"/>
        <v>0</v>
      </c>
      <c r="Y65" s="200">
        <f t="shared" si="42"/>
        <v>0</v>
      </c>
      <c r="Z65" s="200">
        <f t="shared" si="42"/>
        <v>0</v>
      </c>
      <c r="AA65" s="200">
        <f t="shared" si="42"/>
        <v>0</v>
      </c>
      <c r="AB65" s="200">
        <f t="shared" si="42"/>
        <v>0</v>
      </c>
      <c r="AC65" s="200">
        <f t="shared" si="42"/>
        <v>0</v>
      </c>
      <c r="AD65" s="200">
        <f t="shared" si="42"/>
        <v>0</v>
      </c>
      <c r="AE65" s="200">
        <f t="shared" si="42"/>
        <v>0</v>
      </c>
      <c r="AF65" s="200">
        <f t="shared" si="42"/>
        <v>0</v>
      </c>
      <c r="AG65" s="200">
        <f t="shared" si="42"/>
        <v>0</v>
      </c>
      <c r="AH65" s="200">
        <f t="shared" si="42"/>
        <v>0</v>
      </c>
      <c r="AI65" s="200">
        <f t="shared" si="43"/>
        <v>0</v>
      </c>
      <c r="AJ65" s="200">
        <f t="shared" si="43"/>
        <v>0</v>
      </c>
      <c r="AK65" s="200">
        <f t="shared" si="43"/>
        <v>0</v>
      </c>
      <c r="AL65" s="200">
        <f t="shared" si="43"/>
        <v>0</v>
      </c>
      <c r="AM65" s="200">
        <f t="shared" si="43"/>
        <v>0</v>
      </c>
      <c r="AN65" s="200">
        <f t="shared" si="43"/>
        <v>0</v>
      </c>
      <c r="AO65" s="200">
        <f t="shared" si="43"/>
        <v>0</v>
      </c>
      <c r="AP65" s="200">
        <f t="shared" si="43"/>
        <v>0</v>
      </c>
      <c r="AQ65" s="200">
        <f t="shared" si="43"/>
        <v>0</v>
      </c>
      <c r="AR65" s="201">
        <f t="shared" si="43"/>
        <v>0</v>
      </c>
    </row>
    <row r="66" spans="2:44" s="13" customFormat="1" outlineLevel="1">
      <c r="B66" s="192"/>
      <c r="C66" s="193" t="str">
        <f t="shared" si="30"/>
        <v/>
      </c>
      <c r="D66" s="198">
        <f t="shared" si="31"/>
        <v>0</v>
      </c>
      <c r="E66" s="199">
        <f t="shared" si="40"/>
        <v>0</v>
      </c>
      <c r="F66" s="200">
        <f t="shared" si="40"/>
        <v>0</v>
      </c>
      <c r="G66" s="200">
        <f t="shared" si="40"/>
        <v>0</v>
      </c>
      <c r="H66" s="200">
        <f t="shared" si="40"/>
        <v>0</v>
      </c>
      <c r="I66" s="200">
        <f t="shared" si="40"/>
        <v>0</v>
      </c>
      <c r="J66" s="200">
        <f t="shared" si="40"/>
        <v>0</v>
      </c>
      <c r="K66" s="200">
        <f t="shared" si="40"/>
        <v>0</v>
      </c>
      <c r="L66" s="200">
        <f t="shared" si="40"/>
        <v>0</v>
      </c>
      <c r="M66" s="200">
        <f t="shared" si="40"/>
        <v>0</v>
      </c>
      <c r="N66" s="200">
        <f t="shared" si="40"/>
        <v>0</v>
      </c>
      <c r="O66" s="200">
        <f t="shared" si="41"/>
        <v>0</v>
      </c>
      <c r="P66" s="200">
        <f t="shared" si="41"/>
        <v>0</v>
      </c>
      <c r="Q66" s="200">
        <f t="shared" si="41"/>
        <v>0</v>
      </c>
      <c r="R66" s="200">
        <f t="shared" si="41"/>
        <v>0</v>
      </c>
      <c r="S66" s="200">
        <f t="shared" si="41"/>
        <v>0</v>
      </c>
      <c r="T66" s="200">
        <f t="shared" si="41"/>
        <v>0</v>
      </c>
      <c r="U66" s="200">
        <f t="shared" si="41"/>
        <v>0</v>
      </c>
      <c r="V66" s="200">
        <f t="shared" si="41"/>
        <v>0</v>
      </c>
      <c r="W66" s="200">
        <f t="shared" si="41"/>
        <v>0</v>
      </c>
      <c r="X66" s="200">
        <f t="shared" si="41"/>
        <v>0</v>
      </c>
      <c r="Y66" s="200">
        <f t="shared" si="42"/>
        <v>0</v>
      </c>
      <c r="Z66" s="200">
        <f t="shared" si="42"/>
        <v>0</v>
      </c>
      <c r="AA66" s="200">
        <f t="shared" si="42"/>
        <v>0</v>
      </c>
      <c r="AB66" s="200">
        <f t="shared" si="42"/>
        <v>0</v>
      </c>
      <c r="AC66" s="200">
        <f t="shared" si="42"/>
        <v>0</v>
      </c>
      <c r="AD66" s="200">
        <f t="shared" si="42"/>
        <v>0</v>
      </c>
      <c r="AE66" s="200">
        <f t="shared" si="42"/>
        <v>0</v>
      </c>
      <c r="AF66" s="200">
        <f t="shared" si="42"/>
        <v>0</v>
      </c>
      <c r="AG66" s="200">
        <f t="shared" si="42"/>
        <v>0</v>
      </c>
      <c r="AH66" s="200">
        <f t="shared" si="42"/>
        <v>0</v>
      </c>
      <c r="AI66" s="200">
        <f t="shared" si="43"/>
        <v>0</v>
      </c>
      <c r="AJ66" s="200">
        <f t="shared" si="43"/>
        <v>0</v>
      </c>
      <c r="AK66" s="200">
        <f t="shared" si="43"/>
        <v>0</v>
      </c>
      <c r="AL66" s="200">
        <f t="shared" si="43"/>
        <v>0</v>
      </c>
      <c r="AM66" s="200">
        <f t="shared" si="43"/>
        <v>0</v>
      </c>
      <c r="AN66" s="200">
        <f t="shared" si="43"/>
        <v>0</v>
      </c>
      <c r="AO66" s="200">
        <f t="shared" si="43"/>
        <v>0</v>
      </c>
      <c r="AP66" s="200">
        <f t="shared" si="43"/>
        <v>0</v>
      </c>
      <c r="AQ66" s="200">
        <f t="shared" si="43"/>
        <v>0</v>
      </c>
      <c r="AR66" s="201">
        <f t="shared" si="43"/>
        <v>0</v>
      </c>
    </row>
    <row r="67" spans="2:44" s="13" customFormat="1" outlineLevel="1">
      <c r="B67" s="192"/>
      <c r="C67" s="193" t="str">
        <f t="shared" si="30"/>
        <v/>
      </c>
      <c r="D67" s="198">
        <f t="shared" si="31"/>
        <v>0</v>
      </c>
      <c r="E67" s="199">
        <f t="shared" si="40"/>
        <v>0</v>
      </c>
      <c r="F67" s="200">
        <f t="shared" si="40"/>
        <v>0</v>
      </c>
      <c r="G67" s="200">
        <f t="shared" si="40"/>
        <v>0</v>
      </c>
      <c r="H67" s="200">
        <f t="shared" si="40"/>
        <v>0</v>
      </c>
      <c r="I67" s="200">
        <f t="shared" si="40"/>
        <v>0</v>
      </c>
      <c r="J67" s="200">
        <f t="shared" si="40"/>
        <v>0</v>
      </c>
      <c r="K67" s="200">
        <f t="shared" si="40"/>
        <v>0</v>
      </c>
      <c r="L67" s="200">
        <f t="shared" si="40"/>
        <v>0</v>
      </c>
      <c r="M67" s="200">
        <f t="shared" si="40"/>
        <v>0</v>
      </c>
      <c r="N67" s="200">
        <f t="shared" si="40"/>
        <v>0</v>
      </c>
      <c r="O67" s="200">
        <f t="shared" si="41"/>
        <v>0</v>
      </c>
      <c r="P67" s="200">
        <f t="shared" si="41"/>
        <v>0</v>
      </c>
      <c r="Q67" s="200">
        <f t="shared" si="41"/>
        <v>0</v>
      </c>
      <c r="R67" s="200">
        <f t="shared" si="41"/>
        <v>0</v>
      </c>
      <c r="S67" s="200">
        <f t="shared" si="41"/>
        <v>0</v>
      </c>
      <c r="T67" s="200">
        <f t="shared" si="41"/>
        <v>0</v>
      </c>
      <c r="U67" s="200">
        <f t="shared" si="41"/>
        <v>0</v>
      </c>
      <c r="V67" s="200">
        <f t="shared" si="41"/>
        <v>0</v>
      </c>
      <c r="W67" s="200">
        <f t="shared" si="41"/>
        <v>0</v>
      </c>
      <c r="X67" s="200">
        <f t="shared" si="41"/>
        <v>0</v>
      </c>
      <c r="Y67" s="200">
        <f t="shared" si="42"/>
        <v>0</v>
      </c>
      <c r="Z67" s="200">
        <f t="shared" si="42"/>
        <v>0</v>
      </c>
      <c r="AA67" s="200">
        <f t="shared" si="42"/>
        <v>0</v>
      </c>
      <c r="AB67" s="200">
        <f t="shared" si="42"/>
        <v>0</v>
      </c>
      <c r="AC67" s="200">
        <f t="shared" si="42"/>
        <v>0</v>
      </c>
      <c r="AD67" s="200">
        <f t="shared" si="42"/>
        <v>0</v>
      </c>
      <c r="AE67" s="200">
        <f t="shared" si="42"/>
        <v>0</v>
      </c>
      <c r="AF67" s="200">
        <f t="shared" si="42"/>
        <v>0</v>
      </c>
      <c r="AG67" s="200">
        <f t="shared" si="42"/>
        <v>0</v>
      </c>
      <c r="AH67" s="200">
        <f t="shared" si="42"/>
        <v>0</v>
      </c>
      <c r="AI67" s="200">
        <f t="shared" si="43"/>
        <v>0</v>
      </c>
      <c r="AJ67" s="200">
        <f t="shared" si="43"/>
        <v>0</v>
      </c>
      <c r="AK67" s="200">
        <f t="shared" si="43"/>
        <v>0</v>
      </c>
      <c r="AL67" s="200">
        <f t="shared" si="43"/>
        <v>0</v>
      </c>
      <c r="AM67" s="200">
        <f t="shared" si="43"/>
        <v>0</v>
      </c>
      <c r="AN67" s="200">
        <f t="shared" si="43"/>
        <v>0</v>
      </c>
      <c r="AO67" s="200">
        <f t="shared" si="43"/>
        <v>0</v>
      </c>
      <c r="AP67" s="200">
        <f t="shared" si="43"/>
        <v>0</v>
      </c>
      <c r="AQ67" s="200">
        <f t="shared" si="43"/>
        <v>0</v>
      </c>
      <c r="AR67" s="201">
        <f t="shared" si="43"/>
        <v>0</v>
      </c>
    </row>
    <row r="68" spans="2:44" s="13" customFormat="1" outlineLevel="1">
      <c r="B68" s="192"/>
      <c r="C68" s="193" t="str">
        <f t="shared" si="30"/>
        <v/>
      </c>
      <c r="D68" s="198">
        <f t="shared" si="31"/>
        <v>0</v>
      </c>
      <c r="E68" s="199">
        <f t="shared" si="40"/>
        <v>0</v>
      </c>
      <c r="F68" s="200">
        <f t="shared" si="40"/>
        <v>0</v>
      </c>
      <c r="G68" s="200">
        <f t="shared" si="40"/>
        <v>0</v>
      </c>
      <c r="H68" s="200">
        <f t="shared" si="40"/>
        <v>0</v>
      </c>
      <c r="I68" s="200">
        <f t="shared" si="40"/>
        <v>0</v>
      </c>
      <c r="J68" s="200">
        <f t="shared" si="40"/>
        <v>0</v>
      </c>
      <c r="K68" s="200">
        <f t="shared" si="40"/>
        <v>0</v>
      </c>
      <c r="L68" s="200">
        <f t="shared" si="40"/>
        <v>0</v>
      </c>
      <c r="M68" s="200">
        <f t="shared" si="40"/>
        <v>0</v>
      </c>
      <c r="N68" s="200">
        <f t="shared" si="40"/>
        <v>0</v>
      </c>
      <c r="O68" s="200">
        <f t="shared" si="41"/>
        <v>0</v>
      </c>
      <c r="P68" s="200">
        <f t="shared" si="41"/>
        <v>0</v>
      </c>
      <c r="Q68" s="200">
        <f t="shared" si="41"/>
        <v>0</v>
      </c>
      <c r="R68" s="200">
        <f t="shared" si="41"/>
        <v>0</v>
      </c>
      <c r="S68" s="200">
        <f t="shared" si="41"/>
        <v>0</v>
      </c>
      <c r="T68" s="200">
        <f t="shared" si="41"/>
        <v>0</v>
      </c>
      <c r="U68" s="200">
        <f t="shared" si="41"/>
        <v>0</v>
      </c>
      <c r="V68" s="200">
        <f t="shared" si="41"/>
        <v>0</v>
      </c>
      <c r="W68" s="200">
        <f t="shared" si="41"/>
        <v>0</v>
      </c>
      <c r="X68" s="200">
        <f t="shared" si="41"/>
        <v>0</v>
      </c>
      <c r="Y68" s="200">
        <f t="shared" si="42"/>
        <v>0</v>
      </c>
      <c r="Z68" s="200">
        <f t="shared" si="42"/>
        <v>0</v>
      </c>
      <c r="AA68" s="200">
        <f t="shared" si="42"/>
        <v>0</v>
      </c>
      <c r="AB68" s="200">
        <f t="shared" si="42"/>
        <v>0</v>
      </c>
      <c r="AC68" s="200">
        <f t="shared" si="42"/>
        <v>0</v>
      </c>
      <c r="AD68" s="200">
        <f t="shared" si="42"/>
        <v>0</v>
      </c>
      <c r="AE68" s="200">
        <f t="shared" si="42"/>
        <v>0</v>
      </c>
      <c r="AF68" s="200">
        <f t="shared" si="42"/>
        <v>0</v>
      </c>
      <c r="AG68" s="200">
        <f t="shared" si="42"/>
        <v>0</v>
      </c>
      <c r="AH68" s="200">
        <f t="shared" si="42"/>
        <v>0</v>
      </c>
      <c r="AI68" s="200">
        <f t="shared" si="43"/>
        <v>0</v>
      </c>
      <c r="AJ68" s="200">
        <f t="shared" si="43"/>
        <v>0</v>
      </c>
      <c r="AK68" s="200">
        <f t="shared" si="43"/>
        <v>0</v>
      </c>
      <c r="AL68" s="200">
        <f t="shared" si="43"/>
        <v>0</v>
      </c>
      <c r="AM68" s="200">
        <f t="shared" si="43"/>
        <v>0</v>
      </c>
      <c r="AN68" s="200">
        <f t="shared" si="43"/>
        <v>0</v>
      </c>
      <c r="AO68" s="200">
        <f t="shared" si="43"/>
        <v>0</v>
      </c>
      <c r="AP68" s="200">
        <f t="shared" si="43"/>
        <v>0</v>
      </c>
      <c r="AQ68" s="200">
        <f t="shared" si="43"/>
        <v>0</v>
      </c>
      <c r="AR68" s="201">
        <f t="shared" si="43"/>
        <v>0</v>
      </c>
    </row>
    <row r="69" spans="2:44" s="13" customFormat="1" outlineLevel="1">
      <c r="B69" s="192"/>
      <c r="C69" s="193" t="str">
        <f t="shared" si="30"/>
        <v/>
      </c>
      <c r="D69" s="198">
        <f t="shared" si="31"/>
        <v>0</v>
      </c>
      <c r="E69" s="199">
        <f t="shared" si="40"/>
        <v>0</v>
      </c>
      <c r="F69" s="200">
        <f t="shared" si="40"/>
        <v>0</v>
      </c>
      <c r="G69" s="200">
        <f t="shared" si="40"/>
        <v>0</v>
      </c>
      <c r="H69" s="200">
        <f t="shared" si="40"/>
        <v>0</v>
      </c>
      <c r="I69" s="200">
        <f t="shared" si="40"/>
        <v>0</v>
      </c>
      <c r="J69" s="200">
        <f t="shared" si="40"/>
        <v>0</v>
      </c>
      <c r="K69" s="200">
        <f t="shared" si="40"/>
        <v>0</v>
      </c>
      <c r="L69" s="200">
        <f t="shared" si="40"/>
        <v>0</v>
      </c>
      <c r="M69" s="200">
        <f t="shared" si="40"/>
        <v>0</v>
      </c>
      <c r="N69" s="200">
        <f t="shared" si="40"/>
        <v>0</v>
      </c>
      <c r="O69" s="200">
        <f t="shared" si="41"/>
        <v>0</v>
      </c>
      <c r="P69" s="200">
        <f t="shared" si="41"/>
        <v>0</v>
      </c>
      <c r="Q69" s="200">
        <f t="shared" si="41"/>
        <v>0</v>
      </c>
      <c r="R69" s="200">
        <f t="shared" si="41"/>
        <v>0</v>
      </c>
      <c r="S69" s="200">
        <f t="shared" si="41"/>
        <v>0</v>
      </c>
      <c r="T69" s="200">
        <f t="shared" si="41"/>
        <v>0</v>
      </c>
      <c r="U69" s="200">
        <f t="shared" si="41"/>
        <v>0</v>
      </c>
      <c r="V69" s="200">
        <f t="shared" si="41"/>
        <v>0</v>
      </c>
      <c r="W69" s="200">
        <f t="shared" si="41"/>
        <v>0</v>
      </c>
      <c r="X69" s="200">
        <f t="shared" si="41"/>
        <v>0</v>
      </c>
      <c r="Y69" s="200">
        <f t="shared" si="42"/>
        <v>0</v>
      </c>
      <c r="Z69" s="200">
        <f t="shared" si="42"/>
        <v>0</v>
      </c>
      <c r="AA69" s="200">
        <f t="shared" si="42"/>
        <v>0</v>
      </c>
      <c r="AB69" s="200">
        <f t="shared" si="42"/>
        <v>0</v>
      </c>
      <c r="AC69" s="200">
        <f t="shared" si="42"/>
        <v>0</v>
      </c>
      <c r="AD69" s="200">
        <f t="shared" si="42"/>
        <v>0</v>
      </c>
      <c r="AE69" s="200">
        <f t="shared" si="42"/>
        <v>0</v>
      </c>
      <c r="AF69" s="200">
        <f t="shared" si="42"/>
        <v>0</v>
      </c>
      <c r="AG69" s="200">
        <f t="shared" si="42"/>
        <v>0</v>
      </c>
      <c r="AH69" s="200">
        <f t="shared" si="42"/>
        <v>0</v>
      </c>
      <c r="AI69" s="200">
        <f t="shared" si="43"/>
        <v>0</v>
      </c>
      <c r="AJ69" s="200">
        <f t="shared" si="43"/>
        <v>0</v>
      </c>
      <c r="AK69" s="200">
        <f t="shared" si="43"/>
        <v>0</v>
      </c>
      <c r="AL69" s="200">
        <f t="shared" si="43"/>
        <v>0</v>
      </c>
      <c r="AM69" s="200">
        <f t="shared" si="43"/>
        <v>0</v>
      </c>
      <c r="AN69" s="200">
        <f t="shared" si="43"/>
        <v>0</v>
      </c>
      <c r="AO69" s="200">
        <f t="shared" si="43"/>
        <v>0</v>
      </c>
      <c r="AP69" s="200">
        <f t="shared" si="43"/>
        <v>0</v>
      </c>
      <c r="AQ69" s="200">
        <f t="shared" si="43"/>
        <v>0</v>
      </c>
      <c r="AR69" s="201">
        <f t="shared" si="43"/>
        <v>0</v>
      </c>
    </row>
    <row r="70" spans="2:44" s="13" customFormat="1" outlineLevel="1">
      <c r="B70" s="192"/>
      <c r="C70" s="193" t="str">
        <f t="shared" si="30"/>
        <v/>
      </c>
      <c r="D70" s="198">
        <f t="shared" si="31"/>
        <v>0</v>
      </c>
      <c r="E70" s="199">
        <f t="shared" si="40"/>
        <v>0</v>
      </c>
      <c r="F70" s="200">
        <f t="shared" si="40"/>
        <v>0</v>
      </c>
      <c r="G70" s="200">
        <f t="shared" si="40"/>
        <v>0</v>
      </c>
      <c r="H70" s="200">
        <f t="shared" si="40"/>
        <v>0</v>
      </c>
      <c r="I70" s="200">
        <f t="shared" si="40"/>
        <v>0</v>
      </c>
      <c r="J70" s="200">
        <f t="shared" si="40"/>
        <v>0</v>
      </c>
      <c r="K70" s="200">
        <f t="shared" si="40"/>
        <v>0</v>
      </c>
      <c r="L70" s="200">
        <f t="shared" si="40"/>
        <v>0</v>
      </c>
      <c r="M70" s="200">
        <f t="shared" si="40"/>
        <v>0</v>
      </c>
      <c r="N70" s="200">
        <f t="shared" si="40"/>
        <v>0</v>
      </c>
      <c r="O70" s="200">
        <f t="shared" si="41"/>
        <v>0</v>
      </c>
      <c r="P70" s="200">
        <f t="shared" si="41"/>
        <v>0</v>
      </c>
      <c r="Q70" s="200">
        <f t="shared" si="41"/>
        <v>0</v>
      </c>
      <c r="R70" s="200">
        <f t="shared" si="41"/>
        <v>0</v>
      </c>
      <c r="S70" s="200">
        <f t="shared" si="41"/>
        <v>0</v>
      </c>
      <c r="T70" s="200">
        <f t="shared" si="41"/>
        <v>0</v>
      </c>
      <c r="U70" s="200">
        <f t="shared" si="41"/>
        <v>0</v>
      </c>
      <c r="V70" s="200">
        <f t="shared" si="41"/>
        <v>0</v>
      </c>
      <c r="W70" s="200">
        <f t="shared" si="41"/>
        <v>0</v>
      </c>
      <c r="X70" s="200">
        <f t="shared" si="41"/>
        <v>0</v>
      </c>
      <c r="Y70" s="200">
        <f t="shared" si="42"/>
        <v>0</v>
      </c>
      <c r="Z70" s="200">
        <f t="shared" si="42"/>
        <v>0</v>
      </c>
      <c r="AA70" s="200">
        <f t="shared" si="42"/>
        <v>0</v>
      </c>
      <c r="AB70" s="200">
        <f t="shared" si="42"/>
        <v>0</v>
      </c>
      <c r="AC70" s="200">
        <f t="shared" si="42"/>
        <v>0</v>
      </c>
      <c r="AD70" s="200">
        <f t="shared" si="42"/>
        <v>0</v>
      </c>
      <c r="AE70" s="200">
        <f t="shared" si="42"/>
        <v>0</v>
      </c>
      <c r="AF70" s="200">
        <f t="shared" si="42"/>
        <v>0</v>
      </c>
      <c r="AG70" s="200">
        <f t="shared" si="42"/>
        <v>0</v>
      </c>
      <c r="AH70" s="200">
        <f t="shared" si="42"/>
        <v>0</v>
      </c>
      <c r="AI70" s="200">
        <f t="shared" si="43"/>
        <v>0</v>
      </c>
      <c r="AJ70" s="200">
        <f t="shared" si="43"/>
        <v>0</v>
      </c>
      <c r="AK70" s="200">
        <f t="shared" si="43"/>
        <v>0</v>
      </c>
      <c r="AL70" s="200">
        <f t="shared" si="43"/>
        <v>0</v>
      </c>
      <c r="AM70" s="200">
        <f t="shared" si="43"/>
        <v>0</v>
      </c>
      <c r="AN70" s="200">
        <f t="shared" si="43"/>
        <v>0</v>
      </c>
      <c r="AO70" s="200">
        <f t="shared" si="43"/>
        <v>0</v>
      </c>
      <c r="AP70" s="200">
        <f t="shared" si="43"/>
        <v>0</v>
      </c>
      <c r="AQ70" s="200">
        <f t="shared" si="43"/>
        <v>0</v>
      </c>
      <c r="AR70" s="201">
        <f t="shared" si="43"/>
        <v>0</v>
      </c>
    </row>
    <row r="71" spans="2:44" s="13" customFormat="1" outlineLevel="1">
      <c r="B71" s="192"/>
      <c r="C71" s="193" t="str">
        <f t="shared" si="30"/>
        <v/>
      </c>
      <c r="D71" s="198">
        <f t="shared" si="31"/>
        <v>0</v>
      </c>
      <c r="E71" s="199">
        <f t="shared" si="40"/>
        <v>0</v>
      </c>
      <c r="F71" s="200">
        <f t="shared" si="40"/>
        <v>0</v>
      </c>
      <c r="G71" s="200">
        <f t="shared" si="40"/>
        <v>0</v>
      </c>
      <c r="H71" s="200">
        <f t="shared" si="40"/>
        <v>0</v>
      </c>
      <c r="I71" s="200">
        <f t="shared" si="40"/>
        <v>0</v>
      </c>
      <c r="J71" s="200">
        <f t="shared" si="40"/>
        <v>0</v>
      </c>
      <c r="K71" s="200">
        <f t="shared" si="40"/>
        <v>0</v>
      </c>
      <c r="L71" s="200">
        <f t="shared" si="40"/>
        <v>0</v>
      </c>
      <c r="M71" s="200">
        <f t="shared" si="40"/>
        <v>0</v>
      </c>
      <c r="N71" s="200">
        <f t="shared" si="40"/>
        <v>0</v>
      </c>
      <c r="O71" s="200">
        <f t="shared" si="41"/>
        <v>0</v>
      </c>
      <c r="P71" s="200">
        <f t="shared" si="41"/>
        <v>0</v>
      </c>
      <c r="Q71" s="200">
        <f t="shared" si="41"/>
        <v>0</v>
      </c>
      <c r="R71" s="200">
        <f t="shared" si="41"/>
        <v>0</v>
      </c>
      <c r="S71" s="200">
        <f t="shared" si="41"/>
        <v>0</v>
      </c>
      <c r="T71" s="200">
        <f t="shared" si="41"/>
        <v>0</v>
      </c>
      <c r="U71" s="200">
        <f t="shared" si="41"/>
        <v>0</v>
      </c>
      <c r="V71" s="200">
        <f t="shared" si="41"/>
        <v>0</v>
      </c>
      <c r="W71" s="200">
        <f t="shared" si="41"/>
        <v>0</v>
      </c>
      <c r="X71" s="200">
        <f t="shared" si="41"/>
        <v>0</v>
      </c>
      <c r="Y71" s="200">
        <f t="shared" si="42"/>
        <v>0</v>
      </c>
      <c r="Z71" s="200">
        <f t="shared" si="42"/>
        <v>0</v>
      </c>
      <c r="AA71" s="200">
        <f t="shared" si="42"/>
        <v>0</v>
      </c>
      <c r="AB71" s="200">
        <f t="shared" si="42"/>
        <v>0</v>
      </c>
      <c r="AC71" s="200">
        <f t="shared" si="42"/>
        <v>0</v>
      </c>
      <c r="AD71" s="200">
        <f t="shared" si="42"/>
        <v>0</v>
      </c>
      <c r="AE71" s="200">
        <f t="shared" si="42"/>
        <v>0</v>
      </c>
      <c r="AF71" s="200">
        <f t="shared" si="42"/>
        <v>0</v>
      </c>
      <c r="AG71" s="200">
        <f t="shared" si="42"/>
        <v>0</v>
      </c>
      <c r="AH71" s="200">
        <f t="shared" si="42"/>
        <v>0</v>
      </c>
      <c r="AI71" s="200">
        <f t="shared" si="43"/>
        <v>0</v>
      </c>
      <c r="AJ71" s="200">
        <f t="shared" si="43"/>
        <v>0</v>
      </c>
      <c r="AK71" s="200">
        <f t="shared" si="43"/>
        <v>0</v>
      </c>
      <c r="AL71" s="200">
        <f t="shared" si="43"/>
        <v>0</v>
      </c>
      <c r="AM71" s="200">
        <f t="shared" si="43"/>
        <v>0</v>
      </c>
      <c r="AN71" s="200">
        <f t="shared" si="43"/>
        <v>0</v>
      </c>
      <c r="AO71" s="200">
        <f t="shared" si="43"/>
        <v>0</v>
      </c>
      <c r="AP71" s="200">
        <f t="shared" si="43"/>
        <v>0</v>
      </c>
      <c r="AQ71" s="200">
        <f t="shared" si="43"/>
        <v>0</v>
      </c>
      <c r="AR71" s="201">
        <f t="shared" si="43"/>
        <v>0</v>
      </c>
    </row>
    <row r="72" spans="2:44" s="13" customFormat="1" outlineLevel="1">
      <c r="B72" s="192"/>
      <c r="C72" s="193" t="str">
        <f t="shared" si="30"/>
        <v/>
      </c>
      <c r="D72" s="198">
        <f t="shared" si="31"/>
        <v>0</v>
      </c>
      <c r="E72" s="199">
        <f t="shared" ref="E72:N81" si="44">IF(OR($C72="",Year&gt;Contract_Length),,IF(Year&lt;INDEX(Year,1,5+ROW()-ROW($A$42)),,IF(Year&gt;INDEX(Year,1,5+ROW()-ROW($A$42))+Invest_Period-1,,$D72/Invest_Period)))</f>
        <v>0</v>
      </c>
      <c r="F72" s="200">
        <f t="shared" si="44"/>
        <v>0</v>
      </c>
      <c r="G72" s="200">
        <f t="shared" si="44"/>
        <v>0</v>
      </c>
      <c r="H72" s="200">
        <f t="shared" si="44"/>
        <v>0</v>
      </c>
      <c r="I72" s="200">
        <f t="shared" si="44"/>
        <v>0</v>
      </c>
      <c r="J72" s="200">
        <f t="shared" si="44"/>
        <v>0</v>
      </c>
      <c r="K72" s="200">
        <f t="shared" si="44"/>
        <v>0</v>
      </c>
      <c r="L72" s="200">
        <f t="shared" si="44"/>
        <v>0</v>
      </c>
      <c r="M72" s="200">
        <f t="shared" si="44"/>
        <v>0</v>
      </c>
      <c r="N72" s="200">
        <f t="shared" si="44"/>
        <v>0</v>
      </c>
      <c r="O72" s="200">
        <f t="shared" ref="O72:X81" si="45">IF(OR($C72="",Year&gt;Contract_Length),,IF(Year&lt;INDEX(Year,1,5+ROW()-ROW($A$42)),,IF(Year&gt;INDEX(Year,1,5+ROW()-ROW($A$42))+Invest_Period-1,,$D72/Invest_Period)))</f>
        <v>0</v>
      </c>
      <c r="P72" s="200">
        <f t="shared" si="45"/>
        <v>0</v>
      </c>
      <c r="Q72" s="200">
        <f t="shared" si="45"/>
        <v>0</v>
      </c>
      <c r="R72" s="200">
        <f t="shared" si="45"/>
        <v>0</v>
      </c>
      <c r="S72" s="200">
        <f t="shared" si="45"/>
        <v>0</v>
      </c>
      <c r="T72" s="200">
        <f t="shared" si="45"/>
        <v>0</v>
      </c>
      <c r="U72" s="200">
        <f t="shared" si="45"/>
        <v>0</v>
      </c>
      <c r="V72" s="200">
        <f t="shared" si="45"/>
        <v>0</v>
      </c>
      <c r="W72" s="200">
        <f t="shared" si="45"/>
        <v>0</v>
      </c>
      <c r="X72" s="200">
        <f t="shared" si="45"/>
        <v>0</v>
      </c>
      <c r="Y72" s="200">
        <f t="shared" ref="Y72:AH81" si="46">IF(OR($C72="",Year&gt;Contract_Length),,IF(Year&lt;INDEX(Year,1,5+ROW()-ROW($A$42)),,IF(Year&gt;INDEX(Year,1,5+ROW()-ROW($A$42))+Invest_Period-1,,$D72/Invest_Period)))</f>
        <v>0</v>
      </c>
      <c r="Z72" s="200">
        <f t="shared" si="46"/>
        <v>0</v>
      </c>
      <c r="AA72" s="200">
        <f t="shared" si="46"/>
        <v>0</v>
      </c>
      <c r="AB72" s="200">
        <f t="shared" si="46"/>
        <v>0</v>
      </c>
      <c r="AC72" s="200">
        <f t="shared" si="46"/>
        <v>0</v>
      </c>
      <c r="AD72" s="200">
        <f t="shared" si="46"/>
        <v>0</v>
      </c>
      <c r="AE72" s="200">
        <f t="shared" si="46"/>
        <v>0</v>
      </c>
      <c r="AF72" s="200">
        <f t="shared" si="46"/>
        <v>0</v>
      </c>
      <c r="AG72" s="200">
        <f t="shared" si="46"/>
        <v>0</v>
      </c>
      <c r="AH72" s="200">
        <f t="shared" si="46"/>
        <v>0</v>
      </c>
      <c r="AI72" s="200">
        <f t="shared" ref="AI72:AR81" si="47">IF(OR($C72="",Year&gt;Contract_Length),,IF(Year&lt;INDEX(Year,1,5+ROW()-ROW($A$42)),,IF(Year&gt;INDEX(Year,1,5+ROW()-ROW($A$42))+Invest_Period-1,,$D72/Invest_Period)))</f>
        <v>0</v>
      </c>
      <c r="AJ72" s="200">
        <f t="shared" si="47"/>
        <v>0</v>
      </c>
      <c r="AK72" s="200">
        <f t="shared" si="47"/>
        <v>0</v>
      </c>
      <c r="AL72" s="200">
        <f t="shared" si="47"/>
        <v>0</v>
      </c>
      <c r="AM72" s="200">
        <f t="shared" si="47"/>
        <v>0</v>
      </c>
      <c r="AN72" s="200">
        <f t="shared" si="47"/>
        <v>0</v>
      </c>
      <c r="AO72" s="200">
        <f t="shared" si="47"/>
        <v>0</v>
      </c>
      <c r="AP72" s="200">
        <f t="shared" si="47"/>
        <v>0</v>
      </c>
      <c r="AQ72" s="200">
        <f t="shared" si="47"/>
        <v>0</v>
      </c>
      <c r="AR72" s="201">
        <f t="shared" si="47"/>
        <v>0</v>
      </c>
    </row>
    <row r="73" spans="2:44" s="13" customFormat="1" outlineLevel="1">
      <c r="B73" s="192"/>
      <c r="C73" s="193" t="str">
        <f t="shared" si="30"/>
        <v/>
      </c>
      <c r="D73" s="198">
        <f t="shared" si="31"/>
        <v>0</v>
      </c>
      <c r="E73" s="199">
        <f t="shared" si="44"/>
        <v>0</v>
      </c>
      <c r="F73" s="200">
        <f t="shared" si="44"/>
        <v>0</v>
      </c>
      <c r="G73" s="200">
        <f t="shared" si="44"/>
        <v>0</v>
      </c>
      <c r="H73" s="200">
        <f t="shared" si="44"/>
        <v>0</v>
      </c>
      <c r="I73" s="200">
        <f t="shared" si="44"/>
        <v>0</v>
      </c>
      <c r="J73" s="200">
        <f t="shared" si="44"/>
        <v>0</v>
      </c>
      <c r="K73" s="200">
        <f t="shared" si="44"/>
        <v>0</v>
      </c>
      <c r="L73" s="200">
        <f t="shared" si="44"/>
        <v>0</v>
      </c>
      <c r="M73" s="200">
        <f t="shared" si="44"/>
        <v>0</v>
      </c>
      <c r="N73" s="200">
        <f t="shared" si="44"/>
        <v>0</v>
      </c>
      <c r="O73" s="200">
        <f t="shared" si="45"/>
        <v>0</v>
      </c>
      <c r="P73" s="200">
        <f t="shared" si="45"/>
        <v>0</v>
      </c>
      <c r="Q73" s="200">
        <f t="shared" si="45"/>
        <v>0</v>
      </c>
      <c r="R73" s="200">
        <f t="shared" si="45"/>
        <v>0</v>
      </c>
      <c r="S73" s="200">
        <f t="shared" si="45"/>
        <v>0</v>
      </c>
      <c r="T73" s="200">
        <f t="shared" si="45"/>
        <v>0</v>
      </c>
      <c r="U73" s="200">
        <f t="shared" si="45"/>
        <v>0</v>
      </c>
      <c r="V73" s="200">
        <f t="shared" si="45"/>
        <v>0</v>
      </c>
      <c r="W73" s="200">
        <f t="shared" si="45"/>
        <v>0</v>
      </c>
      <c r="X73" s="200">
        <f t="shared" si="45"/>
        <v>0</v>
      </c>
      <c r="Y73" s="200">
        <f t="shared" si="46"/>
        <v>0</v>
      </c>
      <c r="Z73" s="200">
        <f t="shared" si="46"/>
        <v>0</v>
      </c>
      <c r="AA73" s="200">
        <f t="shared" si="46"/>
        <v>0</v>
      </c>
      <c r="AB73" s="200">
        <f t="shared" si="46"/>
        <v>0</v>
      </c>
      <c r="AC73" s="200">
        <f t="shared" si="46"/>
        <v>0</v>
      </c>
      <c r="AD73" s="200">
        <f t="shared" si="46"/>
        <v>0</v>
      </c>
      <c r="AE73" s="200">
        <f t="shared" si="46"/>
        <v>0</v>
      </c>
      <c r="AF73" s="200">
        <f t="shared" si="46"/>
        <v>0</v>
      </c>
      <c r="AG73" s="200">
        <f t="shared" si="46"/>
        <v>0</v>
      </c>
      <c r="AH73" s="200">
        <f t="shared" si="46"/>
        <v>0</v>
      </c>
      <c r="AI73" s="200">
        <f t="shared" si="47"/>
        <v>0</v>
      </c>
      <c r="AJ73" s="200">
        <f t="shared" si="47"/>
        <v>0</v>
      </c>
      <c r="AK73" s="200">
        <f t="shared" si="47"/>
        <v>0</v>
      </c>
      <c r="AL73" s="200">
        <f t="shared" si="47"/>
        <v>0</v>
      </c>
      <c r="AM73" s="200">
        <f t="shared" si="47"/>
        <v>0</v>
      </c>
      <c r="AN73" s="200">
        <f t="shared" si="47"/>
        <v>0</v>
      </c>
      <c r="AO73" s="200">
        <f t="shared" si="47"/>
        <v>0</v>
      </c>
      <c r="AP73" s="200">
        <f t="shared" si="47"/>
        <v>0</v>
      </c>
      <c r="AQ73" s="200">
        <f t="shared" si="47"/>
        <v>0</v>
      </c>
      <c r="AR73" s="201">
        <f t="shared" si="47"/>
        <v>0</v>
      </c>
    </row>
    <row r="74" spans="2:44" s="13" customFormat="1" outlineLevel="1">
      <c r="B74" s="192"/>
      <c r="C74" s="193" t="str">
        <f t="shared" si="30"/>
        <v/>
      </c>
      <c r="D74" s="198">
        <f t="shared" si="31"/>
        <v>0</v>
      </c>
      <c r="E74" s="199">
        <f t="shared" si="44"/>
        <v>0</v>
      </c>
      <c r="F74" s="200">
        <f t="shared" si="44"/>
        <v>0</v>
      </c>
      <c r="G74" s="200">
        <f t="shared" si="44"/>
        <v>0</v>
      </c>
      <c r="H74" s="200">
        <f t="shared" si="44"/>
        <v>0</v>
      </c>
      <c r="I74" s="200">
        <f t="shared" si="44"/>
        <v>0</v>
      </c>
      <c r="J74" s="200">
        <f t="shared" si="44"/>
        <v>0</v>
      </c>
      <c r="K74" s="200">
        <f t="shared" si="44"/>
        <v>0</v>
      </c>
      <c r="L74" s="200">
        <f t="shared" si="44"/>
        <v>0</v>
      </c>
      <c r="M74" s="200">
        <f t="shared" si="44"/>
        <v>0</v>
      </c>
      <c r="N74" s="200">
        <f t="shared" si="44"/>
        <v>0</v>
      </c>
      <c r="O74" s="200">
        <f t="shared" si="45"/>
        <v>0</v>
      </c>
      <c r="P74" s="200">
        <f t="shared" si="45"/>
        <v>0</v>
      </c>
      <c r="Q74" s="200">
        <f t="shared" si="45"/>
        <v>0</v>
      </c>
      <c r="R74" s="200">
        <f t="shared" si="45"/>
        <v>0</v>
      </c>
      <c r="S74" s="200">
        <f t="shared" si="45"/>
        <v>0</v>
      </c>
      <c r="T74" s="200">
        <f t="shared" si="45"/>
        <v>0</v>
      </c>
      <c r="U74" s="200">
        <f t="shared" si="45"/>
        <v>0</v>
      </c>
      <c r="V74" s="200">
        <f t="shared" si="45"/>
        <v>0</v>
      </c>
      <c r="W74" s="200">
        <f t="shared" si="45"/>
        <v>0</v>
      </c>
      <c r="X74" s="200">
        <f t="shared" si="45"/>
        <v>0</v>
      </c>
      <c r="Y74" s="200">
        <f t="shared" si="46"/>
        <v>0</v>
      </c>
      <c r="Z74" s="200">
        <f t="shared" si="46"/>
        <v>0</v>
      </c>
      <c r="AA74" s="200">
        <f t="shared" si="46"/>
        <v>0</v>
      </c>
      <c r="AB74" s="200">
        <f t="shared" si="46"/>
        <v>0</v>
      </c>
      <c r="AC74" s="200">
        <f t="shared" si="46"/>
        <v>0</v>
      </c>
      <c r="AD74" s="200">
        <f t="shared" si="46"/>
        <v>0</v>
      </c>
      <c r="AE74" s="200">
        <f t="shared" si="46"/>
        <v>0</v>
      </c>
      <c r="AF74" s="200">
        <f t="shared" si="46"/>
        <v>0</v>
      </c>
      <c r="AG74" s="200">
        <f t="shared" si="46"/>
        <v>0</v>
      </c>
      <c r="AH74" s="200">
        <f t="shared" si="46"/>
        <v>0</v>
      </c>
      <c r="AI74" s="200">
        <f t="shared" si="47"/>
        <v>0</v>
      </c>
      <c r="AJ74" s="200">
        <f t="shared" si="47"/>
        <v>0</v>
      </c>
      <c r="AK74" s="200">
        <f t="shared" si="47"/>
        <v>0</v>
      </c>
      <c r="AL74" s="200">
        <f t="shared" si="47"/>
        <v>0</v>
      </c>
      <c r="AM74" s="200">
        <f t="shared" si="47"/>
        <v>0</v>
      </c>
      <c r="AN74" s="200">
        <f t="shared" si="47"/>
        <v>0</v>
      </c>
      <c r="AO74" s="200">
        <f t="shared" si="47"/>
        <v>0</v>
      </c>
      <c r="AP74" s="200">
        <f t="shared" si="47"/>
        <v>0</v>
      </c>
      <c r="AQ74" s="200">
        <f t="shared" si="47"/>
        <v>0</v>
      </c>
      <c r="AR74" s="201">
        <f t="shared" si="47"/>
        <v>0</v>
      </c>
    </row>
    <row r="75" spans="2:44" s="13" customFormat="1" outlineLevel="1">
      <c r="B75" s="192"/>
      <c r="C75" s="193" t="str">
        <f t="shared" si="30"/>
        <v/>
      </c>
      <c r="D75" s="198">
        <f t="shared" si="31"/>
        <v>0</v>
      </c>
      <c r="E75" s="199">
        <f t="shared" si="44"/>
        <v>0</v>
      </c>
      <c r="F75" s="200">
        <f t="shared" si="44"/>
        <v>0</v>
      </c>
      <c r="G75" s="200">
        <f t="shared" si="44"/>
        <v>0</v>
      </c>
      <c r="H75" s="200">
        <f t="shared" si="44"/>
        <v>0</v>
      </c>
      <c r="I75" s="200">
        <f t="shared" si="44"/>
        <v>0</v>
      </c>
      <c r="J75" s="200">
        <f t="shared" si="44"/>
        <v>0</v>
      </c>
      <c r="K75" s="200">
        <f t="shared" si="44"/>
        <v>0</v>
      </c>
      <c r="L75" s="200">
        <f t="shared" si="44"/>
        <v>0</v>
      </c>
      <c r="M75" s="200">
        <f t="shared" si="44"/>
        <v>0</v>
      </c>
      <c r="N75" s="200">
        <f t="shared" si="44"/>
        <v>0</v>
      </c>
      <c r="O75" s="200">
        <f t="shared" si="45"/>
        <v>0</v>
      </c>
      <c r="P75" s="200">
        <f t="shared" si="45"/>
        <v>0</v>
      </c>
      <c r="Q75" s="200">
        <f t="shared" si="45"/>
        <v>0</v>
      </c>
      <c r="R75" s="200">
        <f t="shared" si="45"/>
        <v>0</v>
      </c>
      <c r="S75" s="200">
        <f t="shared" si="45"/>
        <v>0</v>
      </c>
      <c r="T75" s="200">
        <f t="shared" si="45"/>
        <v>0</v>
      </c>
      <c r="U75" s="200">
        <f t="shared" si="45"/>
        <v>0</v>
      </c>
      <c r="V75" s="200">
        <f t="shared" si="45"/>
        <v>0</v>
      </c>
      <c r="W75" s="200">
        <f t="shared" si="45"/>
        <v>0</v>
      </c>
      <c r="X75" s="200">
        <f t="shared" si="45"/>
        <v>0</v>
      </c>
      <c r="Y75" s="200">
        <f t="shared" si="46"/>
        <v>0</v>
      </c>
      <c r="Z75" s="200">
        <f t="shared" si="46"/>
        <v>0</v>
      </c>
      <c r="AA75" s="200">
        <f t="shared" si="46"/>
        <v>0</v>
      </c>
      <c r="AB75" s="200">
        <f t="shared" si="46"/>
        <v>0</v>
      </c>
      <c r="AC75" s="200">
        <f t="shared" si="46"/>
        <v>0</v>
      </c>
      <c r="AD75" s="200">
        <f t="shared" si="46"/>
        <v>0</v>
      </c>
      <c r="AE75" s="200">
        <f t="shared" si="46"/>
        <v>0</v>
      </c>
      <c r="AF75" s="200">
        <f t="shared" si="46"/>
        <v>0</v>
      </c>
      <c r="AG75" s="200">
        <f t="shared" si="46"/>
        <v>0</v>
      </c>
      <c r="AH75" s="200">
        <f t="shared" si="46"/>
        <v>0</v>
      </c>
      <c r="AI75" s="200">
        <f t="shared" si="47"/>
        <v>0</v>
      </c>
      <c r="AJ75" s="200">
        <f t="shared" si="47"/>
        <v>0</v>
      </c>
      <c r="AK75" s="200">
        <f t="shared" si="47"/>
        <v>0</v>
      </c>
      <c r="AL75" s="200">
        <f t="shared" si="47"/>
        <v>0</v>
      </c>
      <c r="AM75" s="200">
        <f t="shared" si="47"/>
        <v>0</v>
      </c>
      <c r="AN75" s="200">
        <f t="shared" si="47"/>
        <v>0</v>
      </c>
      <c r="AO75" s="200">
        <f t="shared" si="47"/>
        <v>0</v>
      </c>
      <c r="AP75" s="200">
        <f t="shared" si="47"/>
        <v>0</v>
      </c>
      <c r="AQ75" s="200">
        <f t="shared" si="47"/>
        <v>0</v>
      </c>
      <c r="AR75" s="201">
        <f t="shared" si="47"/>
        <v>0</v>
      </c>
    </row>
    <row r="76" spans="2:44" s="13" customFormat="1" outlineLevel="1">
      <c r="B76" s="192"/>
      <c r="C76" s="193" t="str">
        <f t="shared" si="30"/>
        <v/>
      </c>
      <c r="D76" s="198">
        <f t="shared" si="31"/>
        <v>0</v>
      </c>
      <c r="E76" s="199">
        <f t="shared" si="44"/>
        <v>0</v>
      </c>
      <c r="F76" s="200">
        <f t="shared" si="44"/>
        <v>0</v>
      </c>
      <c r="G76" s="200">
        <f t="shared" si="44"/>
        <v>0</v>
      </c>
      <c r="H76" s="200">
        <f t="shared" si="44"/>
        <v>0</v>
      </c>
      <c r="I76" s="200">
        <f t="shared" si="44"/>
        <v>0</v>
      </c>
      <c r="J76" s="200">
        <f t="shared" si="44"/>
        <v>0</v>
      </c>
      <c r="K76" s="200">
        <f t="shared" si="44"/>
        <v>0</v>
      </c>
      <c r="L76" s="200">
        <f t="shared" si="44"/>
        <v>0</v>
      </c>
      <c r="M76" s="200">
        <f t="shared" si="44"/>
        <v>0</v>
      </c>
      <c r="N76" s="200">
        <f t="shared" si="44"/>
        <v>0</v>
      </c>
      <c r="O76" s="200">
        <f t="shared" si="45"/>
        <v>0</v>
      </c>
      <c r="P76" s="200">
        <f t="shared" si="45"/>
        <v>0</v>
      </c>
      <c r="Q76" s="200">
        <f t="shared" si="45"/>
        <v>0</v>
      </c>
      <c r="R76" s="200">
        <f t="shared" si="45"/>
        <v>0</v>
      </c>
      <c r="S76" s="200">
        <f t="shared" si="45"/>
        <v>0</v>
      </c>
      <c r="T76" s="200">
        <f t="shared" si="45"/>
        <v>0</v>
      </c>
      <c r="U76" s="200">
        <f t="shared" si="45"/>
        <v>0</v>
      </c>
      <c r="V76" s="200">
        <f t="shared" si="45"/>
        <v>0</v>
      </c>
      <c r="W76" s="200">
        <f t="shared" si="45"/>
        <v>0</v>
      </c>
      <c r="X76" s="200">
        <f t="shared" si="45"/>
        <v>0</v>
      </c>
      <c r="Y76" s="200">
        <f t="shared" si="46"/>
        <v>0</v>
      </c>
      <c r="Z76" s="200">
        <f t="shared" si="46"/>
        <v>0</v>
      </c>
      <c r="AA76" s="200">
        <f t="shared" si="46"/>
        <v>0</v>
      </c>
      <c r="AB76" s="200">
        <f t="shared" si="46"/>
        <v>0</v>
      </c>
      <c r="AC76" s="200">
        <f t="shared" si="46"/>
        <v>0</v>
      </c>
      <c r="AD76" s="200">
        <f t="shared" si="46"/>
        <v>0</v>
      </c>
      <c r="AE76" s="200">
        <f t="shared" si="46"/>
        <v>0</v>
      </c>
      <c r="AF76" s="200">
        <f t="shared" si="46"/>
        <v>0</v>
      </c>
      <c r="AG76" s="200">
        <f t="shared" si="46"/>
        <v>0</v>
      </c>
      <c r="AH76" s="200">
        <f t="shared" si="46"/>
        <v>0</v>
      </c>
      <c r="AI76" s="200">
        <f t="shared" si="47"/>
        <v>0</v>
      </c>
      <c r="AJ76" s="200">
        <f t="shared" si="47"/>
        <v>0</v>
      </c>
      <c r="AK76" s="200">
        <f t="shared" si="47"/>
        <v>0</v>
      </c>
      <c r="AL76" s="200">
        <f t="shared" si="47"/>
        <v>0</v>
      </c>
      <c r="AM76" s="200">
        <f t="shared" si="47"/>
        <v>0</v>
      </c>
      <c r="AN76" s="200">
        <f t="shared" si="47"/>
        <v>0</v>
      </c>
      <c r="AO76" s="200">
        <f t="shared" si="47"/>
        <v>0</v>
      </c>
      <c r="AP76" s="200">
        <f t="shared" si="47"/>
        <v>0</v>
      </c>
      <c r="AQ76" s="200">
        <f t="shared" si="47"/>
        <v>0</v>
      </c>
      <c r="AR76" s="201">
        <f t="shared" si="47"/>
        <v>0</v>
      </c>
    </row>
    <row r="77" spans="2:44" s="13" customFormat="1" outlineLevel="1">
      <c r="B77" s="192"/>
      <c r="C77" s="193" t="str">
        <f t="shared" si="30"/>
        <v/>
      </c>
      <c r="D77" s="198">
        <f t="shared" si="31"/>
        <v>0</v>
      </c>
      <c r="E77" s="199">
        <f t="shared" si="44"/>
        <v>0</v>
      </c>
      <c r="F77" s="200">
        <f t="shared" si="44"/>
        <v>0</v>
      </c>
      <c r="G77" s="200">
        <f t="shared" si="44"/>
        <v>0</v>
      </c>
      <c r="H77" s="200">
        <f t="shared" si="44"/>
        <v>0</v>
      </c>
      <c r="I77" s="200">
        <f t="shared" si="44"/>
        <v>0</v>
      </c>
      <c r="J77" s="200">
        <f t="shared" si="44"/>
        <v>0</v>
      </c>
      <c r="K77" s="200">
        <f t="shared" si="44"/>
        <v>0</v>
      </c>
      <c r="L77" s="200">
        <f t="shared" si="44"/>
        <v>0</v>
      </c>
      <c r="M77" s="200">
        <f t="shared" si="44"/>
        <v>0</v>
      </c>
      <c r="N77" s="200">
        <f t="shared" si="44"/>
        <v>0</v>
      </c>
      <c r="O77" s="200">
        <f t="shared" si="45"/>
        <v>0</v>
      </c>
      <c r="P77" s="200">
        <f t="shared" si="45"/>
        <v>0</v>
      </c>
      <c r="Q77" s="200">
        <f t="shared" si="45"/>
        <v>0</v>
      </c>
      <c r="R77" s="200">
        <f t="shared" si="45"/>
        <v>0</v>
      </c>
      <c r="S77" s="200">
        <f t="shared" si="45"/>
        <v>0</v>
      </c>
      <c r="T77" s="200">
        <f t="shared" si="45"/>
        <v>0</v>
      </c>
      <c r="U77" s="200">
        <f t="shared" si="45"/>
        <v>0</v>
      </c>
      <c r="V77" s="200">
        <f t="shared" si="45"/>
        <v>0</v>
      </c>
      <c r="W77" s="200">
        <f t="shared" si="45"/>
        <v>0</v>
      </c>
      <c r="X77" s="200">
        <f t="shared" si="45"/>
        <v>0</v>
      </c>
      <c r="Y77" s="200">
        <f t="shared" si="46"/>
        <v>0</v>
      </c>
      <c r="Z77" s="200">
        <f t="shared" si="46"/>
        <v>0</v>
      </c>
      <c r="AA77" s="200">
        <f t="shared" si="46"/>
        <v>0</v>
      </c>
      <c r="AB77" s="200">
        <f t="shared" si="46"/>
        <v>0</v>
      </c>
      <c r="AC77" s="200">
        <f t="shared" si="46"/>
        <v>0</v>
      </c>
      <c r="AD77" s="200">
        <f t="shared" si="46"/>
        <v>0</v>
      </c>
      <c r="AE77" s="200">
        <f t="shared" si="46"/>
        <v>0</v>
      </c>
      <c r="AF77" s="200">
        <f t="shared" si="46"/>
        <v>0</v>
      </c>
      <c r="AG77" s="200">
        <f t="shared" si="46"/>
        <v>0</v>
      </c>
      <c r="AH77" s="200">
        <f t="shared" si="46"/>
        <v>0</v>
      </c>
      <c r="AI77" s="200">
        <f t="shared" si="47"/>
        <v>0</v>
      </c>
      <c r="AJ77" s="200">
        <f t="shared" si="47"/>
        <v>0</v>
      </c>
      <c r="AK77" s="200">
        <f t="shared" si="47"/>
        <v>0</v>
      </c>
      <c r="AL77" s="200">
        <f t="shared" si="47"/>
        <v>0</v>
      </c>
      <c r="AM77" s="200">
        <f t="shared" si="47"/>
        <v>0</v>
      </c>
      <c r="AN77" s="200">
        <f t="shared" si="47"/>
        <v>0</v>
      </c>
      <c r="AO77" s="200">
        <f t="shared" si="47"/>
        <v>0</v>
      </c>
      <c r="AP77" s="200">
        <f t="shared" si="47"/>
        <v>0</v>
      </c>
      <c r="AQ77" s="200">
        <f t="shared" si="47"/>
        <v>0</v>
      </c>
      <c r="AR77" s="201">
        <f t="shared" si="47"/>
        <v>0</v>
      </c>
    </row>
    <row r="78" spans="2:44" s="13" customFormat="1" outlineLevel="1">
      <c r="B78" s="192"/>
      <c r="C78" s="193" t="str">
        <f t="shared" si="30"/>
        <v/>
      </c>
      <c r="D78" s="198">
        <f t="shared" si="31"/>
        <v>0</v>
      </c>
      <c r="E78" s="199">
        <f t="shared" si="44"/>
        <v>0</v>
      </c>
      <c r="F78" s="200">
        <f t="shared" si="44"/>
        <v>0</v>
      </c>
      <c r="G78" s="200">
        <f t="shared" si="44"/>
        <v>0</v>
      </c>
      <c r="H78" s="200">
        <f t="shared" si="44"/>
        <v>0</v>
      </c>
      <c r="I78" s="200">
        <f t="shared" si="44"/>
        <v>0</v>
      </c>
      <c r="J78" s="200">
        <f t="shared" si="44"/>
        <v>0</v>
      </c>
      <c r="K78" s="200">
        <f t="shared" si="44"/>
        <v>0</v>
      </c>
      <c r="L78" s="200">
        <f t="shared" si="44"/>
        <v>0</v>
      </c>
      <c r="M78" s="200">
        <f t="shared" si="44"/>
        <v>0</v>
      </c>
      <c r="N78" s="200">
        <f t="shared" si="44"/>
        <v>0</v>
      </c>
      <c r="O78" s="200">
        <f t="shared" si="45"/>
        <v>0</v>
      </c>
      <c r="P78" s="200">
        <f t="shared" si="45"/>
        <v>0</v>
      </c>
      <c r="Q78" s="200">
        <f t="shared" si="45"/>
        <v>0</v>
      </c>
      <c r="R78" s="200">
        <f t="shared" si="45"/>
        <v>0</v>
      </c>
      <c r="S78" s="200">
        <f t="shared" si="45"/>
        <v>0</v>
      </c>
      <c r="T78" s="200">
        <f t="shared" si="45"/>
        <v>0</v>
      </c>
      <c r="U78" s="200">
        <f t="shared" si="45"/>
        <v>0</v>
      </c>
      <c r="V78" s="200">
        <f t="shared" si="45"/>
        <v>0</v>
      </c>
      <c r="W78" s="200">
        <f t="shared" si="45"/>
        <v>0</v>
      </c>
      <c r="X78" s="200">
        <f t="shared" si="45"/>
        <v>0</v>
      </c>
      <c r="Y78" s="200">
        <f t="shared" si="46"/>
        <v>0</v>
      </c>
      <c r="Z78" s="200">
        <f t="shared" si="46"/>
        <v>0</v>
      </c>
      <c r="AA78" s="200">
        <f t="shared" si="46"/>
        <v>0</v>
      </c>
      <c r="AB78" s="200">
        <f t="shared" si="46"/>
        <v>0</v>
      </c>
      <c r="AC78" s="200">
        <f t="shared" si="46"/>
        <v>0</v>
      </c>
      <c r="AD78" s="200">
        <f t="shared" si="46"/>
        <v>0</v>
      </c>
      <c r="AE78" s="200">
        <f t="shared" si="46"/>
        <v>0</v>
      </c>
      <c r="AF78" s="200">
        <f t="shared" si="46"/>
        <v>0</v>
      </c>
      <c r="AG78" s="200">
        <f t="shared" si="46"/>
        <v>0</v>
      </c>
      <c r="AH78" s="200">
        <f t="shared" si="46"/>
        <v>0</v>
      </c>
      <c r="AI78" s="200">
        <f t="shared" si="47"/>
        <v>0</v>
      </c>
      <c r="AJ78" s="200">
        <f t="shared" si="47"/>
        <v>0</v>
      </c>
      <c r="AK78" s="200">
        <f t="shared" si="47"/>
        <v>0</v>
      </c>
      <c r="AL78" s="200">
        <f t="shared" si="47"/>
        <v>0</v>
      </c>
      <c r="AM78" s="200">
        <f t="shared" si="47"/>
        <v>0</v>
      </c>
      <c r="AN78" s="200">
        <f t="shared" si="47"/>
        <v>0</v>
      </c>
      <c r="AO78" s="200">
        <f t="shared" si="47"/>
        <v>0</v>
      </c>
      <c r="AP78" s="200">
        <f t="shared" si="47"/>
        <v>0</v>
      </c>
      <c r="AQ78" s="200">
        <f t="shared" si="47"/>
        <v>0</v>
      </c>
      <c r="AR78" s="201">
        <f t="shared" si="47"/>
        <v>0</v>
      </c>
    </row>
    <row r="79" spans="2:44" s="13" customFormat="1" outlineLevel="1">
      <c r="B79" s="192"/>
      <c r="C79" s="193" t="str">
        <f t="shared" si="30"/>
        <v/>
      </c>
      <c r="D79" s="198">
        <f t="shared" si="31"/>
        <v>0</v>
      </c>
      <c r="E79" s="199">
        <f t="shared" si="44"/>
        <v>0</v>
      </c>
      <c r="F79" s="200">
        <f t="shared" si="44"/>
        <v>0</v>
      </c>
      <c r="G79" s="200">
        <f t="shared" si="44"/>
        <v>0</v>
      </c>
      <c r="H79" s="200">
        <f t="shared" si="44"/>
        <v>0</v>
      </c>
      <c r="I79" s="200">
        <f t="shared" si="44"/>
        <v>0</v>
      </c>
      <c r="J79" s="200">
        <f t="shared" si="44"/>
        <v>0</v>
      </c>
      <c r="K79" s="200">
        <f t="shared" si="44"/>
        <v>0</v>
      </c>
      <c r="L79" s="200">
        <f t="shared" si="44"/>
        <v>0</v>
      </c>
      <c r="M79" s="200">
        <f t="shared" si="44"/>
        <v>0</v>
      </c>
      <c r="N79" s="200">
        <f t="shared" si="44"/>
        <v>0</v>
      </c>
      <c r="O79" s="200">
        <f t="shared" si="45"/>
        <v>0</v>
      </c>
      <c r="P79" s="200">
        <f t="shared" si="45"/>
        <v>0</v>
      </c>
      <c r="Q79" s="200">
        <f t="shared" si="45"/>
        <v>0</v>
      </c>
      <c r="R79" s="200">
        <f t="shared" si="45"/>
        <v>0</v>
      </c>
      <c r="S79" s="200">
        <f t="shared" si="45"/>
        <v>0</v>
      </c>
      <c r="T79" s="200">
        <f t="shared" si="45"/>
        <v>0</v>
      </c>
      <c r="U79" s="200">
        <f t="shared" si="45"/>
        <v>0</v>
      </c>
      <c r="V79" s="200">
        <f t="shared" si="45"/>
        <v>0</v>
      </c>
      <c r="W79" s="200">
        <f t="shared" si="45"/>
        <v>0</v>
      </c>
      <c r="X79" s="200">
        <f t="shared" si="45"/>
        <v>0</v>
      </c>
      <c r="Y79" s="200">
        <f t="shared" si="46"/>
        <v>0</v>
      </c>
      <c r="Z79" s="200">
        <f t="shared" si="46"/>
        <v>0</v>
      </c>
      <c r="AA79" s="200">
        <f t="shared" si="46"/>
        <v>0</v>
      </c>
      <c r="AB79" s="200">
        <f t="shared" si="46"/>
        <v>0</v>
      </c>
      <c r="AC79" s="200">
        <f t="shared" si="46"/>
        <v>0</v>
      </c>
      <c r="AD79" s="200">
        <f t="shared" si="46"/>
        <v>0</v>
      </c>
      <c r="AE79" s="200">
        <f t="shared" si="46"/>
        <v>0</v>
      </c>
      <c r="AF79" s="200">
        <f t="shared" si="46"/>
        <v>0</v>
      </c>
      <c r="AG79" s="200">
        <f t="shared" si="46"/>
        <v>0</v>
      </c>
      <c r="AH79" s="200">
        <f t="shared" si="46"/>
        <v>0</v>
      </c>
      <c r="AI79" s="200">
        <f t="shared" si="47"/>
        <v>0</v>
      </c>
      <c r="AJ79" s="200">
        <f t="shared" si="47"/>
        <v>0</v>
      </c>
      <c r="AK79" s="200">
        <f t="shared" si="47"/>
        <v>0</v>
      </c>
      <c r="AL79" s="200">
        <f t="shared" si="47"/>
        <v>0</v>
      </c>
      <c r="AM79" s="200">
        <f t="shared" si="47"/>
        <v>0</v>
      </c>
      <c r="AN79" s="200">
        <f t="shared" si="47"/>
        <v>0</v>
      </c>
      <c r="AO79" s="200">
        <f t="shared" si="47"/>
        <v>0</v>
      </c>
      <c r="AP79" s="200">
        <f t="shared" si="47"/>
        <v>0</v>
      </c>
      <c r="AQ79" s="200">
        <f t="shared" si="47"/>
        <v>0</v>
      </c>
      <c r="AR79" s="201">
        <f t="shared" si="47"/>
        <v>0</v>
      </c>
    </row>
    <row r="80" spans="2:44" s="13" customFormat="1" outlineLevel="1">
      <c r="B80" s="192"/>
      <c r="C80" s="193" t="str">
        <f t="shared" si="30"/>
        <v/>
      </c>
      <c r="D80" s="198">
        <f t="shared" si="31"/>
        <v>0</v>
      </c>
      <c r="E80" s="199">
        <f t="shared" si="44"/>
        <v>0</v>
      </c>
      <c r="F80" s="200">
        <f t="shared" si="44"/>
        <v>0</v>
      </c>
      <c r="G80" s="200">
        <f t="shared" si="44"/>
        <v>0</v>
      </c>
      <c r="H80" s="200">
        <f t="shared" si="44"/>
        <v>0</v>
      </c>
      <c r="I80" s="200">
        <f t="shared" si="44"/>
        <v>0</v>
      </c>
      <c r="J80" s="200">
        <f t="shared" si="44"/>
        <v>0</v>
      </c>
      <c r="K80" s="200">
        <f t="shared" si="44"/>
        <v>0</v>
      </c>
      <c r="L80" s="200">
        <f t="shared" si="44"/>
        <v>0</v>
      </c>
      <c r="M80" s="200">
        <f t="shared" si="44"/>
        <v>0</v>
      </c>
      <c r="N80" s="200">
        <f t="shared" si="44"/>
        <v>0</v>
      </c>
      <c r="O80" s="200">
        <f t="shared" si="45"/>
        <v>0</v>
      </c>
      <c r="P80" s="200">
        <f t="shared" si="45"/>
        <v>0</v>
      </c>
      <c r="Q80" s="200">
        <f t="shared" si="45"/>
        <v>0</v>
      </c>
      <c r="R80" s="200">
        <f t="shared" si="45"/>
        <v>0</v>
      </c>
      <c r="S80" s="200">
        <f t="shared" si="45"/>
        <v>0</v>
      </c>
      <c r="T80" s="200">
        <f t="shared" si="45"/>
        <v>0</v>
      </c>
      <c r="U80" s="200">
        <f t="shared" si="45"/>
        <v>0</v>
      </c>
      <c r="V80" s="200">
        <f t="shared" si="45"/>
        <v>0</v>
      </c>
      <c r="W80" s="200">
        <f t="shared" si="45"/>
        <v>0</v>
      </c>
      <c r="X80" s="200">
        <f t="shared" si="45"/>
        <v>0</v>
      </c>
      <c r="Y80" s="200">
        <f t="shared" si="46"/>
        <v>0</v>
      </c>
      <c r="Z80" s="200">
        <f t="shared" si="46"/>
        <v>0</v>
      </c>
      <c r="AA80" s="200">
        <f t="shared" si="46"/>
        <v>0</v>
      </c>
      <c r="AB80" s="200">
        <f t="shared" si="46"/>
        <v>0</v>
      </c>
      <c r="AC80" s="200">
        <f t="shared" si="46"/>
        <v>0</v>
      </c>
      <c r="AD80" s="200">
        <f t="shared" si="46"/>
        <v>0</v>
      </c>
      <c r="AE80" s="200">
        <f t="shared" si="46"/>
        <v>0</v>
      </c>
      <c r="AF80" s="200">
        <f t="shared" si="46"/>
        <v>0</v>
      </c>
      <c r="AG80" s="200">
        <f t="shared" si="46"/>
        <v>0</v>
      </c>
      <c r="AH80" s="200">
        <f t="shared" si="46"/>
        <v>0</v>
      </c>
      <c r="AI80" s="200">
        <f t="shared" si="47"/>
        <v>0</v>
      </c>
      <c r="AJ80" s="200">
        <f t="shared" si="47"/>
        <v>0</v>
      </c>
      <c r="AK80" s="200">
        <f t="shared" si="47"/>
        <v>0</v>
      </c>
      <c r="AL80" s="200">
        <f t="shared" si="47"/>
        <v>0</v>
      </c>
      <c r="AM80" s="200">
        <f t="shared" si="47"/>
        <v>0</v>
      </c>
      <c r="AN80" s="200">
        <f t="shared" si="47"/>
        <v>0</v>
      </c>
      <c r="AO80" s="200">
        <f t="shared" si="47"/>
        <v>0</v>
      </c>
      <c r="AP80" s="200">
        <f t="shared" si="47"/>
        <v>0</v>
      </c>
      <c r="AQ80" s="200">
        <f t="shared" si="47"/>
        <v>0</v>
      </c>
      <c r="AR80" s="201">
        <f t="shared" si="47"/>
        <v>0</v>
      </c>
    </row>
    <row r="81" spans="2:44" s="13" customFormat="1" outlineLevel="1">
      <c r="B81" s="192"/>
      <c r="C81" s="193" t="str">
        <f t="shared" si="30"/>
        <v/>
      </c>
      <c r="D81" s="202">
        <f t="shared" si="31"/>
        <v>0</v>
      </c>
      <c r="E81" s="203">
        <f t="shared" si="44"/>
        <v>0</v>
      </c>
      <c r="F81" s="188">
        <f t="shared" si="44"/>
        <v>0</v>
      </c>
      <c r="G81" s="188">
        <f t="shared" si="44"/>
        <v>0</v>
      </c>
      <c r="H81" s="188">
        <f t="shared" si="44"/>
        <v>0</v>
      </c>
      <c r="I81" s="188">
        <f t="shared" si="44"/>
        <v>0</v>
      </c>
      <c r="J81" s="188">
        <f t="shared" si="44"/>
        <v>0</v>
      </c>
      <c r="K81" s="188">
        <f t="shared" si="44"/>
        <v>0</v>
      </c>
      <c r="L81" s="188">
        <f t="shared" si="44"/>
        <v>0</v>
      </c>
      <c r="M81" s="188">
        <f t="shared" si="44"/>
        <v>0</v>
      </c>
      <c r="N81" s="188">
        <f t="shared" si="44"/>
        <v>0</v>
      </c>
      <c r="O81" s="188">
        <f t="shared" si="45"/>
        <v>0</v>
      </c>
      <c r="P81" s="188">
        <f t="shared" si="45"/>
        <v>0</v>
      </c>
      <c r="Q81" s="188">
        <f t="shared" si="45"/>
        <v>0</v>
      </c>
      <c r="R81" s="188">
        <f t="shared" si="45"/>
        <v>0</v>
      </c>
      <c r="S81" s="188">
        <f t="shared" si="45"/>
        <v>0</v>
      </c>
      <c r="T81" s="188">
        <f t="shared" si="45"/>
        <v>0</v>
      </c>
      <c r="U81" s="188">
        <f t="shared" si="45"/>
        <v>0</v>
      </c>
      <c r="V81" s="188">
        <f t="shared" si="45"/>
        <v>0</v>
      </c>
      <c r="W81" s="188">
        <f t="shared" si="45"/>
        <v>0</v>
      </c>
      <c r="X81" s="188">
        <f t="shared" si="45"/>
        <v>0</v>
      </c>
      <c r="Y81" s="188">
        <f t="shared" si="46"/>
        <v>0</v>
      </c>
      <c r="Z81" s="188">
        <f t="shared" si="46"/>
        <v>0</v>
      </c>
      <c r="AA81" s="188">
        <f t="shared" si="46"/>
        <v>0</v>
      </c>
      <c r="AB81" s="188">
        <f t="shared" si="46"/>
        <v>0</v>
      </c>
      <c r="AC81" s="188">
        <f t="shared" si="46"/>
        <v>0</v>
      </c>
      <c r="AD81" s="188">
        <f t="shared" si="46"/>
        <v>0</v>
      </c>
      <c r="AE81" s="188">
        <f t="shared" si="46"/>
        <v>0</v>
      </c>
      <c r="AF81" s="188">
        <f t="shared" si="46"/>
        <v>0</v>
      </c>
      <c r="AG81" s="188">
        <f t="shared" si="46"/>
        <v>0</v>
      </c>
      <c r="AH81" s="188">
        <f t="shared" si="46"/>
        <v>0</v>
      </c>
      <c r="AI81" s="188">
        <f t="shared" si="47"/>
        <v>0</v>
      </c>
      <c r="AJ81" s="188">
        <f t="shared" si="47"/>
        <v>0</v>
      </c>
      <c r="AK81" s="188">
        <f t="shared" si="47"/>
        <v>0</v>
      </c>
      <c r="AL81" s="188">
        <f t="shared" si="47"/>
        <v>0</v>
      </c>
      <c r="AM81" s="188">
        <f t="shared" si="47"/>
        <v>0</v>
      </c>
      <c r="AN81" s="188">
        <f t="shared" si="47"/>
        <v>0</v>
      </c>
      <c r="AO81" s="188">
        <f t="shared" si="47"/>
        <v>0</v>
      </c>
      <c r="AP81" s="188">
        <f t="shared" si="47"/>
        <v>0</v>
      </c>
      <c r="AQ81" s="188">
        <f t="shared" si="47"/>
        <v>0</v>
      </c>
      <c r="AR81" s="189">
        <f t="shared" si="47"/>
        <v>0</v>
      </c>
    </row>
    <row r="82" spans="2:44" s="13" customFormat="1" outlineLevel="1">
      <c r="B82" s="192"/>
      <c r="C82" s="40" t="s">
        <v>120</v>
      </c>
      <c r="D82" s="202">
        <f t="shared" ref="D82:AR82" si="48">SUM(D42:D81)</f>
        <v>0.2825804830768946</v>
      </c>
      <c r="E82" s="203">
        <f t="shared" si="48"/>
        <v>1.38113061777223E-4</v>
      </c>
      <c r="F82" s="188">
        <f t="shared" si="48"/>
        <v>3.7241965630673598E-4</v>
      </c>
      <c r="G82" s="188">
        <f t="shared" si="48"/>
        <v>9.7989278637088898E-4</v>
      </c>
      <c r="H82" s="188">
        <f t="shared" si="48"/>
        <v>2.4033086391790971E-3</v>
      </c>
      <c r="I82" s="188">
        <f t="shared" si="48"/>
        <v>5.078231307455822E-3</v>
      </c>
      <c r="J82" s="188">
        <f t="shared" si="48"/>
        <v>8.5295065574988137E-3</v>
      </c>
      <c r="K82" s="188">
        <f t="shared" si="48"/>
        <v>1.1358456965035457E-2</v>
      </c>
      <c r="L82" s="188">
        <f t="shared" si="48"/>
        <v>1.2949002755293336E-2</v>
      </c>
      <c r="M82" s="188">
        <f t="shared" si="48"/>
        <v>1.3664737401520383E-2</v>
      </c>
      <c r="N82" s="188">
        <f t="shared" si="48"/>
        <v>1.4129024153844733E-2</v>
      </c>
      <c r="O82" s="188">
        <f t="shared" si="48"/>
        <v>1.4129024153844733E-2</v>
      </c>
      <c r="P82" s="188">
        <f t="shared" si="48"/>
        <v>1.4129024153844733E-2</v>
      </c>
      <c r="Q82" s="188">
        <f t="shared" si="48"/>
        <v>1.4129024153844733E-2</v>
      </c>
      <c r="R82" s="188">
        <f t="shared" si="48"/>
        <v>1.4129024153844733E-2</v>
      </c>
      <c r="S82" s="188">
        <f t="shared" si="48"/>
        <v>1.4129024153844733E-2</v>
      </c>
      <c r="T82" s="188">
        <f t="shared" si="48"/>
        <v>1.4129024153844733E-2</v>
      </c>
      <c r="U82" s="188">
        <f t="shared" si="48"/>
        <v>1.4129024153844733E-2</v>
      </c>
      <c r="V82" s="188">
        <f t="shared" si="48"/>
        <v>1.4129024153844733E-2</v>
      </c>
      <c r="W82" s="188">
        <f t="shared" si="48"/>
        <v>1.4129024153844733E-2</v>
      </c>
      <c r="X82" s="188">
        <f t="shared" si="48"/>
        <v>1.4129024153844733E-2</v>
      </c>
      <c r="Y82" s="188">
        <f t="shared" si="48"/>
        <v>0</v>
      </c>
      <c r="Z82" s="188">
        <f t="shared" si="48"/>
        <v>0</v>
      </c>
      <c r="AA82" s="188">
        <f t="shared" si="48"/>
        <v>0</v>
      </c>
      <c r="AB82" s="188">
        <f t="shared" si="48"/>
        <v>0</v>
      </c>
      <c r="AC82" s="188">
        <f t="shared" si="48"/>
        <v>0</v>
      </c>
      <c r="AD82" s="188">
        <f t="shared" si="48"/>
        <v>0</v>
      </c>
      <c r="AE82" s="188">
        <f t="shared" si="48"/>
        <v>0</v>
      </c>
      <c r="AF82" s="188">
        <f t="shared" si="48"/>
        <v>0</v>
      </c>
      <c r="AG82" s="188">
        <f t="shared" si="48"/>
        <v>0</v>
      </c>
      <c r="AH82" s="188">
        <f t="shared" si="48"/>
        <v>0</v>
      </c>
      <c r="AI82" s="188">
        <f t="shared" si="48"/>
        <v>0</v>
      </c>
      <c r="AJ82" s="188">
        <f t="shared" si="48"/>
        <v>0</v>
      </c>
      <c r="AK82" s="188">
        <f t="shared" si="48"/>
        <v>0</v>
      </c>
      <c r="AL82" s="188">
        <f t="shared" si="48"/>
        <v>0</v>
      </c>
      <c r="AM82" s="188">
        <f t="shared" si="48"/>
        <v>0</v>
      </c>
      <c r="AN82" s="188">
        <f t="shared" si="48"/>
        <v>0</v>
      </c>
      <c r="AO82" s="188">
        <f t="shared" si="48"/>
        <v>0</v>
      </c>
      <c r="AP82" s="188">
        <f t="shared" si="48"/>
        <v>0</v>
      </c>
      <c r="AQ82" s="188">
        <f t="shared" si="48"/>
        <v>0</v>
      </c>
      <c r="AR82" s="189">
        <f t="shared" si="48"/>
        <v>0</v>
      </c>
    </row>
    <row r="83" spans="2:44" s="13" customFormat="1">
      <c r="B83" s="40"/>
      <c r="C83" s="138"/>
      <c r="D83" s="204"/>
      <c r="F83" s="191"/>
      <c r="G83" s="191"/>
      <c r="H83" s="191"/>
      <c r="I83" s="191"/>
      <c r="J83" s="191"/>
      <c r="K83" s="191"/>
      <c r="L83" s="191"/>
      <c r="M83" s="191"/>
      <c r="N83" s="191"/>
      <c r="O83" s="191"/>
      <c r="P83" s="191"/>
      <c r="Q83" s="191"/>
      <c r="R83" s="191"/>
      <c r="S83" s="191"/>
      <c r="T83" s="191"/>
      <c r="U83" s="191"/>
      <c r="V83" s="191"/>
      <c r="W83" s="191"/>
      <c r="X83" s="191"/>
      <c r="Y83" s="191"/>
      <c r="Z83" s="191"/>
      <c r="AA83" s="191"/>
      <c r="AB83" s="191"/>
      <c r="AC83" s="191"/>
      <c r="AD83" s="191"/>
      <c r="AE83" s="191"/>
      <c r="AF83" s="191"/>
      <c r="AG83" s="191"/>
      <c r="AH83" s="191"/>
      <c r="AI83" s="191"/>
      <c r="AJ83" s="191"/>
      <c r="AK83" s="191"/>
      <c r="AL83" s="191"/>
      <c r="AM83" s="191"/>
      <c r="AN83" s="191"/>
      <c r="AO83" s="191"/>
      <c r="AP83" s="191"/>
      <c r="AQ83" s="191"/>
      <c r="AR83" s="191"/>
    </row>
    <row r="84" spans="2:44" s="13" customFormat="1">
      <c r="B84" s="186" t="s">
        <v>121</v>
      </c>
      <c r="E84" s="205">
        <f>INDEX($D$42:$D$81,Year,1)</f>
        <v>2.76226123554446E-3</v>
      </c>
      <c r="F84" s="196">
        <f>IF(Year&gt;Contract_Length,,E84-E85+INDEX($D$42:$D$81,Year,1))</f>
        <v>7.3102800643574974E-3</v>
      </c>
      <c r="G84" s="196">
        <f t="shared" ref="G84:AR84" si="49">IF(Year&gt;Contract_Length,,F84-F85+INDEX($D$42:$D$81,Year,1))</f>
        <v>1.9087323009333825E-2</v>
      </c>
      <c r="H84" s="196">
        <f t="shared" si="49"/>
        <v>4.6575747279127097E-2</v>
      </c>
      <c r="I84" s="196">
        <f t="shared" si="49"/>
        <v>9.7670892005482512E-2</v>
      </c>
      <c r="J84" s="196">
        <f t="shared" si="49"/>
        <v>0.16161816569888654</v>
      </c>
      <c r="K84" s="196">
        <f t="shared" si="49"/>
        <v>0.20966766729212058</v>
      </c>
      <c r="L84" s="196">
        <f t="shared" si="49"/>
        <v>0.2301201261322427</v>
      </c>
      <c r="M84" s="196">
        <f t="shared" si="49"/>
        <v>0.23148581630149029</v>
      </c>
      <c r="N84" s="196">
        <f t="shared" si="49"/>
        <v>0.2271068139464569</v>
      </c>
      <c r="O84" s="196">
        <f t="shared" si="49"/>
        <v>0.21297778979261217</v>
      </c>
      <c r="P84" s="196">
        <f t="shared" si="49"/>
        <v>0.19884876563876744</v>
      </c>
      <c r="Q84" s="196">
        <f t="shared" si="49"/>
        <v>0.18471974148492271</v>
      </c>
      <c r="R84" s="196">
        <f t="shared" si="49"/>
        <v>0.17059071733107797</v>
      </c>
      <c r="S84" s="196">
        <f t="shared" si="49"/>
        <v>0.15646169317723324</v>
      </c>
      <c r="T84" s="196">
        <f t="shared" si="49"/>
        <v>0.14233266902338851</v>
      </c>
      <c r="U84" s="196">
        <f t="shared" si="49"/>
        <v>0.12820364486954378</v>
      </c>
      <c r="V84" s="196">
        <f t="shared" si="49"/>
        <v>0.11407462071569904</v>
      </c>
      <c r="W84" s="196">
        <f t="shared" si="49"/>
        <v>9.9945596561854311E-2</v>
      </c>
      <c r="X84" s="196">
        <f t="shared" si="49"/>
        <v>8.5816572408009578E-2</v>
      </c>
      <c r="Y84" s="196">
        <f t="shared" si="49"/>
        <v>0</v>
      </c>
      <c r="Z84" s="196">
        <f t="shared" si="49"/>
        <v>0</v>
      </c>
      <c r="AA84" s="196">
        <f t="shared" si="49"/>
        <v>0</v>
      </c>
      <c r="AB84" s="196">
        <f t="shared" si="49"/>
        <v>0</v>
      </c>
      <c r="AC84" s="196">
        <f t="shared" si="49"/>
        <v>0</v>
      </c>
      <c r="AD84" s="196">
        <f t="shared" si="49"/>
        <v>0</v>
      </c>
      <c r="AE84" s="196">
        <f t="shared" si="49"/>
        <v>0</v>
      </c>
      <c r="AF84" s="196">
        <f t="shared" si="49"/>
        <v>0</v>
      </c>
      <c r="AG84" s="196">
        <f t="shared" si="49"/>
        <v>0</v>
      </c>
      <c r="AH84" s="196">
        <f t="shared" si="49"/>
        <v>0</v>
      </c>
      <c r="AI84" s="196">
        <f t="shared" si="49"/>
        <v>0</v>
      </c>
      <c r="AJ84" s="196">
        <f t="shared" si="49"/>
        <v>0</v>
      </c>
      <c r="AK84" s="196">
        <f t="shared" si="49"/>
        <v>0</v>
      </c>
      <c r="AL84" s="196">
        <f t="shared" si="49"/>
        <v>0</v>
      </c>
      <c r="AM84" s="196">
        <f t="shared" si="49"/>
        <v>0</v>
      </c>
      <c r="AN84" s="196">
        <f t="shared" si="49"/>
        <v>0</v>
      </c>
      <c r="AO84" s="196">
        <f t="shared" si="49"/>
        <v>0</v>
      </c>
      <c r="AP84" s="196">
        <f t="shared" si="49"/>
        <v>0</v>
      </c>
      <c r="AQ84" s="196">
        <f t="shared" si="49"/>
        <v>0</v>
      </c>
      <c r="AR84" s="197">
        <f t="shared" si="49"/>
        <v>0</v>
      </c>
    </row>
    <row r="85" spans="2:44" s="13" customFormat="1">
      <c r="B85" s="186" t="s">
        <v>122</v>
      </c>
      <c r="E85" s="206">
        <f>E82</f>
        <v>1.38113061777223E-4</v>
      </c>
      <c r="F85" s="207">
        <f>F82</f>
        <v>3.7241965630673598E-4</v>
      </c>
      <c r="G85" s="207">
        <f>G82</f>
        <v>9.7989278637088898E-4</v>
      </c>
      <c r="H85" s="207">
        <f t="shared" ref="H85:AR85" si="50">H82</f>
        <v>2.4033086391790971E-3</v>
      </c>
      <c r="I85" s="207">
        <f t="shared" si="50"/>
        <v>5.078231307455822E-3</v>
      </c>
      <c r="J85" s="207">
        <f t="shared" si="50"/>
        <v>8.5295065574988137E-3</v>
      </c>
      <c r="K85" s="207">
        <f t="shared" si="50"/>
        <v>1.1358456965035457E-2</v>
      </c>
      <c r="L85" s="207">
        <f t="shared" si="50"/>
        <v>1.2949002755293336E-2</v>
      </c>
      <c r="M85" s="207">
        <f t="shared" si="50"/>
        <v>1.3664737401520383E-2</v>
      </c>
      <c r="N85" s="207">
        <f t="shared" si="50"/>
        <v>1.4129024153844733E-2</v>
      </c>
      <c r="O85" s="207">
        <f t="shared" si="50"/>
        <v>1.4129024153844733E-2</v>
      </c>
      <c r="P85" s="207">
        <f t="shared" si="50"/>
        <v>1.4129024153844733E-2</v>
      </c>
      <c r="Q85" s="207">
        <f t="shared" si="50"/>
        <v>1.4129024153844733E-2</v>
      </c>
      <c r="R85" s="207">
        <f t="shared" si="50"/>
        <v>1.4129024153844733E-2</v>
      </c>
      <c r="S85" s="207">
        <f t="shared" si="50"/>
        <v>1.4129024153844733E-2</v>
      </c>
      <c r="T85" s="207">
        <f t="shared" si="50"/>
        <v>1.4129024153844733E-2</v>
      </c>
      <c r="U85" s="207">
        <f t="shared" si="50"/>
        <v>1.4129024153844733E-2</v>
      </c>
      <c r="V85" s="207">
        <f t="shared" si="50"/>
        <v>1.4129024153844733E-2</v>
      </c>
      <c r="W85" s="207">
        <f t="shared" si="50"/>
        <v>1.4129024153844733E-2</v>
      </c>
      <c r="X85" s="207">
        <f t="shared" si="50"/>
        <v>1.4129024153844733E-2</v>
      </c>
      <c r="Y85" s="207">
        <f t="shared" si="50"/>
        <v>0</v>
      </c>
      <c r="Z85" s="207">
        <f t="shared" si="50"/>
        <v>0</v>
      </c>
      <c r="AA85" s="207">
        <f t="shared" si="50"/>
        <v>0</v>
      </c>
      <c r="AB85" s="207">
        <f t="shared" si="50"/>
        <v>0</v>
      </c>
      <c r="AC85" s="207">
        <f t="shared" si="50"/>
        <v>0</v>
      </c>
      <c r="AD85" s="207">
        <f t="shared" si="50"/>
        <v>0</v>
      </c>
      <c r="AE85" s="207">
        <f t="shared" si="50"/>
        <v>0</v>
      </c>
      <c r="AF85" s="207">
        <f t="shared" si="50"/>
        <v>0</v>
      </c>
      <c r="AG85" s="207">
        <f t="shared" si="50"/>
        <v>0</v>
      </c>
      <c r="AH85" s="207">
        <f t="shared" si="50"/>
        <v>0</v>
      </c>
      <c r="AI85" s="207">
        <f t="shared" si="50"/>
        <v>0</v>
      </c>
      <c r="AJ85" s="207">
        <f t="shared" si="50"/>
        <v>0</v>
      </c>
      <c r="AK85" s="207">
        <f t="shared" si="50"/>
        <v>0</v>
      </c>
      <c r="AL85" s="207">
        <f t="shared" si="50"/>
        <v>0</v>
      </c>
      <c r="AM85" s="207">
        <f t="shared" si="50"/>
        <v>0</v>
      </c>
      <c r="AN85" s="207">
        <f t="shared" si="50"/>
        <v>0</v>
      </c>
      <c r="AO85" s="207">
        <f t="shared" si="50"/>
        <v>0</v>
      </c>
      <c r="AP85" s="207">
        <f t="shared" si="50"/>
        <v>0</v>
      </c>
      <c r="AQ85" s="207">
        <f t="shared" si="50"/>
        <v>0</v>
      </c>
      <c r="AR85" s="208">
        <f t="shared" si="50"/>
        <v>0</v>
      </c>
    </row>
    <row r="86" spans="2:44" s="13" customFormat="1">
      <c r="B86" s="186" t="s">
        <v>123</v>
      </c>
      <c r="E86" s="187">
        <f t="shared" ref="E86:AR86" si="51">E84*IntRate_Cur</f>
        <v>1.38113061777223E-4</v>
      </c>
      <c r="F86" s="188">
        <f>F84*IntRate_Cur</f>
        <v>3.6551400321787491E-4</v>
      </c>
      <c r="G86" s="188">
        <f t="shared" si="51"/>
        <v>9.543661504666913E-4</v>
      </c>
      <c r="H86" s="188">
        <f t="shared" si="51"/>
        <v>2.3287873639563548E-3</v>
      </c>
      <c r="I86" s="188">
        <f t="shared" si="51"/>
        <v>4.8835446002741256E-3</v>
      </c>
      <c r="J86" s="188">
        <f t="shared" si="51"/>
        <v>8.080908284944328E-3</v>
      </c>
      <c r="K86" s="188">
        <f t="shared" si="51"/>
        <v>1.048338336460603E-2</v>
      </c>
      <c r="L86" s="188">
        <f t="shared" si="51"/>
        <v>1.1506006306612136E-2</v>
      </c>
      <c r="M86" s="188">
        <f t="shared" si="51"/>
        <v>1.1574290815074516E-2</v>
      </c>
      <c r="N86" s="188">
        <f t="shared" si="51"/>
        <v>1.1355340697322846E-2</v>
      </c>
      <c r="O86" s="188">
        <f t="shared" si="51"/>
        <v>1.0648889489630609E-2</v>
      </c>
      <c r="P86" s="188">
        <f t="shared" si="51"/>
        <v>9.9424382819383733E-3</v>
      </c>
      <c r="Q86" s="188">
        <f t="shared" si="51"/>
        <v>9.2359870742461363E-3</v>
      </c>
      <c r="R86" s="188">
        <f t="shared" si="51"/>
        <v>8.5295358665538994E-3</v>
      </c>
      <c r="S86" s="188">
        <f t="shared" si="51"/>
        <v>7.8230846588616624E-3</v>
      </c>
      <c r="T86" s="188">
        <f t="shared" si="51"/>
        <v>7.1166334511694254E-3</v>
      </c>
      <c r="U86" s="188">
        <f t="shared" si="51"/>
        <v>6.4101822434771893E-3</v>
      </c>
      <c r="V86" s="188">
        <f t="shared" si="51"/>
        <v>5.7037310357849523E-3</v>
      </c>
      <c r="W86" s="188">
        <f t="shared" si="51"/>
        <v>4.9972798280927162E-3</v>
      </c>
      <c r="X86" s="188">
        <f t="shared" si="51"/>
        <v>4.2908286204004793E-3</v>
      </c>
      <c r="Y86" s="188">
        <f t="shared" si="51"/>
        <v>0</v>
      </c>
      <c r="Z86" s="188">
        <f t="shared" si="51"/>
        <v>0</v>
      </c>
      <c r="AA86" s="188">
        <f t="shared" si="51"/>
        <v>0</v>
      </c>
      <c r="AB86" s="188">
        <f t="shared" si="51"/>
        <v>0</v>
      </c>
      <c r="AC86" s="188">
        <f t="shared" si="51"/>
        <v>0</v>
      </c>
      <c r="AD86" s="188">
        <f t="shared" si="51"/>
        <v>0</v>
      </c>
      <c r="AE86" s="188">
        <f t="shared" si="51"/>
        <v>0</v>
      </c>
      <c r="AF86" s="188">
        <f t="shared" si="51"/>
        <v>0</v>
      </c>
      <c r="AG86" s="188">
        <f t="shared" si="51"/>
        <v>0</v>
      </c>
      <c r="AH86" s="188">
        <f t="shared" si="51"/>
        <v>0</v>
      </c>
      <c r="AI86" s="188">
        <f t="shared" si="51"/>
        <v>0</v>
      </c>
      <c r="AJ86" s="188">
        <f t="shared" si="51"/>
        <v>0</v>
      </c>
      <c r="AK86" s="188">
        <f t="shared" si="51"/>
        <v>0</v>
      </c>
      <c r="AL86" s="188">
        <f t="shared" si="51"/>
        <v>0</v>
      </c>
      <c r="AM86" s="188">
        <f t="shared" si="51"/>
        <v>0</v>
      </c>
      <c r="AN86" s="188">
        <f t="shared" si="51"/>
        <v>0</v>
      </c>
      <c r="AO86" s="188">
        <f t="shared" si="51"/>
        <v>0</v>
      </c>
      <c r="AP86" s="188">
        <f t="shared" si="51"/>
        <v>0</v>
      </c>
      <c r="AQ86" s="188">
        <f t="shared" si="51"/>
        <v>0</v>
      </c>
      <c r="AR86" s="189">
        <f t="shared" si="51"/>
        <v>0</v>
      </c>
    </row>
    <row r="87" spans="2:44" s="13" customFormat="1">
      <c r="B87" s="40"/>
      <c r="C87" s="209"/>
      <c r="D87" s="73"/>
      <c r="E87" s="210"/>
      <c r="F87" s="210"/>
      <c r="G87" s="210"/>
      <c r="H87" s="210"/>
      <c r="I87" s="210"/>
      <c r="J87" s="210"/>
      <c r="K87" s="210"/>
      <c r="L87" s="210"/>
      <c r="M87" s="210"/>
      <c r="N87" s="210"/>
      <c r="O87" s="73"/>
      <c r="P87" s="73"/>
      <c r="Q87" s="73"/>
      <c r="R87" s="73"/>
      <c r="S87" s="73"/>
      <c r="T87" s="73"/>
      <c r="U87" s="73"/>
      <c r="V87" s="73"/>
      <c r="W87" s="73"/>
      <c r="X87" s="73"/>
      <c r="Y87" s="73"/>
      <c r="Z87" s="73"/>
      <c r="AA87" s="73"/>
      <c r="AB87" s="73"/>
      <c r="AC87" s="73"/>
      <c r="AD87" s="73"/>
      <c r="AE87" s="73"/>
      <c r="AF87" s="73"/>
      <c r="AG87" s="73"/>
      <c r="AH87" s="73"/>
      <c r="AI87" s="73"/>
      <c r="AJ87" s="73"/>
      <c r="AK87" s="73"/>
      <c r="AL87" s="73"/>
      <c r="AM87" s="73"/>
      <c r="AN87" s="73"/>
      <c r="AO87" s="73"/>
      <c r="AP87" s="73"/>
      <c r="AQ87" s="73"/>
      <c r="AR87" s="73"/>
    </row>
    <row r="88" spans="2:44" s="13" customFormat="1">
      <c r="B88" s="4" t="s">
        <v>124</v>
      </c>
      <c r="C88" s="138"/>
      <c r="D88" s="211"/>
      <c r="E88" s="211"/>
      <c r="F88" s="211"/>
      <c r="G88" s="211"/>
      <c r="H88" s="211"/>
      <c r="I88" s="211"/>
      <c r="J88" s="211"/>
      <c r="K88" s="211"/>
      <c r="L88" s="211"/>
      <c r="M88" s="211"/>
      <c r="N88" s="211"/>
      <c r="O88" s="211"/>
      <c r="P88" s="211"/>
      <c r="Q88" s="211"/>
      <c r="R88" s="211"/>
      <c r="S88" s="211"/>
      <c r="T88" s="211"/>
      <c r="U88" s="211"/>
      <c r="V88" s="211"/>
      <c r="W88" s="211"/>
      <c r="X88" s="211"/>
    </row>
    <row r="89" spans="2:44" s="13" customFormat="1">
      <c r="B89" s="6" t="s">
        <v>30</v>
      </c>
      <c r="C89" s="138"/>
      <c r="D89" s="211"/>
      <c r="E89" s="211"/>
      <c r="F89" s="211"/>
      <c r="G89" s="211"/>
      <c r="H89" s="211"/>
      <c r="I89" s="211"/>
      <c r="J89" s="211"/>
      <c r="K89" s="211"/>
      <c r="L89" s="211"/>
      <c r="M89" s="211"/>
      <c r="N89" s="211"/>
      <c r="O89" s="211"/>
      <c r="P89" s="211"/>
      <c r="Q89" s="211"/>
      <c r="R89" s="211"/>
      <c r="S89" s="211"/>
      <c r="T89" s="211"/>
      <c r="U89" s="211"/>
      <c r="V89" s="211"/>
      <c r="W89" s="211"/>
      <c r="X89" s="211"/>
    </row>
    <row r="90" spans="2:44" s="13" customFormat="1">
      <c r="B90" s="138"/>
      <c r="C90" s="186" t="s">
        <v>121</v>
      </c>
      <c r="E90" s="205">
        <f t="shared" ref="E90:AR90" si="52">IF(Year&lt;=Grace_Period,,INDEX(84:84,1,COLUMN()-Grace_Period))*IF(ServExt_LoanIntDen=lbl_Dom,1,RealExRate_Det)*ServExt_LoanPct</f>
        <v>0</v>
      </c>
      <c r="F90" s="196">
        <f t="shared" si="52"/>
        <v>0</v>
      </c>
      <c r="G90" s="196">
        <f t="shared" si="52"/>
        <v>0</v>
      </c>
      <c r="H90" s="196">
        <f t="shared" si="52"/>
        <v>0</v>
      </c>
      <c r="I90" s="196">
        <f t="shared" si="52"/>
        <v>0</v>
      </c>
      <c r="J90" s="196">
        <f t="shared" si="52"/>
        <v>0.18643313288127317</v>
      </c>
      <c r="K90" s="196">
        <f t="shared" si="52"/>
        <v>0.51868906052289787</v>
      </c>
      <c r="L90" s="196">
        <f t="shared" si="52"/>
        <v>1.4237469938590357</v>
      </c>
      <c r="M90" s="196">
        <f t="shared" si="52"/>
        <v>3.6522656003082825</v>
      </c>
      <c r="N90" s="196">
        <f t="shared" si="52"/>
        <v>8.051603858884711</v>
      </c>
      <c r="O90" s="196">
        <f t="shared" si="52"/>
        <v>14.006258671989402</v>
      </c>
      <c r="P90" s="196">
        <f t="shared" si="52"/>
        <v>19.10196992034977</v>
      </c>
      <c r="Q90" s="196">
        <f t="shared" si="52"/>
        <v>22.040224859206944</v>
      </c>
      <c r="R90" s="196">
        <f t="shared" si="52"/>
        <v>23.307759465906994</v>
      </c>
      <c r="S90" s="196">
        <f t="shared" si="52"/>
        <v>24.039256444875065</v>
      </c>
      <c r="T90" s="196">
        <f t="shared" si="52"/>
        <v>23.699539402166209</v>
      </c>
      <c r="U90" s="196">
        <f t="shared" si="52"/>
        <v>23.261794426805594</v>
      </c>
      <c r="V90" s="196">
        <f t="shared" si="52"/>
        <v>22.716862542421193</v>
      </c>
      <c r="W90" s="196">
        <f t="shared" si="52"/>
        <v>22.054903279629396</v>
      </c>
      <c r="X90" s="196">
        <f t="shared" si="52"/>
        <v>21.265348870680409</v>
      </c>
      <c r="Y90" s="196">
        <f t="shared" si="52"/>
        <v>20.336855538580046</v>
      </c>
      <c r="Z90" s="196">
        <f t="shared" si="52"/>
        <v>19.257251703158918</v>
      </c>
      <c r="AA90" s="196">
        <f t="shared" si="52"/>
        <v>18.013482915993531</v>
      </c>
      <c r="AB90" s="196">
        <f t="shared" si="52"/>
        <v>16.59155332490063</v>
      </c>
      <c r="AC90" s="196">
        <f t="shared" si="52"/>
        <v>14.97646345689054</v>
      </c>
      <c r="AD90" s="196">
        <f t="shared" si="52"/>
        <v>0</v>
      </c>
      <c r="AE90" s="196">
        <f t="shared" si="52"/>
        <v>0</v>
      </c>
      <c r="AF90" s="196">
        <f t="shared" si="52"/>
        <v>0</v>
      </c>
      <c r="AG90" s="196">
        <f t="shared" si="52"/>
        <v>0</v>
      </c>
      <c r="AH90" s="196">
        <f t="shared" si="52"/>
        <v>0</v>
      </c>
      <c r="AI90" s="196">
        <f t="shared" si="52"/>
        <v>0</v>
      </c>
      <c r="AJ90" s="196">
        <f t="shared" si="52"/>
        <v>0</v>
      </c>
      <c r="AK90" s="196">
        <f t="shared" si="52"/>
        <v>0</v>
      </c>
      <c r="AL90" s="196">
        <f t="shared" si="52"/>
        <v>0</v>
      </c>
      <c r="AM90" s="196">
        <f t="shared" si="52"/>
        <v>0</v>
      </c>
      <c r="AN90" s="196">
        <f t="shared" si="52"/>
        <v>0</v>
      </c>
      <c r="AO90" s="196">
        <f t="shared" si="52"/>
        <v>0</v>
      </c>
      <c r="AP90" s="196">
        <f t="shared" si="52"/>
        <v>0</v>
      </c>
      <c r="AQ90" s="196">
        <f t="shared" si="52"/>
        <v>0</v>
      </c>
      <c r="AR90" s="197">
        <f t="shared" si="52"/>
        <v>0</v>
      </c>
    </row>
    <row r="91" spans="2:44" s="13" customFormat="1">
      <c r="B91" s="138"/>
      <c r="C91" s="186" t="s">
        <v>122</v>
      </c>
      <c r="E91" s="206">
        <f t="shared" ref="E91:AR91" si="53">IF(Year&lt;=Grace_Period,,INDEX(85:85,1,COLUMN()-Grace_Period))*IF(ServExt_LoanIntDen=lbl_Dom,1,RealExRate_Det)*ServExt_LoanPct</f>
        <v>0</v>
      </c>
      <c r="F91" s="207">
        <f t="shared" si="53"/>
        <v>0</v>
      </c>
      <c r="G91" s="207">
        <f t="shared" si="53"/>
        <v>0</v>
      </c>
      <c r="H91" s="207">
        <f t="shared" si="53"/>
        <v>0</v>
      </c>
      <c r="I91" s="207">
        <f t="shared" si="53"/>
        <v>0</v>
      </c>
      <c r="J91" s="207">
        <f t="shared" si="53"/>
        <v>9.3216566440636577E-3</v>
      </c>
      <c r="K91" s="207">
        <f t="shared" si="53"/>
        <v>2.6424432436157174E-2</v>
      </c>
      <c r="L91" s="207">
        <f t="shared" si="53"/>
        <v>7.3091412987430715E-2</v>
      </c>
      <c r="M91" s="207">
        <f t="shared" si="53"/>
        <v>0.18845691121591879</v>
      </c>
      <c r="N91" s="207">
        <f t="shared" si="53"/>
        <v>0.41862939870688709</v>
      </c>
      <c r="O91" s="207">
        <f t="shared" si="53"/>
        <v>0.73918964908522833</v>
      </c>
      <c r="P91" s="207">
        <f t="shared" si="53"/>
        <v>1.0348228989708823</v>
      </c>
      <c r="Q91" s="207">
        <f t="shared" si="53"/>
        <v>1.2402171736388921</v>
      </c>
      <c r="R91" s="207">
        <f t="shared" si="53"/>
        <v>1.375870096959239</v>
      </c>
      <c r="S91" s="207">
        <f t="shared" si="53"/>
        <v>1.4955572184205104</v>
      </c>
      <c r="T91" s="207">
        <f t="shared" si="53"/>
        <v>1.5722360767020069</v>
      </c>
      <c r="U91" s="207">
        <f t="shared" si="53"/>
        <v>1.6528463441164576</v>
      </c>
      <c r="V91" s="207">
        <f t="shared" si="53"/>
        <v>1.7375895883204115</v>
      </c>
      <c r="W91" s="207">
        <f t="shared" si="53"/>
        <v>1.8266777115651633</v>
      </c>
      <c r="X91" s="207">
        <f t="shared" si="53"/>
        <v>1.9203334805627561</v>
      </c>
      <c r="Y91" s="207">
        <f t="shared" si="53"/>
        <v>2.0187910835187948</v>
      </c>
      <c r="Z91" s="207">
        <f t="shared" si="53"/>
        <v>2.122296715724945</v>
      </c>
      <c r="AA91" s="207">
        <f t="shared" si="53"/>
        <v>2.2311091951753981</v>
      </c>
      <c r="AB91" s="207">
        <f t="shared" si="53"/>
        <v>2.3455006097466691</v>
      </c>
      <c r="AC91" s="207">
        <f t="shared" si="53"/>
        <v>2.4657569975590143</v>
      </c>
      <c r="AD91" s="207">
        <f t="shared" si="53"/>
        <v>0</v>
      </c>
      <c r="AE91" s="207">
        <f t="shared" si="53"/>
        <v>0</v>
      </c>
      <c r="AF91" s="207">
        <f t="shared" si="53"/>
        <v>0</v>
      </c>
      <c r="AG91" s="207">
        <f t="shared" si="53"/>
        <v>0</v>
      </c>
      <c r="AH91" s="207">
        <f t="shared" si="53"/>
        <v>0</v>
      </c>
      <c r="AI91" s="207">
        <f t="shared" si="53"/>
        <v>0</v>
      </c>
      <c r="AJ91" s="207">
        <f t="shared" si="53"/>
        <v>0</v>
      </c>
      <c r="AK91" s="207">
        <f t="shared" si="53"/>
        <v>0</v>
      </c>
      <c r="AL91" s="207">
        <f t="shared" si="53"/>
        <v>0</v>
      </c>
      <c r="AM91" s="207">
        <f t="shared" si="53"/>
        <v>0</v>
      </c>
      <c r="AN91" s="207">
        <f t="shared" si="53"/>
        <v>0</v>
      </c>
      <c r="AO91" s="207">
        <f t="shared" si="53"/>
        <v>0</v>
      </c>
      <c r="AP91" s="207">
        <f t="shared" si="53"/>
        <v>0</v>
      </c>
      <c r="AQ91" s="207">
        <f t="shared" si="53"/>
        <v>0</v>
      </c>
      <c r="AR91" s="208">
        <f t="shared" si="53"/>
        <v>0</v>
      </c>
    </row>
    <row r="92" spans="2:44" s="13" customFormat="1">
      <c r="B92" s="138"/>
      <c r="C92" s="186" t="s">
        <v>123</v>
      </c>
      <c r="E92" s="187">
        <f t="shared" ref="E92:AR92" si="54">IF(Year&lt;=Grace_Period,,INDEX(86:86,1,COLUMN()-Grace_Period))*IF(ServExt_LoanIntDen=lbl_Dom,1,RealExRate_Det)*ServExt_LoanPct</f>
        <v>0</v>
      </c>
      <c r="F92" s="188">
        <f t="shared" si="54"/>
        <v>0</v>
      </c>
      <c r="G92" s="188">
        <f t="shared" si="54"/>
        <v>0</v>
      </c>
      <c r="H92" s="188">
        <f t="shared" si="54"/>
        <v>0</v>
      </c>
      <c r="I92" s="188">
        <f t="shared" si="54"/>
        <v>0</v>
      </c>
      <c r="J92" s="188">
        <f t="shared" si="54"/>
        <v>9.3216566440636577E-3</v>
      </c>
      <c r="K92" s="188">
        <f t="shared" si="54"/>
        <v>2.5934453026144895E-2</v>
      </c>
      <c r="L92" s="188">
        <f t="shared" si="54"/>
        <v>7.118734969295179E-2</v>
      </c>
      <c r="M92" s="188">
        <f t="shared" si="54"/>
        <v>0.18261328001541413</v>
      </c>
      <c r="N92" s="188">
        <f t="shared" si="54"/>
        <v>0.40258019294423558</v>
      </c>
      <c r="O92" s="188">
        <f t="shared" si="54"/>
        <v>0.70031293359947022</v>
      </c>
      <c r="P92" s="188">
        <f t="shared" si="54"/>
        <v>0.95509849601748864</v>
      </c>
      <c r="Q92" s="188">
        <f t="shared" si="54"/>
        <v>1.1020112429603472</v>
      </c>
      <c r="R92" s="188">
        <f t="shared" si="54"/>
        <v>1.1653879732953498</v>
      </c>
      <c r="S92" s="188">
        <f t="shared" si="54"/>
        <v>1.2019628222437533</v>
      </c>
      <c r="T92" s="188">
        <f t="shared" si="54"/>
        <v>1.1849769701083104</v>
      </c>
      <c r="U92" s="188">
        <f t="shared" si="54"/>
        <v>1.16308972134028</v>
      </c>
      <c r="V92" s="188">
        <f t="shared" si="54"/>
        <v>1.1358431271210598</v>
      </c>
      <c r="W92" s="188">
        <f t="shared" si="54"/>
        <v>1.10274516398147</v>
      </c>
      <c r="X92" s="188">
        <f t="shared" si="54"/>
        <v>1.0632674435340206</v>
      </c>
      <c r="Y92" s="188">
        <f t="shared" si="54"/>
        <v>1.0168427769290023</v>
      </c>
      <c r="Z92" s="188">
        <f t="shared" si="54"/>
        <v>0.96286258515794587</v>
      </c>
      <c r="AA92" s="188">
        <f t="shared" si="54"/>
        <v>0.90067414579967664</v>
      </c>
      <c r="AB92" s="188">
        <f t="shared" si="54"/>
        <v>0.82957766624503171</v>
      </c>
      <c r="AC92" s="188">
        <f t="shared" si="54"/>
        <v>0.74882317284452715</v>
      </c>
      <c r="AD92" s="188">
        <f t="shared" si="54"/>
        <v>0</v>
      </c>
      <c r="AE92" s="188">
        <f t="shared" si="54"/>
        <v>0</v>
      </c>
      <c r="AF92" s="188">
        <f t="shared" si="54"/>
        <v>0</v>
      </c>
      <c r="AG92" s="188">
        <f t="shared" si="54"/>
        <v>0</v>
      </c>
      <c r="AH92" s="188">
        <f t="shared" si="54"/>
        <v>0</v>
      </c>
      <c r="AI92" s="188">
        <f t="shared" si="54"/>
        <v>0</v>
      </c>
      <c r="AJ92" s="188">
        <f t="shared" si="54"/>
        <v>0</v>
      </c>
      <c r="AK92" s="188">
        <f t="shared" si="54"/>
        <v>0</v>
      </c>
      <c r="AL92" s="188">
        <f t="shared" si="54"/>
        <v>0</v>
      </c>
      <c r="AM92" s="188">
        <f t="shared" si="54"/>
        <v>0</v>
      </c>
      <c r="AN92" s="188">
        <f t="shared" si="54"/>
        <v>0</v>
      </c>
      <c r="AO92" s="188">
        <f t="shared" si="54"/>
        <v>0</v>
      </c>
      <c r="AP92" s="188">
        <f t="shared" si="54"/>
        <v>0</v>
      </c>
      <c r="AQ92" s="188">
        <f t="shared" si="54"/>
        <v>0</v>
      </c>
      <c r="AR92" s="189">
        <f t="shared" si="54"/>
        <v>0</v>
      </c>
    </row>
    <row r="93" spans="2:44" s="13" customFormat="1">
      <c r="B93" s="6" t="s">
        <v>31</v>
      </c>
      <c r="C93" s="186"/>
      <c r="E93" s="212"/>
    </row>
    <row r="94" spans="2:44" s="13" customFormat="1">
      <c r="B94" s="138"/>
      <c r="C94" s="186" t="s">
        <v>121</v>
      </c>
      <c r="E94" s="205">
        <f t="shared" ref="E94:AR94" si="55">IF(Year&lt;=Grace_Period,,INDEX(84:84,1,COLUMN()-Grace_Period))*IF(ServExt_LoanIntDen=lbl_Dom,1,RealExRate_Det)*ServExt_CAPct</f>
        <v>0</v>
      </c>
      <c r="F94" s="196">
        <f t="shared" si="55"/>
        <v>0</v>
      </c>
      <c r="G94" s="196">
        <f t="shared" si="55"/>
        <v>0</v>
      </c>
      <c r="H94" s="196">
        <f t="shared" si="55"/>
        <v>0</v>
      </c>
      <c r="I94" s="196">
        <f t="shared" si="55"/>
        <v>0</v>
      </c>
      <c r="J94" s="196">
        <f t="shared" si="55"/>
        <v>0.18643313288127317</v>
      </c>
      <c r="K94" s="196">
        <f t="shared" si="55"/>
        <v>0.51868906052289787</v>
      </c>
      <c r="L94" s="196">
        <f t="shared" si="55"/>
        <v>1.4237469938590357</v>
      </c>
      <c r="M94" s="196">
        <f t="shared" si="55"/>
        <v>3.6522656003082825</v>
      </c>
      <c r="N94" s="196">
        <f t="shared" si="55"/>
        <v>8.051603858884711</v>
      </c>
      <c r="O94" s="196">
        <f t="shared" si="55"/>
        <v>14.006258671989402</v>
      </c>
      <c r="P94" s="196">
        <f t="shared" si="55"/>
        <v>19.10196992034977</v>
      </c>
      <c r="Q94" s="196">
        <f t="shared" si="55"/>
        <v>22.040224859206944</v>
      </c>
      <c r="R94" s="196">
        <f t="shared" si="55"/>
        <v>23.307759465906994</v>
      </c>
      <c r="S94" s="196">
        <f t="shared" si="55"/>
        <v>24.039256444875065</v>
      </c>
      <c r="T94" s="196">
        <f t="shared" si="55"/>
        <v>23.699539402166209</v>
      </c>
      <c r="U94" s="196">
        <f t="shared" si="55"/>
        <v>23.261794426805594</v>
      </c>
      <c r="V94" s="196">
        <f t="shared" si="55"/>
        <v>22.716862542421193</v>
      </c>
      <c r="W94" s="196">
        <f t="shared" si="55"/>
        <v>22.054903279629396</v>
      </c>
      <c r="X94" s="196">
        <f t="shared" si="55"/>
        <v>21.265348870680409</v>
      </c>
      <c r="Y94" s="196">
        <f t="shared" si="55"/>
        <v>20.336855538580046</v>
      </c>
      <c r="Z94" s="196">
        <f t="shared" si="55"/>
        <v>19.257251703158918</v>
      </c>
      <c r="AA94" s="196">
        <f t="shared" si="55"/>
        <v>18.013482915993531</v>
      </c>
      <c r="AB94" s="196">
        <f t="shared" si="55"/>
        <v>16.59155332490063</v>
      </c>
      <c r="AC94" s="196">
        <f t="shared" si="55"/>
        <v>14.97646345689054</v>
      </c>
      <c r="AD94" s="196">
        <f t="shared" si="55"/>
        <v>0</v>
      </c>
      <c r="AE94" s="196">
        <f t="shared" si="55"/>
        <v>0</v>
      </c>
      <c r="AF94" s="196">
        <f t="shared" si="55"/>
        <v>0</v>
      </c>
      <c r="AG94" s="196">
        <f t="shared" si="55"/>
        <v>0</v>
      </c>
      <c r="AH94" s="196">
        <f t="shared" si="55"/>
        <v>0</v>
      </c>
      <c r="AI94" s="196">
        <f t="shared" si="55"/>
        <v>0</v>
      </c>
      <c r="AJ94" s="196">
        <f t="shared" si="55"/>
        <v>0</v>
      </c>
      <c r="AK94" s="196">
        <f t="shared" si="55"/>
        <v>0</v>
      </c>
      <c r="AL94" s="196">
        <f t="shared" si="55"/>
        <v>0</v>
      </c>
      <c r="AM94" s="196">
        <f t="shared" si="55"/>
        <v>0</v>
      </c>
      <c r="AN94" s="196">
        <f t="shared" si="55"/>
        <v>0</v>
      </c>
      <c r="AO94" s="196">
        <f t="shared" si="55"/>
        <v>0</v>
      </c>
      <c r="AP94" s="196">
        <f t="shared" si="55"/>
        <v>0</v>
      </c>
      <c r="AQ94" s="196">
        <f t="shared" si="55"/>
        <v>0</v>
      </c>
      <c r="AR94" s="197">
        <f t="shared" si="55"/>
        <v>0</v>
      </c>
    </row>
    <row r="95" spans="2:44" s="13" customFormat="1">
      <c r="B95" s="138"/>
      <c r="C95" s="186" t="s">
        <v>122</v>
      </c>
      <c r="E95" s="206">
        <f t="shared" ref="E95:AR95" si="56">IF(Year&lt;=Grace_Period,,INDEX(85:85,1,COLUMN()-Grace_Period))*IF(ServExt_LoanIntDen=lbl_Dom,1,RealExRate_Det)*ServExt_CAPct</f>
        <v>0</v>
      </c>
      <c r="F95" s="207">
        <f t="shared" si="56"/>
        <v>0</v>
      </c>
      <c r="G95" s="207">
        <f t="shared" si="56"/>
        <v>0</v>
      </c>
      <c r="H95" s="207">
        <f t="shared" si="56"/>
        <v>0</v>
      </c>
      <c r="I95" s="207">
        <f t="shared" si="56"/>
        <v>0</v>
      </c>
      <c r="J95" s="207">
        <f t="shared" si="56"/>
        <v>9.3216566440636577E-3</v>
      </c>
      <c r="K95" s="207">
        <f t="shared" si="56"/>
        <v>2.6424432436157174E-2</v>
      </c>
      <c r="L95" s="207">
        <f t="shared" si="56"/>
        <v>7.3091412987430715E-2</v>
      </c>
      <c r="M95" s="207">
        <f t="shared" si="56"/>
        <v>0.18845691121591879</v>
      </c>
      <c r="N95" s="207">
        <f t="shared" si="56"/>
        <v>0.41862939870688709</v>
      </c>
      <c r="O95" s="207">
        <f t="shared" si="56"/>
        <v>0.73918964908522833</v>
      </c>
      <c r="P95" s="207">
        <f t="shared" si="56"/>
        <v>1.0348228989708823</v>
      </c>
      <c r="Q95" s="207">
        <f t="shared" si="56"/>
        <v>1.2402171736388921</v>
      </c>
      <c r="R95" s="207">
        <f t="shared" si="56"/>
        <v>1.375870096959239</v>
      </c>
      <c r="S95" s="207">
        <f t="shared" si="56"/>
        <v>1.4955572184205104</v>
      </c>
      <c r="T95" s="207">
        <f t="shared" si="56"/>
        <v>1.5722360767020069</v>
      </c>
      <c r="U95" s="207">
        <f t="shared" si="56"/>
        <v>1.6528463441164576</v>
      </c>
      <c r="V95" s="207">
        <f t="shared" si="56"/>
        <v>1.7375895883204115</v>
      </c>
      <c r="W95" s="207">
        <f t="shared" si="56"/>
        <v>1.8266777115651633</v>
      </c>
      <c r="X95" s="207">
        <f t="shared" si="56"/>
        <v>1.9203334805627561</v>
      </c>
      <c r="Y95" s="207">
        <f t="shared" si="56"/>
        <v>2.0187910835187948</v>
      </c>
      <c r="Z95" s="207">
        <f t="shared" si="56"/>
        <v>2.122296715724945</v>
      </c>
      <c r="AA95" s="207">
        <f t="shared" si="56"/>
        <v>2.2311091951753981</v>
      </c>
      <c r="AB95" s="207">
        <f t="shared" si="56"/>
        <v>2.3455006097466691</v>
      </c>
      <c r="AC95" s="207">
        <f t="shared" si="56"/>
        <v>2.4657569975590143</v>
      </c>
      <c r="AD95" s="207">
        <f t="shared" si="56"/>
        <v>0</v>
      </c>
      <c r="AE95" s="207">
        <f t="shared" si="56"/>
        <v>0</v>
      </c>
      <c r="AF95" s="207">
        <f t="shared" si="56"/>
        <v>0</v>
      </c>
      <c r="AG95" s="207">
        <f t="shared" si="56"/>
        <v>0</v>
      </c>
      <c r="AH95" s="207">
        <f t="shared" si="56"/>
        <v>0</v>
      </c>
      <c r="AI95" s="207">
        <f t="shared" si="56"/>
        <v>0</v>
      </c>
      <c r="AJ95" s="207">
        <f t="shared" si="56"/>
        <v>0</v>
      </c>
      <c r="AK95" s="207">
        <f t="shared" si="56"/>
        <v>0</v>
      </c>
      <c r="AL95" s="207">
        <f t="shared" si="56"/>
        <v>0</v>
      </c>
      <c r="AM95" s="207">
        <f t="shared" si="56"/>
        <v>0</v>
      </c>
      <c r="AN95" s="207">
        <f t="shared" si="56"/>
        <v>0</v>
      </c>
      <c r="AO95" s="207">
        <f t="shared" si="56"/>
        <v>0</v>
      </c>
      <c r="AP95" s="207">
        <f t="shared" si="56"/>
        <v>0</v>
      </c>
      <c r="AQ95" s="207">
        <f t="shared" si="56"/>
        <v>0</v>
      </c>
      <c r="AR95" s="208">
        <f t="shared" si="56"/>
        <v>0</v>
      </c>
    </row>
    <row r="96" spans="2:44" s="13" customFormat="1">
      <c r="B96" s="138"/>
      <c r="C96" s="186" t="s">
        <v>123</v>
      </c>
      <c r="E96" s="187">
        <f t="shared" ref="E96:AR96" si="57">IF(Year&lt;=Grace_Period,,INDEX(86:86,1,COLUMN()-Grace_Period))*IF(ServExt_LoanIntDen=lbl_Dom,1,RealExRate_Det)*ServExt_CAPct</f>
        <v>0</v>
      </c>
      <c r="F96" s="188">
        <f t="shared" si="57"/>
        <v>0</v>
      </c>
      <c r="G96" s="188">
        <f t="shared" si="57"/>
        <v>0</v>
      </c>
      <c r="H96" s="188">
        <f t="shared" si="57"/>
        <v>0</v>
      </c>
      <c r="I96" s="188">
        <f t="shared" si="57"/>
        <v>0</v>
      </c>
      <c r="J96" s="188">
        <f t="shared" si="57"/>
        <v>9.3216566440636577E-3</v>
      </c>
      <c r="K96" s="188">
        <f t="shared" si="57"/>
        <v>2.5934453026144895E-2</v>
      </c>
      <c r="L96" s="188">
        <f t="shared" si="57"/>
        <v>7.118734969295179E-2</v>
      </c>
      <c r="M96" s="188">
        <f t="shared" si="57"/>
        <v>0.18261328001541413</v>
      </c>
      <c r="N96" s="188">
        <f t="shared" si="57"/>
        <v>0.40258019294423558</v>
      </c>
      <c r="O96" s="188">
        <f t="shared" si="57"/>
        <v>0.70031293359947022</v>
      </c>
      <c r="P96" s="188">
        <f t="shared" si="57"/>
        <v>0.95509849601748864</v>
      </c>
      <c r="Q96" s="188">
        <f t="shared" si="57"/>
        <v>1.1020112429603472</v>
      </c>
      <c r="R96" s="188">
        <f t="shared" si="57"/>
        <v>1.1653879732953498</v>
      </c>
      <c r="S96" s="188">
        <f t="shared" si="57"/>
        <v>1.2019628222437533</v>
      </c>
      <c r="T96" s="188">
        <f t="shared" si="57"/>
        <v>1.1849769701083104</v>
      </c>
      <c r="U96" s="188">
        <f t="shared" si="57"/>
        <v>1.16308972134028</v>
      </c>
      <c r="V96" s="188">
        <f t="shared" si="57"/>
        <v>1.1358431271210598</v>
      </c>
      <c r="W96" s="188">
        <f t="shared" si="57"/>
        <v>1.10274516398147</v>
      </c>
      <c r="X96" s="188">
        <f t="shared" si="57"/>
        <v>1.0632674435340206</v>
      </c>
      <c r="Y96" s="188">
        <f t="shared" si="57"/>
        <v>1.0168427769290023</v>
      </c>
      <c r="Z96" s="188">
        <f t="shared" si="57"/>
        <v>0.96286258515794587</v>
      </c>
      <c r="AA96" s="188">
        <f t="shared" si="57"/>
        <v>0.90067414579967664</v>
      </c>
      <c r="AB96" s="188">
        <f t="shared" si="57"/>
        <v>0.82957766624503171</v>
      </c>
      <c r="AC96" s="188">
        <f t="shared" si="57"/>
        <v>0.74882317284452715</v>
      </c>
      <c r="AD96" s="188">
        <f t="shared" si="57"/>
        <v>0</v>
      </c>
      <c r="AE96" s="188">
        <f t="shared" si="57"/>
        <v>0</v>
      </c>
      <c r="AF96" s="188">
        <f t="shared" si="57"/>
        <v>0</v>
      </c>
      <c r="AG96" s="188">
        <f t="shared" si="57"/>
        <v>0</v>
      </c>
      <c r="AH96" s="188">
        <f t="shared" si="57"/>
        <v>0</v>
      </c>
      <c r="AI96" s="188">
        <f t="shared" si="57"/>
        <v>0</v>
      </c>
      <c r="AJ96" s="188">
        <f t="shared" si="57"/>
        <v>0</v>
      </c>
      <c r="AK96" s="188">
        <f t="shared" si="57"/>
        <v>0</v>
      </c>
      <c r="AL96" s="188">
        <f t="shared" si="57"/>
        <v>0</v>
      </c>
      <c r="AM96" s="188">
        <f t="shared" si="57"/>
        <v>0</v>
      </c>
      <c r="AN96" s="188">
        <f t="shared" si="57"/>
        <v>0</v>
      </c>
      <c r="AO96" s="188">
        <f t="shared" si="57"/>
        <v>0</v>
      </c>
      <c r="AP96" s="188">
        <f t="shared" si="57"/>
        <v>0</v>
      </c>
      <c r="AQ96" s="188">
        <f t="shared" si="57"/>
        <v>0</v>
      </c>
      <c r="AR96" s="189">
        <f t="shared" si="57"/>
        <v>0</v>
      </c>
    </row>
    <row r="97" spans="1:44" s="3" customFormat="1"/>
    <row r="98" spans="1:44" s="45" customFormat="1" ht="17.399999999999999">
      <c r="A98" s="43" t="s">
        <v>125</v>
      </c>
      <c r="B98" s="44"/>
      <c r="C98" s="44"/>
    </row>
    <row r="99" spans="1:44" s="3" customFormat="1">
      <c r="B99" s="6" t="s">
        <v>126</v>
      </c>
      <c r="C99" s="12"/>
    </row>
    <row r="100" spans="1:44" s="13" customFormat="1">
      <c r="B100" s="138"/>
      <c r="C100" s="138" t="s">
        <v>127</v>
      </c>
      <c r="D100" s="147"/>
      <c r="E100" s="148">
        <f>D103</f>
        <v>100</v>
      </c>
      <c r="F100" s="148">
        <f t="shared" ref="F100:AR100" si="58">E103</f>
        <v>105.98121888933633</v>
      </c>
      <c r="G100" s="148">
        <f t="shared" si="58"/>
        <v>113.07809353159843</v>
      </c>
      <c r="H100" s="148">
        <f t="shared" si="58"/>
        <v>121.26857114190128</v>
      </c>
      <c r="I100" s="148">
        <f t="shared" si="58"/>
        <v>130.52282647363782</v>
      </c>
      <c r="J100" s="148">
        <f t="shared" si="58"/>
        <v>140.82282467164859</v>
      </c>
      <c r="K100" s="148">
        <f t="shared" si="58"/>
        <v>152.17162481266072</v>
      </c>
      <c r="L100" s="148">
        <f t="shared" si="58"/>
        <v>164.59498646637644</v>
      </c>
      <c r="M100" s="148">
        <f t="shared" si="58"/>
        <v>178.13930124895313</v>
      </c>
      <c r="N100" s="148">
        <f t="shared" si="58"/>
        <v>192.86861980332861</v>
      </c>
      <c r="O100" s="148">
        <f t="shared" si="58"/>
        <v>208.86205846151088</v>
      </c>
      <c r="P100" s="148">
        <f t="shared" si="58"/>
        <v>226.21196420828494</v>
      </c>
      <c r="Q100" s="148">
        <f t="shared" si="58"/>
        <v>245.02281985810771</v>
      </c>
      <c r="R100" s="148">
        <f t="shared" si="58"/>
        <v>265.41075006475904</v>
      </c>
      <c r="S100" s="148">
        <f t="shared" si="58"/>
        <v>287.50348206735407</v>
      </c>
      <c r="T100" s="148">
        <f t="shared" si="58"/>
        <v>311.44064407922951</v>
      </c>
      <c r="U100" s="148">
        <f t="shared" si="58"/>
        <v>337.37431751932758</v>
      </c>
      <c r="V100" s="148">
        <f t="shared" si="58"/>
        <v>365.46978699952382</v>
      </c>
      <c r="W100" s="148">
        <f t="shared" si="58"/>
        <v>395.9064525665317</v>
      </c>
      <c r="X100" s="148">
        <f t="shared" si="58"/>
        <v>428.87888323284335</v>
      </c>
      <c r="Y100" s="148">
        <f t="shared" si="58"/>
        <v>464.59800087958126</v>
      </c>
      <c r="Z100" s="148">
        <f t="shared" si="58"/>
        <v>503.29239053788228</v>
      </c>
      <c r="AA100" s="148">
        <f t="shared" si="58"/>
        <v>545.2097378794233</v>
      </c>
      <c r="AB100" s="148">
        <f t="shared" si="58"/>
        <v>590.61839819305749</v>
      </c>
      <c r="AC100" s="148">
        <f t="shared" si="58"/>
        <v>639.80910368580555</v>
      </c>
      <c r="AD100" s="148">
        <f t="shared" si="58"/>
        <v>693.09681795309984</v>
      </c>
      <c r="AE100" s="148">
        <f t="shared" si="58"/>
        <v>750.82274813545507</v>
      </c>
      <c r="AF100" s="148">
        <f t="shared" si="58"/>
        <v>813.35652676339521</v>
      </c>
      <c r="AG100" s="148">
        <f t="shared" si="58"/>
        <v>881.09857668794029</v>
      </c>
      <c r="AH100" s="148">
        <f t="shared" si="58"/>
        <v>954.48267386717828</v>
      </c>
      <c r="AI100" s="148">
        <f t="shared" si="58"/>
        <v>1033.97872417698</v>
      </c>
      <c r="AJ100" s="148">
        <f t="shared" si="58"/>
        <v>1120.0957718692816</v>
      </c>
      <c r="AK100" s="148">
        <f t="shared" si="58"/>
        <v>1213.385258839872</v>
      </c>
      <c r="AL100" s="148">
        <f t="shared" si="58"/>
        <v>1314.4445555095258</v>
      </c>
      <c r="AM100" s="148">
        <f t="shared" si="58"/>
        <v>1423.9207858848849</v>
      </c>
      <c r="AN100" s="148">
        <f t="shared" si="58"/>
        <v>1542.5149712643993</v>
      </c>
      <c r="AO100" s="148">
        <f t="shared" si="58"/>
        <v>1670.9865191049057</v>
      </c>
      <c r="AP100" s="148">
        <f t="shared" si="58"/>
        <v>1810.1580857810277</v>
      </c>
      <c r="AQ100" s="148">
        <f t="shared" si="58"/>
        <v>1960.9208443679304</v>
      </c>
      <c r="AR100" s="149">
        <f t="shared" si="58"/>
        <v>2124.2401911742054</v>
      </c>
    </row>
    <row r="101" spans="1:44" s="13" customFormat="1">
      <c r="B101" s="138"/>
      <c r="C101" s="13" t="s">
        <v>128</v>
      </c>
      <c r="D101" s="213"/>
      <c r="E101" s="165">
        <f>E100*DepRate</f>
        <v>5</v>
      </c>
      <c r="F101" s="165">
        <f t="shared" ref="F101:AR101" si="59">F100*DepRate</f>
        <v>5.2990609444668166</v>
      </c>
      <c r="G101" s="165">
        <f t="shared" si="59"/>
        <v>5.6539046765799217</v>
      </c>
      <c r="H101" s="165">
        <f t="shared" si="59"/>
        <v>6.0634285570950643</v>
      </c>
      <c r="I101" s="165">
        <f t="shared" si="59"/>
        <v>6.526141323681891</v>
      </c>
      <c r="J101" s="165">
        <f t="shared" si="59"/>
        <v>7.0411412335824295</v>
      </c>
      <c r="K101" s="165">
        <f t="shared" si="59"/>
        <v>7.6085812406330362</v>
      </c>
      <c r="L101" s="165">
        <f t="shared" si="59"/>
        <v>8.2297493233188224</v>
      </c>
      <c r="M101" s="165">
        <f t="shared" si="59"/>
        <v>8.9069650624476573</v>
      </c>
      <c r="N101" s="165">
        <f t="shared" si="59"/>
        <v>9.643430990166431</v>
      </c>
      <c r="O101" s="165">
        <f t="shared" si="59"/>
        <v>10.443102923075545</v>
      </c>
      <c r="P101" s="165">
        <f t="shared" si="59"/>
        <v>11.310598210414248</v>
      </c>
      <c r="Q101" s="165">
        <f t="shared" si="59"/>
        <v>12.251140992905386</v>
      </c>
      <c r="R101" s="165">
        <f t="shared" si="59"/>
        <v>13.270537503237954</v>
      </c>
      <c r="S101" s="165">
        <f t="shared" si="59"/>
        <v>14.375174103367705</v>
      </c>
      <c r="T101" s="165">
        <f t="shared" si="59"/>
        <v>15.572032203961477</v>
      </c>
      <c r="U101" s="165">
        <f t="shared" si="59"/>
        <v>16.86871587596638</v>
      </c>
      <c r="V101" s="165">
        <f t="shared" si="59"/>
        <v>18.273489349976192</v>
      </c>
      <c r="W101" s="165">
        <f t="shared" si="59"/>
        <v>19.795322628326588</v>
      </c>
      <c r="X101" s="165">
        <f t="shared" si="59"/>
        <v>21.443944161642168</v>
      </c>
      <c r="Y101" s="165">
        <f t="shared" si="59"/>
        <v>23.229900043979065</v>
      </c>
      <c r="Z101" s="165">
        <f t="shared" si="59"/>
        <v>25.164619526894114</v>
      </c>
      <c r="AA101" s="165">
        <f t="shared" si="59"/>
        <v>27.260486893971166</v>
      </c>
      <c r="AB101" s="165">
        <f t="shared" si="59"/>
        <v>29.530919909652876</v>
      </c>
      <c r="AC101" s="165">
        <f t="shared" si="59"/>
        <v>31.99045518429028</v>
      </c>
      <c r="AD101" s="165">
        <f t="shared" si="59"/>
        <v>34.654840897654992</v>
      </c>
      <c r="AE101" s="165">
        <f t="shared" si="59"/>
        <v>37.541137406772755</v>
      </c>
      <c r="AF101" s="165">
        <f t="shared" si="59"/>
        <v>40.66782633816976</v>
      </c>
      <c r="AG101" s="165">
        <f t="shared" si="59"/>
        <v>44.054928834397018</v>
      </c>
      <c r="AH101" s="165">
        <f t="shared" si="59"/>
        <v>47.724133693358915</v>
      </c>
      <c r="AI101" s="165">
        <f t="shared" si="59"/>
        <v>51.698936208849005</v>
      </c>
      <c r="AJ101" s="165">
        <f t="shared" si="59"/>
        <v>56.004788593464085</v>
      </c>
      <c r="AK101" s="165">
        <f t="shared" si="59"/>
        <v>60.669262941993601</v>
      </c>
      <c r="AL101" s="165">
        <f t="shared" si="59"/>
        <v>65.722227775476298</v>
      </c>
      <c r="AM101" s="165">
        <f t="shared" si="59"/>
        <v>71.196039294244244</v>
      </c>
      <c r="AN101" s="165">
        <f t="shared" si="59"/>
        <v>77.125748563219972</v>
      </c>
      <c r="AO101" s="165">
        <f t="shared" si="59"/>
        <v>83.549325955245294</v>
      </c>
      <c r="AP101" s="165">
        <f t="shared" si="59"/>
        <v>90.507904289051396</v>
      </c>
      <c r="AQ101" s="165">
        <f t="shared" si="59"/>
        <v>98.046042218396522</v>
      </c>
      <c r="AR101" s="166">
        <f t="shared" si="59"/>
        <v>106.21200955871028</v>
      </c>
    </row>
    <row r="102" spans="1:44" s="13" customFormat="1">
      <c r="B102" s="138"/>
      <c r="C102" s="138" t="s">
        <v>129</v>
      </c>
      <c r="D102" s="213"/>
      <c r="E102" s="165">
        <f>E103-E100+E101</f>
        <v>10.981218889336333</v>
      </c>
      <c r="F102" s="165">
        <f t="shared" ref="F102:AR102" si="60">F103-F100+F101</f>
        <v>12.39593558672891</v>
      </c>
      <c r="G102" s="165">
        <f t="shared" si="60"/>
        <v>13.844382286882771</v>
      </c>
      <c r="H102" s="165">
        <f t="shared" si="60"/>
        <v>15.31768388883161</v>
      </c>
      <c r="I102" s="165">
        <f t="shared" si="60"/>
        <v>16.82613952169266</v>
      </c>
      <c r="J102" s="165">
        <f t="shared" si="60"/>
        <v>18.389941374594564</v>
      </c>
      <c r="K102" s="165">
        <f t="shared" si="60"/>
        <v>20.031942894348752</v>
      </c>
      <c r="L102" s="165">
        <f t="shared" si="60"/>
        <v>21.774064105895512</v>
      </c>
      <c r="M102" s="165">
        <f t="shared" si="60"/>
        <v>23.636283616823139</v>
      </c>
      <c r="N102" s="165">
        <f t="shared" si="60"/>
        <v>25.6368696483487</v>
      </c>
      <c r="O102" s="165">
        <f t="shared" si="60"/>
        <v>27.793008669849598</v>
      </c>
      <c r="P102" s="165">
        <f t="shared" si="60"/>
        <v>30.121453860237018</v>
      </c>
      <c r="Q102" s="165">
        <f t="shared" si="60"/>
        <v>32.639071199556717</v>
      </c>
      <c r="R102" s="165">
        <f t="shared" si="60"/>
        <v>35.363269505832982</v>
      </c>
      <c r="S102" s="165">
        <f t="shared" si="60"/>
        <v>38.312336115243149</v>
      </c>
      <c r="T102" s="165">
        <f t="shared" si="60"/>
        <v>41.505705644059539</v>
      </c>
      <c r="U102" s="165">
        <f t="shared" si="60"/>
        <v>44.964185356162623</v>
      </c>
      <c r="V102" s="165">
        <f t="shared" si="60"/>
        <v>48.710154916984067</v>
      </c>
      <c r="W102" s="165">
        <f t="shared" si="60"/>
        <v>52.76775329463824</v>
      </c>
      <c r="X102" s="165">
        <f t="shared" si="60"/>
        <v>57.163061808380078</v>
      </c>
      <c r="Y102" s="165">
        <f t="shared" si="60"/>
        <v>61.924289702280085</v>
      </c>
      <c r="Z102" s="165">
        <f t="shared" si="60"/>
        <v>67.081966868435131</v>
      </c>
      <c r="AA102" s="165">
        <f t="shared" si="60"/>
        <v>72.669147207605349</v>
      </c>
      <c r="AB102" s="165">
        <f t="shared" si="60"/>
        <v>78.721625402400946</v>
      </c>
      <c r="AC102" s="165">
        <f t="shared" si="60"/>
        <v>85.278169451584574</v>
      </c>
      <c r="AD102" s="165">
        <f t="shared" si="60"/>
        <v>92.38077108001022</v>
      </c>
      <c r="AE102" s="165">
        <f t="shared" si="60"/>
        <v>100.07491603471288</v>
      </c>
      <c r="AF102" s="165">
        <f t="shared" si="60"/>
        <v>108.40987626271485</v>
      </c>
      <c r="AG102" s="165">
        <f t="shared" si="60"/>
        <v>117.439026013635</v>
      </c>
      <c r="AH102" s="165">
        <f t="shared" si="60"/>
        <v>127.22018400316063</v>
      </c>
      <c r="AI102" s="165">
        <f t="shared" si="60"/>
        <v>137.81598390115064</v>
      </c>
      <c r="AJ102" s="165">
        <f t="shared" si="60"/>
        <v>149.29427556405443</v>
      </c>
      <c r="AK102" s="165">
        <f t="shared" si="60"/>
        <v>161.7285596116474</v>
      </c>
      <c r="AL102" s="165">
        <f t="shared" si="60"/>
        <v>175.19845815083545</v>
      </c>
      <c r="AM102" s="165">
        <f t="shared" si="60"/>
        <v>189.79022467375859</v>
      </c>
      <c r="AN102" s="165">
        <f t="shared" si="60"/>
        <v>205.59729640372643</v>
      </c>
      <c r="AO102" s="165">
        <f t="shared" si="60"/>
        <v>222.72089263136729</v>
      </c>
      <c r="AP102" s="165">
        <f t="shared" si="60"/>
        <v>241.27066287595409</v>
      </c>
      <c r="AQ102" s="165">
        <f t="shared" si="60"/>
        <v>261.36538902467152</v>
      </c>
      <c r="AR102" s="166">
        <f t="shared" si="60"/>
        <v>283.13374594741856</v>
      </c>
    </row>
    <row r="103" spans="1:44" s="13" customFormat="1">
      <c r="B103" s="138"/>
      <c r="C103" s="138" t="s">
        <v>130</v>
      </c>
      <c r="D103" s="150">
        <f>InitAssetBase/MonDenValue</f>
        <v>100</v>
      </c>
      <c r="E103" s="151">
        <f t="shared" ref="E103:AR103" si="61">E100*EXP(Inflation_Det)</f>
        <v>105.98121888933633</v>
      </c>
      <c r="F103" s="151">
        <f t="shared" si="61"/>
        <v>113.07809353159843</v>
      </c>
      <c r="G103" s="151">
        <f t="shared" si="61"/>
        <v>121.26857114190128</v>
      </c>
      <c r="H103" s="151">
        <f t="shared" si="61"/>
        <v>130.52282647363782</v>
      </c>
      <c r="I103" s="151">
        <f t="shared" si="61"/>
        <v>140.82282467164859</v>
      </c>
      <c r="J103" s="151">
        <f t="shared" si="61"/>
        <v>152.17162481266072</v>
      </c>
      <c r="K103" s="151">
        <f t="shared" si="61"/>
        <v>164.59498646637644</v>
      </c>
      <c r="L103" s="151">
        <f t="shared" si="61"/>
        <v>178.13930124895313</v>
      </c>
      <c r="M103" s="151">
        <f t="shared" si="61"/>
        <v>192.86861980332861</v>
      </c>
      <c r="N103" s="151">
        <f t="shared" si="61"/>
        <v>208.86205846151088</v>
      </c>
      <c r="O103" s="151">
        <f t="shared" si="61"/>
        <v>226.21196420828494</v>
      </c>
      <c r="P103" s="151">
        <f t="shared" si="61"/>
        <v>245.02281985810771</v>
      </c>
      <c r="Q103" s="151">
        <f t="shared" si="61"/>
        <v>265.41075006475904</v>
      </c>
      <c r="R103" s="151">
        <f t="shared" si="61"/>
        <v>287.50348206735407</v>
      </c>
      <c r="S103" s="151">
        <f t="shared" si="61"/>
        <v>311.44064407922951</v>
      </c>
      <c r="T103" s="151">
        <f t="shared" si="61"/>
        <v>337.37431751932758</v>
      </c>
      <c r="U103" s="151">
        <f t="shared" si="61"/>
        <v>365.46978699952382</v>
      </c>
      <c r="V103" s="151">
        <f t="shared" si="61"/>
        <v>395.9064525665317</v>
      </c>
      <c r="W103" s="151">
        <f t="shared" si="61"/>
        <v>428.87888323284335</v>
      </c>
      <c r="X103" s="151">
        <f t="shared" si="61"/>
        <v>464.59800087958126</v>
      </c>
      <c r="Y103" s="151">
        <f t="shared" si="61"/>
        <v>503.29239053788228</v>
      </c>
      <c r="Z103" s="151">
        <f t="shared" si="61"/>
        <v>545.2097378794233</v>
      </c>
      <c r="AA103" s="151">
        <f t="shared" si="61"/>
        <v>590.61839819305749</v>
      </c>
      <c r="AB103" s="151">
        <f t="shared" si="61"/>
        <v>639.80910368580555</v>
      </c>
      <c r="AC103" s="151">
        <f t="shared" si="61"/>
        <v>693.09681795309984</v>
      </c>
      <c r="AD103" s="151">
        <f t="shared" si="61"/>
        <v>750.82274813545507</v>
      </c>
      <c r="AE103" s="151">
        <f t="shared" si="61"/>
        <v>813.35652676339521</v>
      </c>
      <c r="AF103" s="151">
        <f t="shared" si="61"/>
        <v>881.09857668794029</v>
      </c>
      <c r="AG103" s="151">
        <f t="shared" si="61"/>
        <v>954.48267386717828</v>
      </c>
      <c r="AH103" s="151">
        <f t="shared" si="61"/>
        <v>1033.97872417698</v>
      </c>
      <c r="AI103" s="151">
        <f t="shared" si="61"/>
        <v>1120.0957718692816</v>
      </c>
      <c r="AJ103" s="151">
        <f t="shared" si="61"/>
        <v>1213.385258839872</v>
      </c>
      <c r="AK103" s="151">
        <f t="shared" si="61"/>
        <v>1314.4445555095258</v>
      </c>
      <c r="AL103" s="151">
        <f t="shared" si="61"/>
        <v>1423.9207858848849</v>
      </c>
      <c r="AM103" s="151">
        <f t="shared" si="61"/>
        <v>1542.5149712643993</v>
      </c>
      <c r="AN103" s="151">
        <f t="shared" si="61"/>
        <v>1670.9865191049057</v>
      </c>
      <c r="AO103" s="151">
        <f t="shared" si="61"/>
        <v>1810.1580857810277</v>
      </c>
      <c r="AP103" s="151">
        <f t="shared" si="61"/>
        <v>1960.9208443679304</v>
      </c>
      <c r="AQ103" s="151">
        <f t="shared" si="61"/>
        <v>2124.2401911742054</v>
      </c>
      <c r="AR103" s="152">
        <f t="shared" si="61"/>
        <v>2301.1619275629137</v>
      </c>
    </row>
    <row r="104" spans="1:44" s="3" customFormat="1">
      <c r="B104" s="12"/>
    </row>
    <row r="105" spans="1:44" s="13" customFormat="1">
      <c r="B105" s="138"/>
      <c r="C105" s="138" t="s">
        <v>131</v>
      </c>
      <c r="D105" s="147"/>
      <c r="E105" s="148">
        <f>D108</f>
        <v>0</v>
      </c>
      <c r="F105" s="148">
        <f t="shared" ref="F105:AR105" si="62">E108</f>
        <v>0.55173822553788499</v>
      </c>
      <c r="G105" s="148">
        <f t="shared" si="62"/>
        <v>1.5081568841729602</v>
      </c>
      <c r="H105" s="148">
        <f t="shared" si="62"/>
        <v>4.1147247593386007</v>
      </c>
      <c r="I105" s="148">
        <f t="shared" si="62"/>
        <v>10.515531906161323</v>
      </c>
      <c r="J105" s="148">
        <f t="shared" si="62"/>
        <v>23.041496347070989</v>
      </c>
      <c r="K105" s="148">
        <f t="shared" si="62"/>
        <v>39.59261184554795</v>
      </c>
      <c r="L105" s="148">
        <f t="shared" si="62"/>
        <v>52.867973788947261</v>
      </c>
      <c r="M105" s="148">
        <f t="shared" si="62"/>
        <v>59.241273971516911</v>
      </c>
      <c r="N105" s="148">
        <f t="shared" si="62"/>
        <v>60.544692668511487</v>
      </c>
      <c r="O105" s="148">
        <f t="shared" si="62"/>
        <v>60.426279923279374</v>
      </c>
      <c r="P105" s="148">
        <f t="shared" si="62"/>
        <v>57.404965927115406</v>
      </c>
      <c r="Q105" s="148">
        <f t="shared" si="62"/>
        <v>54.534717630759637</v>
      </c>
      <c r="R105" s="148">
        <f t="shared" si="62"/>
        <v>51.807981749221653</v>
      </c>
      <c r="S105" s="148">
        <f t="shared" si="62"/>
        <v>49.217582661760574</v>
      </c>
      <c r="T105" s="148">
        <f t="shared" si="62"/>
        <v>46.756703528672546</v>
      </c>
      <c r="U105" s="148">
        <f t="shared" si="62"/>
        <v>44.418868352238917</v>
      </c>
      <c r="V105" s="148">
        <f t="shared" si="62"/>
        <v>42.197924934626968</v>
      </c>
      <c r="W105" s="148">
        <f t="shared" si="62"/>
        <v>40.088028687895623</v>
      </c>
      <c r="X105" s="148">
        <f t="shared" si="62"/>
        <v>38.083627253500843</v>
      </c>
      <c r="Y105" s="148">
        <f t="shared" si="62"/>
        <v>36.179445890825804</v>
      </c>
      <c r="Z105" s="148">
        <f t="shared" si="62"/>
        <v>34.370473596284512</v>
      </c>
      <c r="AA105" s="148">
        <f t="shared" si="62"/>
        <v>32.651949916470286</v>
      </c>
      <c r="AB105" s="148">
        <f t="shared" si="62"/>
        <v>31.019352420646772</v>
      </c>
      <c r="AC105" s="148">
        <f t="shared" si="62"/>
        <v>29.468384799614434</v>
      </c>
      <c r="AD105" s="148">
        <f t="shared" si="62"/>
        <v>27.994965559633712</v>
      </c>
      <c r="AE105" s="148">
        <f t="shared" si="62"/>
        <v>26.595217281652026</v>
      </c>
      <c r="AF105" s="148">
        <f t="shared" si="62"/>
        <v>25.265456417569425</v>
      </c>
      <c r="AG105" s="148">
        <f t="shared" si="62"/>
        <v>24.002183596690955</v>
      </c>
      <c r="AH105" s="148">
        <f t="shared" si="62"/>
        <v>22.802074416856406</v>
      </c>
      <c r="AI105" s="148">
        <f t="shared" si="62"/>
        <v>21.661970696013586</v>
      </c>
      <c r="AJ105" s="148">
        <f t="shared" si="62"/>
        <v>20.578872161212907</v>
      </c>
      <c r="AK105" s="148">
        <f t="shared" si="62"/>
        <v>19.549928553152263</v>
      </c>
      <c r="AL105" s="148">
        <f t="shared" si="62"/>
        <v>18.57243212549465</v>
      </c>
      <c r="AM105" s="148">
        <f t="shared" si="62"/>
        <v>17.643810519219919</v>
      </c>
      <c r="AN105" s="148">
        <f t="shared" si="62"/>
        <v>16.761619993258922</v>
      </c>
      <c r="AO105" s="148">
        <f t="shared" si="62"/>
        <v>15.923538993595976</v>
      </c>
      <c r="AP105" s="148">
        <f t="shared" si="62"/>
        <v>15.127362043916177</v>
      </c>
      <c r="AQ105" s="148">
        <f t="shared" si="62"/>
        <v>14.370993941720368</v>
      </c>
      <c r="AR105" s="149">
        <f t="shared" si="62"/>
        <v>13.652444244634349</v>
      </c>
    </row>
    <row r="106" spans="1:44" s="13" customFormat="1">
      <c r="B106" s="138"/>
      <c r="C106" s="138" t="s">
        <v>132</v>
      </c>
      <c r="D106" s="213"/>
      <c r="E106" s="165">
        <f>E38</f>
        <v>0.58077707951356317</v>
      </c>
      <c r="F106" s="165">
        <f t="shared" ref="F106:AR106" si="63">F38</f>
        <v>1.0357953367494417</v>
      </c>
      <c r="G106" s="165">
        <f t="shared" si="63"/>
        <v>2.8231323361834617</v>
      </c>
      <c r="H106" s="165">
        <f t="shared" si="63"/>
        <v>6.9542561945154242</v>
      </c>
      <c r="I106" s="165">
        <f t="shared" si="63"/>
        <v>13.738674774966036</v>
      </c>
      <c r="J106" s="165">
        <f t="shared" si="63"/>
        <v>18.634937174558434</v>
      </c>
      <c r="K106" s="165">
        <f t="shared" si="63"/>
        <v>16.057886879659687</v>
      </c>
      <c r="L106" s="165">
        <f t="shared" si="63"/>
        <v>9.4912619705442243</v>
      </c>
      <c r="M106" s="165">
        <f t="shared" si="63"/>
        <v>4.4899814690214912</v>
      </c>
      <c r="N106" s="165">
        <f t="shared" si="63"/>
        <v>3.0619177770457497</v>
      </c>
      <c r="O106" s="165">
        <f t="shared" si="63"/>
        <v>0</v>
      </c>
      <c r="P106" s="165">
        <f t="shared" si="63"/>
        <v>0</v>
      </c>
      <c r="Q106" s="165">
        <f t="shared" si="63"/>
        <v>0</v>
      </c>
      <c r="R106" s="165">
        <f t="shared" si="63"/>
        <v>0</v>
      </c>
      <c r="S106" s="165">
        <f t="shared" si="63"/>
        <v>0</v>
      </c>
      <c r="T106" s="165">
        <f t="shared" si="63"/>
        <v>0</v>
      </c>
      <c r="U106" s="165">
        <f t="shared" si="63"/>
        <v>0</v>
      </c>
      <c r="V106" s="165">
        <f t="shared" si="63"/>
        <v>0</v>
      </c>
      <c r="W106" s="165">
        <f t="shared" si="63"/>
        <v>0</v>
      </c>
      <c r="X106" s="165">
        <f t="shared" si="63"/>
        <v>0</v>
      </c>
      <c r="Y106" s="165">
        <f t="shared" si="63"/>
        <v>0</v>
      </c>
      <c r="Z106" s="165">
        <f t="shared" si="63"/>
        <v>0</v>
      </c>
      <c r="AA106" s="165">
        <f t="shared" si="63"/>
        <v>0</v>
      </c>
      <c r="AB106" s="165">
        <f t="shared" si="63"/>
        <v>0</v>
      </c>
      <c r="AC106" s="165">
        <f t="shared" si="63"/>
        <v>0</v>
      </c>
      <c r="AD106" s="165">
        <f t="shared" si="63"/>
        <v>0</v>
      </c>
      <c r="AE106" s="165">
        <f t="shared" si="63"/>
        <v>0</v>
      </c>
      <c r="AF106" s="165">
        <f t="shared" si="63"/>
        <v>0</v>
      </c>
      <c r="AG106" s="165">
        <f t="shared" si="63"/>
        <v>0</v>
      </c>
      <c r="AH106" s="165">
        <f t="shared" si="63"/>
        <v>0</v>
      </c>
      <c r="AI106" s="165">
        <f t="shared" si="63"/>
        <v>0</v>
      </c>
      <c r="AJ106" s="165">
        <f t="shared" si="63"/>
        <v>0</v>
      </c>
      <c r="AK106" s="165">
        <f t="shared" si="63"/>
        <v>0</v>
      </c>
      <c r="AL106" s="165">
        <f t="shared" si="63"/>
        <v>0</v>
      </c>
      <c r="AM106" s="165">
        <f t="shared" si="63"/>
        <v>0</v>
      </c>
      <c r="AN106" s="165">
        <f t="shared" si="63"/>
        <v>0</v>
      </c>
      <c r="AO106" s="165">
        <f t="shared" si="63"/>
        <v>0</v>
      </c>
      <c r="AP106" s="165">
        <f t="shared" si="63"/>
        <v>0</v>
      </c>
      <c r="AQ106" s="165">
        <f t="shared" si="63"/>
        <v>0</v>
      </c>
      <c r="AR106" s="166">
        <f t="shared" si="63"/>
        <v>0</v>
      </c>
    </row>
    <row r="107" spans="1:44" s="13" customFormat="1">
      <c r="B107" s="138"/>
      <c r="C107" s="138" t="s">
        <v>128</v>
      </c>
      <c r="D107" s="213"/>
      <c r="E107" s="165">
        <f>(E105+E106)*DepRate</f>
        <v>2.903885397567816E-2</v>
      </c>
      <c r="F107" s="165">
        <f t="shared" ref="F107:AR107" si="64">(F105+F106)*DepRate</f>
        <v>7.9376678114366328E-2</v>
      </c>
      <c r="G107" s="165">
        <f t="shared" si="64"/>
        <v>0.21656446101782112</v>
      </c>
      <c r="H107" s="165">
        <f t="shared" si="64"/>
        <v>0.55344904769270131</v>
      </c>
      <c r="I107" s="165">
        <f t="shared" si="64"/>
        <v>1.2127103340563679</v>
      </c>
      <c r="J107" s="165">
        <f t="shared" si="64"/>
        <v>2.0838216760814712</v>
      </c>
      <c r="K107" s="165">
        <f t="shared" si="64"/>
        <v>2.7825249362603821</v>
      </c>
      <c r="L107" s="165">
        <f t="shared" si="64"/>
        <v>3.1179617879745742</v>
      </c>
      <c r="M107" s="165">
        <f t="shared" si="64"/>
        <v>3.1865627720269205</v>
      </c>
      <c r="N107" s="165">
        <f t="shared" si="64"/>
        <v>3.1803305222778619</v>
      </c>
      <c r="O107" s="165">
        <f t="shared" si="64"/>
        <v>3.0213139961639688</v>
      </c>
      <c r="P107" s="165">
        <f t="shared" si="64"/>
        <v>2.8702482963557703</v>
      </c>
      <c r="Q107" s="165">
        <f t="shared" si="64"/>
        <v>2.7267358815379819</v>
      </c>
      <c r="R107" s="165">
        <f t="shared" si="64"/>
        <v>2.5903990874610829</v>
      </c>
      <c r="S107" s="165">
        <f t="shared" si="64"/>
        <v>2.4608791330880289</v>
      </c>
      <c r="T107" s="165">
        <f t="shared" si="64"/>
        <v>2.3378351764336274</v>
      </c>
      <c r="U107" s="165">
        <f t="shared" si="64"/>
        <v>2.220943417611946</v>
      </c>
      <c r="V107" s="165">
        <f t="shared" si="64"/>
        <v>2.1098962467313487</v>
      </c>
      <c r="W107" s="165">
        <f t="shared" si="64"/>
        <v>2.0044014343947811</v>
      </c>
      <c r="X107" s="165">
        <f t="shared" si="64"/>
        <v>1.9041813626750423</v>
      </c>
      <c r="Y107" s="165">
        <f t="shared" si="64"/>
        <v>1.8089722945412903</v>
      </c>
      <c r="Z107" s="165">
        <f t="shared" si="64"/>
        <v>1.7185236798142256</v>
      </c>
      <c r="AA107" s="165">
        <f t="shared" si="64"/>
        <v>1.6325974958235143</v>
      </c>
      <c r="AB107" s="165">
        <f t="shared" si="64"/>
        <v>1.5509676210323387</v>
      </c>
      <c r="AC107" s="165">
        <f t="shared" si="64"/>
        <v>1.4734192399807218</v>
      </c>
      <c r="AD107" s="165">
        <f t="shared" si="64"/>
        <v>1.3997482779816857</v>
      </c>
      <c r="AE107" s="165">
        <f t="shared" si="64"/>
        <v>1.3297608640826013</v>
      </c>
      <c r="AF107" s="165">
        <f t="shared" si="64"/>
        <v>1.2632728208784714</v>
      </c>
      <c r="AG107" s="165">
        <f t="shared" si="64"/>
        <v>1.2001091798345478</v>
      </c>
      <c r="AH107" s="165">
        <f t="shared" si="64"/>
        <v>1.1401037208428204</v>
      </c>
      <c r="AI107" s="165">
        <f t="shared" si="64"/>
        <v>1.0830985348006794</v>
      </c>
      <c r="AJ107" s="165">
        <f t="shared" si="64"/>
        <v>1.0289436080606453</v>
      </c>
      <c r="AK107" s="165">
        <f t="shared" si="64"/>
        <v>0.97749642765761324</v>
      </c>
      <c r="AL107" s="165">
        <f t="shared" si="64"/>
        <v>0.92862160627473256</v>
      </c>
      <c r="AM107" s="165">
        <f t="shared" si="64"/>
        <v>0.88219052596099601</v>
      </c>
      <c r="AN107" s="165">
        <f t="shared" si="64"/>
        <v>0.83808099966294614</v>
      </c>
      <c r="AO107" s="165">
        <f t="shared" si="64"/>
        <v>0.7961769496797988</v>
      </c>
      <c r="AP107" s="165">
        <f t="shared" si="64"/>
        <v>0.75636810219580886</v>
      </c>
      <c r="AQ107" s="165">
        <f t="shared" si="64"/>
        <v>0.71854969708601846</v>
      </c>
      <c r="AR107" s="166">
        <f t="shared" si="64"/>
        <v>0.68262221223171748</v>
      </c>
    </row>
    <row r="108" spans="1:44" s="13" customFormat="1">
      <c r="B108" s="138"/>
      <c r="C108" s="138" t="s">
        <v>133</v>
      </c>
      <c r="D108" s="150">
        <v>0</v>
      </c>
      <c r="E108" s="151">
        <f>E105+E106-E107</f>
        <v>0.55173822553788499</v>
      </c>
      <c r="F108" s="151">
        <f t="shared" ref="F108:AR108" si="65">F105+F106-F107</f>
        <v>1.5081568841729602</v>
      </c>
      <c r="G108" s="151">
        <f t="shared" si="65"/>
        <v>4.1147247593386007</v>
      </c>
      <c r="H108" s="151">
        <f t="shared" si="65"/>
        <v>10.515531906161323</v>
      </c>
      <c r="I108" s="151">
        <f t="shared" si="65"/>
        <v>23.041496347070989</v>
      </c>
      <c r="J108" s="151">
        <f t="shared" si="65"/>
        <v>39.59261184554795</v>
      </c>
      <c r="K108" s="151">
        <f t="shared" si="65"/>
        <v>52.867973788947261</v>
      </c>
      <c r="L108" s="151">
        <f t="shared" si="65"/>
        <v>59.241273971516911</v>
      </c>
      <c r="M108" s="151">
        <f t="shared" si="65"/>
        <v>60.544692668511487</v>
      </c>
      <c r="N108" s="151">
        <f t="shared" si="65"/>
        <v>60.426279923279374</v>
      </c>
      <c r="O108" s="151">
        <f t="shared" si="65"/>
        <v>57.404965927115406</v>
      </c>
      <c r="P108" s="151">
        <f t="shared" si="65"/>
        <v>54.534717630759637</v>
      </c>
      <c r="Q108" s="151">
        <f t="shared" si="65"/>
        <v>51.807981749221653</v>
      </c>
      <c r="R108" s="151">
        <f t="shared" si="65"/>
        <v>49.217582661760574</v>
      </c>
      <c r="S108" s="151">
        <f t="shared" si="65"/>
        <v>46.756703528672546</v>
      </c>
      <c r="T108" s="151">
        <f t="shared" si="65"/>
        <v>44.418868352238917</v>
      </c>
      <c r="U108" s="151">
        <f t="shared" si="65"/>
        <v>42.197924934626968</v>
      </c>
      <c r="V108" s="151">
        <f t="shared" si="65"/>
        <v>40.088028687895623</v>
      </c>
      <c r="W108" s="151">
        <f t="shared" si="65"/>
        <v>38.083627253500843</v>
      </c>
      <c r="X108" s="151">
        <f t="shared" si="65"/>
        <v>36.179445890825804</v>
      </c>
      <c r="Y108" s="151">
        <f t="shared" si="65"/>
        <v>34.370473596284512</v>
      </c>
      <c r="Z108" s="151">
        <f t="shared" si="65"/>
        <v>32.651949916470286</v>
      </c>
      <c r="AA108" s="151">
        <f t="shared" si="65"/>
        <v>31.019352420646772</v>
      </c>
      <c r="AB108" s="151">
        <f t="shared" si="65"/>
        <v>29.468384799614434</v>
      </c>
      <c r="AC108" s="151">
        <f t="shared" si="65"/>
        <v>27.994965559633712</v>
      </c>
      <c r="AD108" s="151">
        <f t="shared" si="65"/>
        <v>26.595217281652026</v>
      </c>
      <c r="AE108" s="151">
        <f t="shared" si="65"/>
        <v>25.265456417569425</v>
      </c>
      <c r="AF108" s="151">
        <f t="shared" si="65"/>
        <v>24.002183596690955</v>
      </c>
      <c r="AG108" s="151">
        <f t="shared" si="65"/>
        <v>22.802074416856406</v>
      </c>
      <c r="AH108" s="151">
        <f t="shared" si="65"/>
        <v>21.661970696013586</v>
      </c>
      <c r="AI108" s="151">
        <f t="shared" si="65"/>
        <v>20.578872161212907</v>
      </c>
      <c r="AJ108" s="151">
        <f t="shared" si="65"/>
        <v>19.549928553152263</v>
      </c>
      <c r="AK108" s="151">
        <f t="shared" si="65"/>
        <v>18.57243212549465</v>
      </c>
      <c r="AL108" s="151">
        <f t="shared" si="65"/>
        <v>17.643810519219919</v>
      </c>
      <c r="AM108" s="151">
        <f t="shared" si="65"/>
        <v>16.761619993258922</v>
      </c>
      <c r="AN108" s="151">
        <f t="shared" si="65"/>
        <v>15.923538993595976</v>
      </c>
      <c r="AO108" s="151">
        <f t="shared" si="65"/>
        <v>15.127362043916177</v>
      </c>
      <c r="AP108" s="151">
        <f t="shared" si="65"/>
        <v>14.370993941720368</v>
      </c>
      <c r="AQ108" s="151">
        <f t="shared" si="65"/>
        <v>13.652444244634349</v>
      </c>
      <c r="AR108" s="152">
        <f t="shared" si="65"/>
        <v>12.969822032402632</v>
      </c>
    </row>
    <row r="109" spans="1:44" s="3" customFormat="1">
      <c r="B109" s="6" t="s">
        <v>53</v>
      </c>
      <c r="E109" s="175"/>
      <c r="F109" s="175"/>
      <c r="G109" s="175"/>
      <c r="H109" s="175"/>
      <c r="I109" s="175"/>
      <c r="J109" s="175"/>
      <c r="K109" s="175"/>
      <c r="L109" s="175"/>
      <c r="M109" s="175"/>
      <c r="N109" s="175"/>
      <c r="O109" s="175"/>
      <c r="P109" s="175"/>
      <c r="Q109" s="175"/>
      <c r="R109" s="175"/>
      <c r="S109" s="175"/>
      <c r="T109" s="175"/>
      <c r="U109" s="175"/>
      <c r="V109" s="175"/>
      <c r="W109" s="175"/>
      <c r="X109" s="175"/>
    </row>
    <row r="110" spans="1:44" s="13" customFormat="1">
      <c r="C110" s="214" t="s">
        <v>134</v>
      </c>
      <c r="D110" s="215"/>
      <c r="E110" s="216">
        <f t="shared" ref="E110:AR110" si="66">IF(Year="",,BilledDemand_Det*DiscountFactor)</f>
        <v>1.3162651429969998</v>
      </c>
      <c r="F110" s="148">
        <f t="shared" si="66"/>
        <v>1.2747593851393468</v>
      </c>
      <c r="G110" s="148">
        <f t="shared" si="66"/>
        <v>1.2674406949325774</v>
      </c>
      <c r="H110" s="148">
        <f t="shared" si="66"/>
        <v>1.3250420380889365</v>
      </c>
      <c r="I110" s="148">
        <f t="shared" si="66"/>
        <v>1.4684136898658642</v>
      </c>
      <c r="J110" s="148">
        <f t="shared" si="66"/>
        <v>1.6451459497366463</v>
      </c>
      <c r="K110" s="148">
        <f t="shared" si="66"/>
        <v>1.7531126354528921</v>
      </c>
      <c r="L110" s="148">
        <f t="shared" si="66"/>
        <v>1.7653811833012665</v>
      </c>
      <c r="M110" s="148">
        <f t="shared" si="66"/>
        <v>1.7199179314907576</v>
      </c>
      <c r="N110" s="148">
        <f t="shared" si="66"/>
        <v>1.6603776809633342</v>
      </c>
      <c r="O110" s="148">
        <f t="shared" si="66"/>
        <v>1.5794001059165825</v>
      </c>
      <c r="P110" s="148">
        <f t="shared" si="66"/>
        <v>1.502371853807398</v>
      </c>
      <c r="Q110" s="148">
        <f t="shared" si="66"/>
        <v>1.4291003138832816</v>
      </c>
      <c r="R110" s="148">
        <f t="shared" si="66"/>
        <v>1.359402269128984</v>
      </c>
      <c r="S110" s="148">
        <f t="shared" si="66"/>
        <v>1.2931034381285278</v>
      </c>
      <c r="T110" s="148">
        <f t="shared" si="66"/>
        <v>1.2300380392708943</v>
      </c>
      <c r="U110" s="148">
        <f t="shared" si="66"/>
        <v>1.1700483762096392</v>
      </c>
      <c r="V110" s="148">
        <f t="shared" si="66"/>
        <v>1.1129844435398901</v>
      </c>
      <c r="W110" s="148">
        <f t="shared" si="66"/>
        <v>1.0587035517066969</v>
      </c>
      <c r="X110" s="148">
        <f t="shared" si="66"/>
        <v>1.0070699702068231</v>
      </c>
      <c r="Y110" s="148">
        <f t="shared" si="66"/>
        <v>0</v>
      </c>
      <c r="Z110" s="148">
        <f t="shared" si="66"/>
        <v>0</v>
      </c>
      <c r="AA110" s="148">
        <f t="shared" si="66"/>
        <v>0</v>
      </c>
      <c r="AB110" s="148">
        <f t="shared" si="66"/>
        <v>0</v>
      </c>
      <c r="AC110" s="148">
        <f t="shared" si="66"/>
        <v>0</v>
      </c>
      <c r="AD110" s="148">
        <f t="shared" si="66"/>
        <v>0</v>
      </c>
      <c r="AE110" s="148">
        <f t="shared" si="66"/>
        <v>0</v>
      </c>
      <c r="AF110" s="148">
        <f t="shared" si="66"/>
        <v>0</v>
      </c>
      <c r="AG110" s="148">
        <f t="shared" si="66"/>
        <v>0</v>
      </c>
      <c r="AH110" s="148">
        <f t="shared" si="66"/>
        <v>0</v>
      </c>
      <c r="AI110" s="148">
        <f t="shared" si="66"/>
        <v>0</v>
      </c>
      <c r="AJ110" s="148">
        <f t="shared" si="66"/>
        <v>0</v>
      </c>
      <c r="AK110" s="148">
        <f t="shared" si="66"/>
        <v>0</v>
      </c>
      <c r="AL110" s="148">
        <f t="shared" si="66"/>
        <v>0</v>
      </c>
      <c r="AM110" s="148">
        <f t="shared" si="66"/>
        <v>0</v>
      </c>
      <c r="AN110" s="148">
        <f t="shared" si="66"/>
        <v>0</v>
      </c>
      <c r="AO110" s="148">
        <f t="shared" si="66"/>
        <v>0</v>
      </c>
      <c r="AP110" s="148">
        <f t="shared" si="66"/>
        <v>0</v>
      </c>
      <c r="AQ110" s="148">
        <f t="shared" si="66"/>
        <v>0</v>
      </c>
      <c r="AR110" s="149">
        <f t="shared" si="66"/>
        <v>0</v>
      </c>
    </row>
    <row r="111" spans="1:44" s="13" customFormat="1">
      <c r="C111" s="214" t="s">
        <v>135</v>
      </c>
      <c r="D111" s="217"/>
      <c r="E111" s="218">
        <f t="shared" ref="E111:AR111" si="67">IF(Year="","",IF(OR(Tariff_Period=1,MOD(Year,Tariff_Period)=1),E110,D111+E110))</f>
        <v>1.3162651429969998</v>
      </c>
      <c r="F111" s="151">
        <f t="shared" si="67"/>
        <v>2.5910245281363466</v>
      </c>
      <c r="G111" s="151">
        <f t="shared" si="67"/>
        <v>3.858465223068924</v>
      </c>
      <c r="H111" s="151">
        <f t="shared" si="67"/>
        <v>5.1835072611578603</v>
      </c>
      <c r="I111" s="151">
        <f t="shared" si="67"/>
        <v>6.6519209510237243</v>
      </c>
      <c r="J111" s="151">
        <f t="shared" si="67"/>
        <v>1.6451459497366463</v>
      </c>
      <c r="K111" s="151">
        <f t="shared" si="67"/>
        <v>3.3982585851895384</v>
      </c>
      <c r="L111" s="151">
        <f t="shared" si="67"/>
        <v>5.1636397684908051</v>
      </c>
      <c r="M111" s="151">
        <f t="shared" si="67"/>
        <v>6.8835576999815622</v>
      </c>
      <c r="N111" s="151">
        <f t="shared" si="67"/>
        <v>8.5439353809448964</v>
      </c>
      <c r="O111" s="151">
        <f t="shared" si="67"/>
        <v>1.5794001059165825</v>
      </c>
      <c r="P111" s="151">
        <f t="shared" si="67"/>
        <v>3.0817719597239805</v>
      </c>
      <c r="Q111" s="151">
        <f t="shared" si="67"/>
        <v>4.5108722736072622</v>
      </c>
      <c r="R111" s="151">
        <f t="shared" si="67"/>
        <v>5.8702745427362464</v>
      </c>
      <c r="S111" s="151">
        <f t="shared" si="67"/>
        <v>7.163377980864774</v>
      </c>
      <c r="T111" s="151">
        <f t="shared" si="67"/>
        <v>1.2300380392708943</v>
      </c>
      <c r="U111" s="151">
        <f t="shared" si="67"/>
        <v>2.4000864154805335</v>
      </c>
      <c r="V111" s="151">
        <f t="shared" si="67"/>
        <v>3.5130708590204236</v>
      </c>
      <c r="W111" s="151">
        <f t="shared" si="67"/>
        <v>4.5717744107271203</v>
      </c>
      <c r="X111" s="151">
        <f t="shared" si="67"/>
        <v>5.5788443809339432</v>
      </c>
      <c r="Y111" s="151" t="str">
        <f t="shared" si="67"/>
        <v/>
      </c>
      <c r="Z111" s="151" t="str">
        <f t="shared" si="67"/>
        <v/>
      </c>
      <c r="AA111" s="151" t="str">
        <f t="shared" si="67"/>
        <v/>
      </c>
      <c r="AB111" s="151" t="str">
        <f t="shared" si="67"/>
        <v/>
      </c>
      <c r="AC111" s="151" t="str">
        <f t="shared" si="67"/>
        <v/>
      </c>
      <c r="AD111" s="151" t="str">
        <f t="shared" si="67"/>
        <v/>
      </c>
      <c r="AE111" s="151" t="str">
        <f t="shared" si="67"/>
        <v/>
      </c>
      <c r="AF111" s="151" t="str">
        <f t="shared" si="67"/>
        <v/>
      </c>
      <c r="AG111" s="151" t="str">
        <f t="shared" si="67"/>
        <v/>
      </c>
      <c r="AH111" s="151" t="str">
        <f t="shared" si="67"/>
        <v/>
      </c>
      <c r="AI111" s="151" t="str">
        <f t="shared" si="67"/>
        <v/>
      </c>
      <c r="AJ111" s="151" t="str">
        <f t="shared" si="67"/>
        <v/>
      </c>
      <c r="AK111" s="151" t="str">
        <f t="shared" si="67"/>
        <v/>
      </c>
      <c r="AL111" s="151" t="str">
        <f t="shared" si="67"/>
        <v/>
      </c>
      <c r="AM111" s="151" t="str">
        <f t="shared" si="67"/>
        <v/>
      </c>
      <c r="AN111" s="151" t="str">
        <f t="shared" si="67"/>
        <v/>
      </c>
      <c r="AO111" s="151" t="str">
        <f t="shared" si="67"/>
        <v/>
      </c>
      <c r="AP111" s="151" t="str">
        <f t="shared" si="67"/>
        <v/>
      </c>
      <c r="AQ111" s="151" t="str">
        <f t="shared" si="67"/>
        <v/>
      </c>
      <c r="AR111" s="152" t="str">
        <f t="shared" si="67"/>
        <v/>
      </c>
    </row>
    <row r="112" spans="1:44" s="13" customFormat="1">
      <c r="B112" s="138"/>
      <c r="C112" s="138" t="str">
        <f>CONCATENATE(Tariff_Period," year discounted demand")</f>
        <v>5 year discounted demand</v>
      </c>
      <c r="D112" s="219">
        <f t="shared" ref="D112:AR112" si="68">IF(Year&gt;Contract_Length,"",IF(Year&lt;INT(Contract_Length/Tariff_Period)*Tariff_Period,IF(MOD(Year,Tariff_Period)=0,INDEX(111:111,1,COLUMN()+Tariff_Period),),IF(Year=INT(Contract_Length/Tariff_Period)*Tariff_Period,INDEX(111:111,1,Contract_Length+4),)))</f>
        <v>6.6519209510237243</v>
      </c>
      <c r="E112" s="151">
        <f t="shared" si="68"/>
        <v>0</v>
      </c>
      <c r="F112" s="151">
        <f t="shared" si="68"/>
        <v>0</v>
      </c>
      <c r="G112" s="151">
        <f t="shared" si="68"/>
        <v>0</v>
      </c>
      <c r="H112" s="151">
        <f t="shared" si="68"/>
        <v>0</v>
      </c>
      <c r="I112" s="151">
        <f t="shared" si="68"/>
        <v>8.5439353809448964</v>
      </c>
      <c r="J112" s="151">
        <f t="shared" si="68"/>
        <v>0</v>
      </c>
      <c r="K112" s="151">
        <f t="shared" si="68"/>
        <v>0</v>
      </c>
      <c r="L112" s="151">
        <f t="shared" si="68"/>
        <v>0</v>
      </c>
      <c r="M112" s="151">
        <f t="shared" si="68"/>
        <v>0</v>
      </c>
      <c r="N112" s="151">
        <f t="shared" si="68"/>
        <v>7.163377980864774</v>
      </c>
      <c r="O112" s="151">
        <f t="shared" si="68"/>
        <v>0</v>
      </c>
      <c r="P112" s="151">
        <f t="shared" si="68"/>
        <v>0</v>
      </c>
      <c r="Q112" s="151">
        <f t="shared" si="68"/>
        <v>0</v>
      </c>
      <c r="R112" s="151">
        <f t="shared" si="68"/>
        <v>0</v>
      </c>
      <c r="S112" s="151">
        <f t="shared" si="68"/>
        <v>5.5788443809339432</v>
      </c>
      <c r="T112" s="151">
        <f t="shared" si="68"/>
        <v>0</v>
      </c>
      <c r="U112" s="151">
        <f t="shared" si="68"/>
        <v>0</v>
      </c>
      <c r="V112" s="151">
        <f t="shared" si="68"/>
        <v>0</v>
      </c>
      <c r="W112" s="151">
        <f t="shared" si="68"/>
        <v>0</v>
      </c>
      <c r="X112" s="151">
        <f t="shared" si="68"/>
        <v>5.5788443809339432</v>
      </c>
      <c r="Y112" s="151" t="str">
        <f t="shared" si="68"/>
        <v/>
      </c>
      <c r="Z112" s="151" t="str">
        <f t="shared" si="68"/>
        <v/>
      </c>
      <c r="AA112" s="151" t="str">
        <f t="shared" si="68"/>
        <v/>
      </c>
      <c r="AB112" s="151" t="str">
        <f t="shared" si="68"/>
        <v/>
      </c>
      <c r="AC112" s="151" t="str">
        <f t="shared" si="68"/>
        <v/>
      </c>
      <c r="AD112" s="151" t="str">
        <f t="shared" si="68"/>
        <v/>
      </c>
      <c r="AE112" s="151" t="str">
        <f t="shared" si="68"/>
        <v/>
      </c>
      <c r="AF112" s="151" t="str">
        <f t="shared" si="68"/>
        <v/>
      </c>
      <c r="AG112" s="151" t="str">
        <f t="shared" si="68"/>
        <v/>
      </c>
      <c r="AH112" s="151" t="str">
        <f t="shared" si="68"/>
        <v/>
      </c>
      <c r="AI112" s="151" t="str">
        <f t="shared" si="68"/>
        <v/>
      </c>
      <c r="AJ112" s="151" t="str">
        <f t="shared" si="68"/>
        <v/>
      </c>
      <c r="AK112" s="151" t="str">
        <f t="shared" si="68"/>
        <v/>
      </c>
      <c r="AL112" s="151" t="str">
        <f t="shared" si="68"/>
        <v/>
      </c>
      <c r="AM112" s="151" t="str">
        <f t="shared" si="68"/>
        <v/>
      </c>
      <c r="AN112" s="151" t="str">
        <f t="shared" si="68"/>
        <v/>
      </c>
      <c r="AO112" s="151" t="str">
        <f t="shared" si="68"/>
        <v/>
      </c>
      <c r="AP112" s="151" t="str">
        <f t="shared" si="68"/>
        <v/>
      </c>
      <c r="AQ112" s="151" t="str">
        <f t="shared" si="68"/>
        <v/>
      </c>
      <c r="AR112" s="152" t="str">
        <f t="shared" si="68"/>
        <v/>
      </c>
    </row>
    <row r="113" spans="2:44" s="3" customFormat="1">
      <c r="B113" s="6" t="s">
        <v>136</v>
      </c>
      <c r="D113" s="13"/>
      <c r="E113" s="13"/>
      <c r="F113" s="220"/>
      <c r="J113" s="13"/>
      <c r="O113" s="13"/>
    </row>
    <row r="114" spans="2:44" s="13" customFormat="1">
      <c r="B114" s="138"/>
      <c r="C114" s="138" t="s">
        <v>31</v>
      </c>
      <c r="E114" s="147">
        <f t="shared" ref="E114:AR114" si="69">IF(Year="",,DisRate_Cur*SUM(E105:E106)*ServExt_CAPct)</f>
        <v>2.0327197782974711E-2</v>
      </c>
      <c r="F114" s="148">
        <f t="shared" si="69"/>
        <v>5.5563674680056435E-2</v>
      </c>
      <c r="G114" s="148">
        <f t="shared" si="69"/>
        <v>0.15159512271247477</v>
      </c>
      <c r="H114" s="148">
        <f t="shared" si="69"/>
        <v>0.3874143333848909</v>
      </c>
      <c r="I114" s="148">
        <f t="shared" si="69"/>
        <v>0.84889723383945759</v>
      </c>
      <c r="J114" s="148">
        <f t="shared" si="69"/>
        <v>1.4586751732570298</v>
      </c>
      <c r="K114" s="148">
        <f t="shared" si="69"/>
        <v>1.9477674553822677</v>
      </c>
      <c r="L114" s="148">
        <f t="shared" si="69"/>
        <v>2.1825732515822023</v>
      </c>
      <c r="M114" s="148">
        <f t="shared" si="69"/>
        <v>2.2305939404188444</v>
      </c>
      <c r="N114" s="148">
        <f t="shared" si="69"/>
        <v>2.2262313655945034</v>
      </c>
      <c r="O114" s="148">
        <f t="shared" si="69"/>
        <v>2.1149197973147782</v>
      </c>
      <c r="P114" s="148">
        <f t="shared" si="69"/>
        <v>2.0091738074490393</v>
      </c>
      <c r="Q114" s="148">
        <f t="shared" si="69"/>
        <v>1.9087151170765875</v>
      </c>
      <c r="R114" s="148">
        <f t="shared" si="69"/>
        <v>1.813279361222758</v>
      </c>
      <c r="S114" s="148">
        <f t="shared" si="69"/>
        <v>1.7226153931616202</v>
      </c>
      <c r="T114" s="148">
        <f t="shared" si="69"/>
        <v>1.6364846235035393</v>
      </c>
      <c r="U114" s="148">
        <f t="shared" si="69"/>
        <v>1.5546603923283622</v>
      </c>
      <c r="V114" s="148">
        <f t="shared" si="69"/>
        <v>1.4769273727119441</v>
      </c>
      <c r="W114" s="148">
        <f t="shared" si="69"/>
        <v>1.4030810040763468</v>
      </c>
      <c r="X114" s="148">
        <f t="shared" si="69"/>
        <v>1.3329269538725297</v>
      </c>
      <c r="Y114" s="148">
        <f t="shared" si="69"/>
        <v>0</v>
      </c>
      <c r="Z114" s="148">
        <f t="shared" si="69"/>
        <v>0</v>
      </c>
      <c r="AA114" s="148">
        <f t="shared" si="69"/>
        <v>0</v>
      </c>
      <c r="AB114" s="148">
        <f t="shared" si="69"/>
        <v>0</v>
      </c>
      <c r="AC114" s="148">
        <f t="shared" si="69"/>
        <v>0</v>
      </c>
      <c r="AD114" s="148">
        <f t="shared" si="69"/>
        <v>0</v>
      </c>
      <c r="AE114" s="148">
        <f t="shared" si="69"/>
        <v>0</v>
      </c>
      <c r="AF114" s="148">
        <f t="shared" si="69"/>
        <v>0</v>
      </c>
      <c r="AG114" s="148">
        <f t="shared" si="69"/>
        <v>0</v>
      </c>
      <c r="AH114" s="148">
        <f t="shared" si="69"/>
        <v>0</v>
      </c>
      <c r="AI114" s="148">
        <f t="shared" si="69"/>
        <v>0</v>
      </c>
      <c r="AJ114" s="148">
        <f t="shared" si="69"/>
        <v>0</v>
      </c>
      <c r="AK114" s="148">
        <f t="shared" si="69"/>
        <v>0</v>
      </c>
      <c r="AL114" s="148">
        <f t="shared" si="69"/>
        <v>0</v>
      </c>
      <c r="AM114" s="148">
        <f t="shared" si="69"/>
        <v>0</v>
      </c>
      <c r="AN114" s="148">
        <f t="shared" si="69"/>
        <v>0</v>
      </c>
      <c r="AO114" s="148">
        <f t="shared" si="69"/>
        <v>0</v>
      </c>
      <c r="AP114" s="148">
        <f t="shared" si="69"/>
        <v>0</v>
      </c>
      <c r="AQ114" s="148">
        <f t="shared" si="69"/>
        <v>0</v>
      </c>
      <c r="AR114" s="149">
        <f t="shared" si="69"/>
        <v>0</v>
      </c>
    </row>
    <row r="115" spans="2:44" s="13" customFormat="1">
      <c r="B115" s="138"/>
      <c r="C115" s="138" t="s">
        <v>30</v>
      </c>
      <c r="E115" s="221">
        <f t="shared" ref="E115:AR115" si="70">IF(Year="",,DisRate_Cur*SUM(E105:E106)*ServExt_LoanPct)</f>
        <v>2.0327197782974711E-2</v>
      </c>
      <c r="F115" s="222">
        <f t="shared" si="70"/>
        <v>5.5563674680056435E-2</v>
      </c>
      <c r="G115" s="222">
        <f t="shared" si="70"/>
        <v>0.15159512271247477</v>
      </c>
      <c r="H115" s="222">
        <f t="shared" si="70"/>
        <v>0.3874143333848909</v>
      </c>
      <c r="I115" s="222">
        <f t="shared" si="70"/>
        <v>0.84889723383945759</v>
      </c>
      <c r="J115" s="222">
        <f t="shared" si="70"/>
        <v>1.4586751732570298</v>
      </c>
      <c r="K115" s="222">
        <f t="shared" si="70"/>
        <v>1.9477674553822677</v>
      </c>
      <c r="L115" s="222">
        <f t="shared" si="70"/>
        <v>2.1825732515822023</v>
      </c>
      <c r="M115" s="222">
        <f t="shared" si="70"/>
        <v>2.2305939404188444</v>
      </c>
      <c r="N115" s="222">
        <f t="shared" si="70"/>
        <v>2.2262313655945034</v>
      </c>
      <c r="O115" s="222">
        <f t="shared" si="70"/>
        <v>2.1149197973147782</v>
      </c>
      <c r="P115" s="222">
        <f t="shared" si="70"/>
        <v>2.0091738074490393</v>
      </c>
      <c r="Q115" s="222">
        <f t="shared" si="70"/>
        <v>1.9087151170765875</v>
      </c>
      <c r="R115" s="222">
        <f t="shared" si="70"/>
        <v>1.813279361222758</v>
      </c>
      <c r="S115" s="222">
        <f t="shared" si="70"/>
        <v>1.7226153931616202</v>
      </c>
      <c r="T115" s="222">
        <f t="shared" si="70"/>
        <v>1.6364846235035393</v>
      </c>
      <c r="U115" s="222">
        <f t="shared" si="70"/>
        <v>1.5546603923283622</v>
      </c>
      <c r="V115" s="222">
        <f t="shared" si="70"/>
        <v>1.4769273727119441</v>
      </c>
      <c r="W115" s="222">
        <f t="shared" si="70"/>
        <v>1.4030810040763468</v>
      </c>
      <c r="X115" s="222">
        <f t="shared" si="70"/>
        <v>1.3329269538725297</v>
      </c>
      <c r="Y115" s="222">
        <f t="shared" si="70"/>
        <v>0</v>
      </c>
      <c r="Z115" s="222">
        <f t="shared" si="70"/>
        <v>0</v>
      </c>
      <c r="AA115" s="222">
        <f t="shared" si="70"/>
        <v>0</v>
      </c>
      <c r="AB115" s="222">
        <f t="shared" si="70"/>
        <v>0</v>
      </c>
      <c r="AC115" s="222">
        <f t="shared" si="70"/>
        <v>0</v>
      </c>
      <c r="AD115" s="222">
        <f t="shared" si="70"/>
        <v>0</v>
      </c>
      <c r="AE115" s="222">
        <f t="shared" si="70"/>
        <v>0</v>
      </c>
      <c r="AF115" s="222">
        <f t="shared" si="70"/>
        <v>0</v>
      </c>
      <c r="AG115" s="222">
        <f t="shared" si="70"/>
        <v>0</v>
      </c>
      <c r="AH115" s="222">
        <f t="shared" si="70"/>
        <v>0</v>
      </c>
      <c r="AI115" s="222">
        <f t="shared" si="70"/>
        <v>0</v>
      </c>
      <c r="AJ115" s="222">
        <f t="shared" si="70"/>
        <v>0</v>
      </c>
      <c r="AK115" s="222">
        <f t="shared" si="70"/>
        <v>0</v>
      </c>
      <c r="AL115" s="222">
        <f t="shared" si="70"/>
        <v>0</v>
      </c>
      <c r="AM115" s="222">
        <f t="shared" si="70"/>
        <v>0</v>
      </c>
      <c r="AN115" s="222">
        <f t="shared" si="70"/>
        <v>0</v>
      </c>
      <c r="AO115" s="222">
        <f t="shared" si="70"/>
        <v>0</v>
      </c>
      <c r="AP115" s="222">
        <f t="shared" si="70"/>
        <v>0</v>
      </c>
      <c r="AQ115" s="222">
        <f t="shared" si="70"/>
        <v>0</v>
      </c>
      <c r="AR115" s="223">
        <f t="shared" si="70"/>
        <v>0</v>
      </c>
    </row>
    <row r="116" spans="2:44" s="3" customFormat="1">
      <c r="B116" s="6" t="s">
        <v>137</v>
      </c>
    </row>
    <row r="117" spans="2:44" s="13" customFormat="1">
      <c r="B117" s="138"/>
      <c r="C117" s="138" t="s">
        <v>31</v>
      </c>
      <c r="E117" s="147">
        <f t="shared" ref="E117:AR117" si="71">IF(Year="",,E107*ServExt_CAPct*DeflateFactor_Det)</f>
        <v>1.3700000000000002E-2</v>
      </c>
      <c r="F117" s="148">
        <f t="shared" si="71"/>
        <v>3.5098167839284176E-2</v>
      </c>
      <c r="G117" s="148">
        <f t="shared" si="71"/>
        <v>8.9291256167441047E-2</v>
      </c>
      <c r="H117" s="148">
        <f t="shared" si="71"/>
        <v>0.21201235931114448</v>
      </c>
      <c r="I117" s="148">
        <f t="shared" si="71"/>
        <v>0.4305801765033474</v>
      </c>
      <c r="J117" s="148">
        <f t="shared" si="71"/>
        <v>0.6846945607129038</v>
      </c>
      <c r="K117" s="148">
        <f t="shared" si="71"/>
        <v>0.84526418331362652</v>
      </c>
      <c r="L117" s="148">
        <f t="shared" si="71"/>
        <v>0.87514708043486766</v>
      </c>
      <c r="M117" s="148">
        <f t="shared" si="71"/>
        <v>0.82609674276621881</v>
      </c>
      <c r="N117" s="148">
        <f t="shared" si="71"/>
        <v>0.76134711725632387</v>
      </c>
      <c r="O117" s="148">
        <f t="shared" si="71"/>
        <v>0.66780596833996142</v>
      </c>
      <c r="P117" s="148">
        <f t="shared" si="71"/>
        <v>0.58571040403867802</v>
      </c>
      <c r="Q117" s="148">
        <f t="shared" si="71"/>
        <v>0.51368226058527577</v>
      </c>
      <c r="R117" s="148">
        <f t="shared" si="71"/>
        <v>0.45049873289086356</v>
      </c>
      <c r="S117" s="148">
        <f t="shared" si="71"/>
        <v>0.3950799582314613</v>
      </c>
      <c r="T117" s="148">
        <f t="shared" si="71"/>
        <v>0.34647497675926325</v>
      </c>
      <c r="U117" s="148">
        <f t="shared" si="71"/>
        <v>0.30384774564345035</v>
      </c>
      <c r="V117" s="148">
        <f t="shared" si="71"/>
        <v>0.26646398827975437</v>
      </c>
      <c r="W117" s="148">
        <f t="shared" si="71"/>
        <v>0.23367919391202202</v>
      </c>
      <c r="X117" s="148">
        <f t="shared" si="71"/>
        <v>0.20492784720016319</v>
      </c>
      <c r="Y117" s="148">
        <f t="shared" si="71"/>
        <v>0</v>
      </c>
      <c r="Z117" s="148">
        <f t="shared" si="71"/>
        <v>0</v>
      </c>
      <c r="AA117" s="148">
        <f t="shared" si="71"/>
        <v>0</v>
      </c>
      <c r="AB117" s="148">
        <f t="shared" si="71"/>
        <v>0</v>
      </c>
      <c r="AC117" s="148">
        <f t="shared" si="71"/>
        <v>0</v>
      </c>
      <c r="AD117" s="148">
        <f t="shared" si="71"/>
        <v>0</v>
      </c>
      <c r="AE117" s="148">
        <f t="shared" si="71"/>
        <v>0</v>
      </c>
      <c r="AF117" s="148">
        <f t="shared" si="71"/>
        <v>0</v>
      </c>
      <c r="AG117" s="148">
        <f t="shared" si="71"/>
        <v>0</v>
      </c>
      <c r="AH117" s="148">
        <f t="shared" si="71"/>
        <v>0</v>
      </c>
      <c r="AI117" s="148">
        <f t="shared" si="71"/>
        <v>0</v>
      </c>
      <c r="AJ117" s="148">
        <f t="shared" si="71"/>
        <v>0</v>
      </c>
      <c r="AK117" s="148">
        <f t="shared" si="71"/>
        <v>0</v>
      </c>
      <c r="AL117" s="148">
        <f t="shared" si="71"/>
        <v>0</v>
      </c>
      <c r="AM117" s="148">
        <f t="shared" si="71"/>
        <v>0</v>
      </c>
      <c r="AN117" s="148">
        <f t="shared" si="71"/>
        <v>0</v>
      </c>
      <c r="AO117" s="148">
        <f t="shared" si="71"/>
        <v>0</v>
      </c>
      <c r="AP117" s="148">
        <f t="shared" si="71"/>
        <v>0</v>
      </c>
      <c r="AQ117" s="148">
        <f t="shared" si="71"/>
        <v>0</v>
      </c>
      <c r="AR117" s="149">
        <f t="shared" si="71"/>
        <v>0</v>
      </c>
    </row>
    <row r="118" spans="2:44" s="13" customFormat="1">
      <c r="B118" s="138"/>
      <c r="C118" s="138" t="s">
        <v>30</v>
      </c>
      <c r="E118" s="150">
        <f t="shared" ref="E118:AR118" si="72">IF(Year="",,E107*ServExt_LoanPct*DeflateFactor_Det)</f>
        <v>1.3700000000000002E-2</v>
      </c>
      <c r="F118" s="151">
        <f t="shared" si="72"/>
        <v>3.5098167839284176E-2</v>
      </c>
      <c r="G118" s="151">
        <f t="shared" si="72"/>
        <v>8.9291256167441047E-2</v>
      </c>
      <c r="H118" s="151">
        <f t="shared" si="72"/>
        <v>0.21201235931114448</v>
      </c>
      <c r="I118" s="151">
        <f t="shared" si="72"/>
        <v>0.4305801765033474</v>
      </c>
      <c r="J118" s="151">
        <f t="shared" si="72"/>
        <v>0.6846945607129038</v>
      </c>
      <c r="K118" s="151">
        <f t="shared" si="72"/>
        <v>0.84526418331362652</v>
      </c>
      <c r="L118" s="151">
        <f t="shared" si="72"/>
        <v>0.87514708043486766</v>
      </c>
      <c r="M118" s="151">
        <f t="shared" si="72"/>
        <v>0.82609674276621881</v>
      </c>
      <c r="N118" s="151">
        <f t="shared" si="72"/>
        <v>0.76134711725632387</v>
      </c>
      <c r="O118" s="151">
        <f t="shared" si="72"/>
        <v>0.66780596833996142</v>
      </c>
      <c r="P118" s="151">
        <f t="shared" si="72"/>
        <v>0.58571040403867802</v>
      </c>
      <c r="Q118" s="151">
        <f t="shared" si="72"/>
        <v>0.51368226058527577</v>
      </c>
      <c r="R118" s="151">
        <f t="shared" si="72"/>
        <v>0.45049873289086356</v>
      </c>
      <c r="S118" s="151">
        <f t="shared" si="72"/>
        <v>0.3950799582314613</v>
      </c>
      <c r="T118" s="151">
        <f t="shared" si="72"/>
        <v>0.34647497675926325</v>
      </c>
      <c r="U118" s="151">
        <f t="shared" si="72"/>
        <v>0.30384774564345035</v>
      </c>
      <c r="V118" s="151">
        <f t="shared" si="72"/>
        <v>0.26646398827975437</v>
      </c>
      <c r="W118" s="151">
        <f t="shared" si="72"/>
        <v>0.23367919391202202</v>
      </c>
      <c r="X118" s="151">
        <f t="shared" si="72"/>
        <v>0.20492784720016319</v>
      </c>
      <c r="Y118" s="151">
        <f t="shared" si="72"/>
        <v>0</v>
      </c>
      <c r="Z118" s="151">
        <f t="shared" si="72"/>
        <v>0</v>
      </c>
      <c r="AA118" s="151">
        <f t="shared" si="72"/>
        <v>0</v>
      </c>
      <c r="AB118" s="151">
        <f t="shared" si="72"/>
        <v>0</v>
      </c>
      <c r="AC118" s="151">
        <f t="shared" si="72"/>
        <v>0</v>
      </c>
      <c r="AD118" s="151">
        <f t="shared" si="72"/>
        <v>0</v>
      </c>
      <c r="AE118" s="151">
        <f t="shared" si="72"/>
        <v>0</v>
      </c>
      <c r="AF118" s="151">
        <f t="shared" si="72"/>
        <v>0</v>
      </c>
      <c r="AG118" s="151">
        <f t="shared" si="72"/>
        <v>0</v>
      </c>
      <c r="AH118" s="151">
        <f t="shared" si="72"/>
        <v>0</v>
      </c>
      <c r="AI118" s="151">
        <f t="shared" si="72"/>
        <v>0</v>
      </c>
      <c r="AJ118" s="151">
        <f t="shared" si="72"/>
        <v>0</v>
      </c>
      <c r="AK118" s="151">
        <f t="shared" si="72"/>
        <v>0</v>
      </c>
      <c r="AL118" s="151">
        <f t="shared" si="72"/>
        <v>0</v>
      </c>
      <c r="AM118" s="151">
        <f t="shared" si="72"/>
        <v>0</v>
      </c>
      <c r="AN118" s="151">
        <f t="shared" si="72"/>
        <v>0</v>
      </c>
      <c r="AO118" s="151">
        <f t="shared" si="72"/>
        <v>0</v>
      </c>
      <c r="AP118" s="151">
        <f t="shared" si="72"/>
        <v>0</v>
      </c>
      <c r="AQ118" s="151">
        <f t="shared" si="72"/>
        <v>0</v>
      </c>
      <c r="AR118" s="152">
        <f t="shared" si="72"/>
        <v>0</v>
      </c>
    </row>
    <row r="119" spans="2:44" s="13" customFormat="1">
      <c r="B119" s="6" t="s">
        <v>138</v>
      </c>
      <c r="E119" s="147">
        <f t="shared" ref="E119:AR119" si="73">IF(Year="",,E102*DeflateFactor_Det)</f>
        <v>10.361476311008202</v>
      </c>
      <c r="F119" s="148">
        <f t="shared" si="73"/>
        <v>10.96227854537095</v>
      </c>
      <c r="G119" s="148">
        <f t="shared" si="73"/>
        <v>11.416298680292767</v>
      </c>
      <c r="H119" s="148">
        <f t="shared" si="73"/>
        <v>11.735636058973467</v>
      </c>
      <c r="I119" s="148">
        <f t="shared" si="73"/>
        <v>11.948446255729888</v>
      </c>
      <c r="J119" s="148">
        <f t="shared" si="73"/>
        <v>12.085000339080636</v>
      </c>
      <c r="K119" s="148">
        <f t="shared" si="73"/>
        <v>12.170445360704159</v>
      </c>
      <c r="L119" s="148">
        <f t="shared" si="73"/>
        <v>12.223054628167557</v>
      </c>
      <c r="M119" s="148">
        <f t="shared" si="73"/>
        <v>12.255121460881222</v>
      </c>
      <c r="N119" s="148">
        <f t="shared" si="73"/>
        <v>12.274546098602713</v>
      </c>
      <c r="O119" s="148">
        <f t="shared" si="73"/>
        <v>12.286268220658368</v>
      </c>
      <c r="P119" s="148">
        <f t="shared" si="73"/>
        <v>12.293325934980381</v>
      </c>
      <c r="Q119" s="148">
        <f t="shared" si="73"/>
        <v>12.297569405758026</v>
      </c>
      <c r="R119" s="148">
        <f t="shared" si="73"/>
        <v>12.300118680840304</v>
      </c>
      <c r="S119" s="148">
        <f t="shared" si="73"/>
        <v>12.301649397275392</v>
      </c>
      <c r="T119" s="148">
        <f t="shared" si="73"/>
        <v>12.302568242077802</v>
      </c>
      <c r="U119" s="148">
        <f t="shared" si="73"/>
        <v>12.303119698433841</v>
      </c>
      <c r="V119" s="148">
        <f t="shared" si="73"/>
        <v>12.303450626078991</v>
      </c>
      <c r="W119" s="148">
        <f t="shared" si="73"/>
        <v>12.303649202049895</v>
      </c>
      <c r="X119" s="148">
        <f t="shared" si="73"/>
        <v>12.303768354611607</v>
      </c>
      <c r="Y119" s="148">
        <f t="shared" si="73"/>
        <v>0</v>
      </c>
      <c r="Z119" s="148">
        <f t="shared" si="73"/>
        <v>0</v>
      </c>
      <c r="AA119" s="148">
        <f t="shared" si="73"/>
        <v>0</v>
      </c>
      <c r="AB119" s="148">
        <f t="shared" si="73"/>
        <v>0</v>
      </c>
      <c r="AC119" s="148">
        <f t="shared" si="73"/>
        <v>0</v>
      </c>
      <c r="AD119" s="148">
        <f t="shared" si="73"/>
        <v>0</v>
      </c>
      <c r="AE119" s="148">
        <f t="shared" si="73"/>
        <v>0</v>
      </c>
      <c r="AF119" s="148">
        <f t="shared" si="73"/>
        <v>0</v>
      </c>
      <c r="AG119" s="148">
        <f t="shared" si="73"/>
        <v>0</v>
      </c>
      <c r="AH119" s="148">
        <f t="shared" si="73"/>
        <v>0</v>
      </c>
      <c r="AI119" s="148">
        <f t="shared" si="73"/>
        <v>0</v>
      </c>
      <c r="AJ119" s="148">
        <f t="shared" si="73"/>
        <v>0</v>
      </c>
      <c r="AK119" s="148">
        <f t="shared" si="73"/>
        <v>0</v>
      </c>
      <c r="AL119" s="148">
        <f t="shared" si="73"/>
        <v>0</v>
      </c>
      <c r="AM119" s="148">
        <f t="shared" si="73"/>
        <v>0</v>
      </c>
      <c r="AN119" s="148">
        <f t="shared" si="73"/>
        <v>0</v>
      </c>
      <c r="AO119" s="148">
        <f t="shared" si="73"/>
        <v>0</v>
      </c>
      <c r="AP119" s="148">
        <f t="shared" si="73"/>
        <v>0</v>
      </c>
      <c r="AQ119" s="148">
        <f t="shared" si="73"/>
        <v>0</v>
      </c>
      <c r="AR119" s="149">
        <f t="shared" si="73"/>
        <v>0</v>
      </c>
    </row>
    <row r="120" spans="2:44" s="13" customFormat="1">
      <c r="B120" s="6" t="s">
        <v>139</v>
      </c>
      <c r="C120" s="138"/>
      <c r="E120" s="224">
        <f t="shared" ref="E120:AR120" si="74">IF(Year="",,(E30+E33*BilledDemand_Det/(1-UFW_FC)))</f>
        <v>25.003805182612119</v>
      </c>
      <c r="F120" s="225">
        <f t="shared" si="74"/>
        <v>26.383548706026744</v>
      </c>
      <c r="G120" s="225">
        <f t="shared" si="74"/>
        <v>28.399559011898948</v>
      </c>
      <c r="H120" s="225">
        <f t="shared" si="74"/>
        <v>31.603669101490105</v>
      </c>
      <c r="I120" s="225">
        <f t="shared" si="74"/>
        <v>36.577155671294307</v>
      </c>
      <c r="J120" s="225">
        <f t="shared" si="74"/>
        <v>42.875795944635051</v>
      </c>
      <c r="K120" s="225">
        <f t="shared" si="74"/>
        <v>48.731990044350589</v>
      </c>
      <c r="L120" s="225">
        <f t="shared" si="74"/>
        <v>53.216904676692749</v>
      </c>
      <c r="M120" s="225">
        <f t="shared" si="74"/>
        <v>56.711144458149946</v>
      </c>
      <c r="N120" s="225">
        <f t="shared" si="74"/>
        <v>60.028221875158003</v>
      </c>
      <c r="O120" s="225">
        <f t="shared" si="74"/>
        <v>62.824940422905833</v>
      </c>
      <c r="P120" s="225">
        <f t="shared" si="74"/>
        <v>65.756492249407771</v>
      </c>
      <c r="Q120" s="225">
        <f t="shared" si="74"/>
        <v>68.82952978857432</v>
      </c>
      <c r="R120" s="225">
        <f t="shared" si="74"/>
        <v>72.051038614953711</v>
      </c>
      <c r="S120" s="225">
        <f t="shared" si="74"/>
        <v>75.428354282501715</v>
      </c>
      <c r="T120" s="225">
        <f t="shared" si="74"/>
        <v>78.969180019332413</v>
      </c>
      <c r="U120" s="225">
        <f t="shared" si="74"/>
        <v>82.681605322112546</v>
      </c>
      <c r="V120" s="225">
        <f t="shared" si="74"/>
        <v>86.574125495994537</v>
      </c>
      <c r="W120" s="225">
        <f t="shared" si="74"/>
        <v>90.655662188328463</v>
      </c>
      <c r="X120" s="225">
        <f t="shared" si="74"/>
        <v>94.935584966860205</v>
      </c>
      <c r="Y120" s="225">
        <f t="shared" si="74"/>
        <v>0</v>
      </c>
      <c r="Z120" s="225">
        <f t="shared" si="74"/>
        <v>0</v>
      </c>
      <c r="AA120" s="225">
        <f t="shared" si="74"/>
        <v>0</v>
      </c>
      <c r="AB120" s="225">
        <f t="shared" si="74"/>
        <v>0</v>
      </c>
      <c r="AC120" s="225">
        <f t="shared" si="74"/>
        <v>0</v>
      </c>
      <c r="AD120" s="225">
        <f t="shared" si="74"/>
        <v>0</v>
      </c>
      <c r="AE120" s="225">
        <f t="shared" si="74"/>
        <v>0</v>
      </c>
      <c r="AF120" s="225">
        <f t="shared" si="74"/>
        <v>0</v>
      </c>
      <c r="AG120" s="225">
        <f t="shared" si="74"/>
        <v>0</v>
      </c>
      <c r="AH120" s="225">
        <f t="shared" si="74"/>
        <v>0</v>
      </c>
      <c r="AI120" s="225">
        <f t="shared" si="74"/>
        <v>0</v>
      </c>
      <c r="AJ120" s="225">
        <f t="shared" si="74"/>
        <v>0</v>
      </c>
      <c r="AK120" s="225">
        <f t="shared" si="74"/>
        <v>0</v>
      </c>
      <c r="AL120" s="225">
        <f t="shared" si="74"/>
        <v>0</v>
      </c>
      <c r="AM120" s="225">
        <f t="shared" si="74"/>
        <v>0</v>
      </c>
      <c r="AN120" s="225">
        <f t="shared" si="74"/>
        <v>0</v>
      </c>
      <c r="AO120" s="225">
        <f t="shared" si="74"/>
        <v>0</v>
      </c>
      <c r="AP120" s="225">
        <f t="shared" si="74"/>
        <v>0</v>
      </c>
      <c r="AQ120" s="225">
        <f t="shared" si="74"/>
        <v>0</v>
      </c>
      <c r="AR120" s="226">
        <f t="shared" si="74"/>
        <v>0</v>
      </c>
    </row>
    <row r="121" spans="2:44" s="13" customFormat="1">
      <c r="B121" s="6" t="s">
        <v>140</v>
      </c>
      <c r="C121" s="138"/>
      <c r="E121" s="224">
        <f t="shared" ref="E121:AR121" si="75">IF(Year="",,(E31+E34*BilledDemand_Det/(1-UFW_FC))*RealExRate_Det)</f>
        <v>26.285777687897159</v>
      </c>
      <c r="F121" s="225">
        <f t="shared" si="75"/>
        <v>29.158330745533153</v>
      </c>
      <c r="G121" s="225">
        <f t="shared" si="75"/>
        <v>32.995580138406815</v>
      </c>
      <c r="H121" s="225">
        <f t="shared" si="75"/>
        <v>38.600808608541364</v>
      </c>
      <c r="I121" s="225">
        <f t="shared" si="75"/>
        <v>46.965997552086073</v>
      </c>
      <c r="J121" s="225">
        <f t="shared" si="75"/>
        <v>57.876270787697131</v>
      </c>
      <c r="K121" s="225">
        <f t="shared" si="75"/>
        <v>69.153985650307646</v>
      </c>
      <c r="L121" s="225">
        <f t="shared" si="75"/>
        <v>79.390292728711515</v>
      </c>
      <c r="M121" s="225">
        <f t="shared" si="75"/>
        <v>88.940778906809896</v>
      </c>
      <c r="N121" s="225">
        <f t="shared" si="75"/>
        <v>98.969806247879831</v>
      </c>
      <c r="O121" s="225">
        <f t="shared" si="75"/>
        <v>108.89151758534094</v>
      </c>
      <c r="P121" s="225">
        <f t="shared" si="75"/>
        <v>119.8161407753788</v>
      </c>
      <c r="Q121" s="225">
        <f t="shared" si="75"/>
        <v>131.84577455184242</v>
      </c>
      <c r="R121" s="225">
        <f t="shared" si="75"/>
        <v>145.09297408692308</v>
      </c>
      <c r="S121" s="225">
        <f t="shared" si="75"/>
        <v>159.68182726912303</v>
      </c>
      <c r="T121" s="225">
        <f t="shared" si="75"/>
        <v>175.74914222251411</v>
      </c>
      <c r="U121" s="225">
        <f t="shared" si="75"/>
        <v>193.44575760406815</v>
      </c>
      <c r="V121" s="225">
        <f t="shared" si="75"/>
        <v>212.93798841564075</v>
      </c>
      <c r="W121" s="225">
        <f t="shared" si="75"/>
        <v>234.40922139203559</v>
      </c>
      <c r="X121" s="225">
        <f t="shared" si="75"/>
        <v>258.06167548954619</v>
      </c>
      <c r="Y121" s="225">
        <f t="shared" si="75"/>
        <v>0</v>
      </c>
      <c r="Z121" s="225">
        <f t="shared" si="75"/>
        <v>0</v>
      </c>
      <c r="AA121" s="225">
        <f t="shared" si="75"/>
        <v>0</v>
      </c>
      <c r="AB121" s="225">
        <f t="shared" si="75"/>
        <v>0</v>
      </c>
      <c r="AC121" s="225">
        <f t="shared" si="75"/>
        <v>0</v>
      </c>
      <c r="AD121" s="225">
        <f t="shared" si="75"/>
        <v>0</v>
      </c>
      <c r="AE121" s="225">
        <f t="shared" si="75"/>
        <v>0</v>
      </c>
      <c r="AF121" s="225">
        <f t="shared" si="75"/>
        <v>0</v>
      </c>
      <c r="AG121" s="225">
        <f t="shared" si="75"/>
        <v>0</v>
      </c>
      <c r="AH121" s="225">
        <f t="shared" si="75"/>
        <v>0</v>
      </c>
      <c r="AI121" s="225">
        <f t="shared" si="75"/>
        <v>0</v>
      </c>
      <c r="AJ121" s="225">
        <f t="shared" si="75"/>
        <v>0</v>
      </c>
      <c r="AK121" s="225">
        <f t="shared" si="75"/>
        <v>0</v>
      </c>
      <c r="AL121" s="225">
        <f t="shared" si="75"/>
        <v>0</v>
      </c>
      <c r="AM121" s="225">
        <f t="shared" si="75"/>
        <v>0</v>
      </c>
      <c r="AN121" s="225">
        <f t="shared" si="75"/>
        <v>0</v>
      </c>
      <c r="AO121" s="225">
        <f t="shared" si="75"/>
        <v>0</v>
      </c>
      <c r="AP121" s="225">
        <f t="shared" si="75"/>
        <v>0</v>
      </c>
      <c r="AQ121" s="225">
        <f t="shared" si="75"/>
        <v>0</v>
      </c>
      <c r="AR121" s="226">
        <f t="shared" si="75"/>
        <v>0</v>
      </c>
    </row>
    <row r="122" spans="2:44" s="13" customFormat="1">
      <c r="B122" s="6" t="s">
        <v>141</v>
      </c>
      <c r="C122" s="138"/>
      <c r="E122" s="227">
        <f t="shared" ref="E122:AR122" si="76">IF(Year="",,Man_Fee)</f>
        <v>0</v>
      </c>
      <c r="F122" s="228">
        <f t="shared" si="76"/>
        <v>0</v>
      </c>
      <c r="G122" s="228">
        <f t="shared" si="76"/>
        <v>0</v>
      </c>
      <c r="H122" s="228">
        <f t="shared" si="76"/>
        <v>0</v>
      </c>
      <c r="I122" s="228">
        <f t="shared" si="76"/>
        <v>0</v>
      </c>
      <c r="J122" s="228">
        <f t="shared" si="76"/>
        <v>0</v>
      </c>
      <c r="K122" s="228">
        <f t="shared" si="76"/>
        <v>0</v>
      </c>
      <c r="L122" s="228">
        <f t="shared" si="76"/>
        <v>0</v>
      </c>
      <c r="M122" s="228">
        <f t="shared" si="76"/>
        <v>0</v>
      </c>
      <c r="N122" s="228">
        <f t="shared" si="76"/>
        <v>0</v>
      </c>
      <c r="O122" s="228">
        <f t="shared" si="76"/>
        <v>0</v>
      </c>
      <c r="P122" s="228">
        <f t="shared" si="76"/>
        <v>0</v>
      </c>
      <c r="Q122" s="228">
        <f t="shared" si="76"/>
        <v>0</v>
      </c>
      <c r="R122" s="228">
        <f t="shared" si="76"/>
        <v>0</v>
      </c>
      <c r="S122" s="228">
        <f t="shared" si="76"/>
        <v>0</v>
      </c>
      <c r="T122" s="228">
        <f t="shared" si="76"/>
        <v>0</v>
      </c>
      <c r="U122" s="228">
        <f t="shared" si="76"/>
        <v>0</v>
      </c>
      <c r="V122" s="228">
        <f t="shared" si="76"/>
        <v>0</v>
      </c>
      <c r="W122" s="228">
        <f t="shared" si="76"/>
        <v>0</v>
      </c>
      <c r="X122" s="228">
        <f t="shared" si="76"/>
        <v>0</v>
      </c>
      <c r="Y122" s="228">
        <f t="shared" si="76"/>
        <v>0</v>
      </c>
      <c r="Z122" s="228">
        <f t="shared" si="76"/>
        <v>0</v>
      </c>
      <c r="AA122" s="228">
        <f t="shared" si="76"/>
        <v>0</v>
      </c>
      <c r="AB122" s="228">
        <f t="shared" si="76"/>
        <v>0</v>
      </c>
      <c r="AC122" s="228">
        <f t="shared" si="76"/>
        <v>0</v>
      </c>
      <c r="AD122" s="228">
        <f t="shared" si="76"/>
        <v>0</v>
      </c>
      <c r="AE122" s="228">
        <f t="shared" si="76"/>
        <v>0</v>
      </c>
      <c r="AF122" s="228">
        <f t="shared" si="76"/>
        <v>0</v>
      </c>
      <c r="AG122" s="228">
        <f t="shared" si="76"/>
        <v>0</v>
      </c>
      <c r="AH122" s="228">
        <f t="shared" si="76"/>
        <v>0</v>
      </c>
      <c r="AI122" s="228">
        <f t="shared" si="76"/>
        <v>0</v>
      </c>
      <c r="AJ122" s="228">
        <f t="shared" si="76"/>
        <v>0</v>
      </c>
      <c r="AK122" s="228">
        <f t="shared" si="76"/>
        <v>0</v>
      </c>
      <c r="AL122" s="228">
        <f t="shared" si="76"/>
        <v>0</v>
      </c>
      <c r="AM122" s="228">
        <f t="shared" si="76"/>
        <v>0</v>
      </c>
      <c r="AN122" s="228">
        <f t="shared" si="76"/>
        <v>0</v>
      </c>
      <c r="AO122" s="228">
        <f t="shared" si="76"/>
        <v>0</v>
      </c>
      <c r="AP122" s="228">
        <f t="shared" si="76"/>
        <v>0</v>
      </c>
      <c r="AQ122" s="228">
        <f t="shared" si="76"/>
        <v>0</v>
      </c>
      <c r="AR122" s="229">
        <f t="shared" si="76"/>
        <v>0</v>
      </c>
    </row>
    <row r="123" spans="2:44" s="3" customFormat="1">
      <c r="D123" s="13"/>
      <c r="E123" s="230"/>
      <c r="F123" s="230"/>
      <c r="G123" s="230"/>
      <c r="H123" s="230"/>
      <c r="I123" s="230"/>
      <c r="J123" s="230"/>
      <c r="K123" s="230"/>
    </row>
    <row r="124" spans="2:44" s="3" customFormat="1">
      <c r="B124" s="4" t="s">
        <v>142</v>
      </c>
    </row>
    <row r="125" spans="2:44" s="3" customFormat="1">
      <c r="B125" s="214" t="s">
        <v>31</v>
      </c>
    </row>
    <row r="126" spans="2:44" s="13" customFormat="1">
      <c r="B126" s="214"/>
      <c r="C126" s="13" t="s">
        <v>143</v>
      </c>
      <c r="E126" s="147">
        <f>SUM(E$114:E$114,E$117:E$117,-E122)</f>
        <v>3.4027197782974715E-2</v>
      </c>
      <c r="F126" s="148">
        <f t="shared" ref="F126:AR126" si="77">SUM(F$114:F$114,F$117:F$117,-F122)</f>
        <v>9.0661842519340619E-2</v>
      </c>
      <c r="G126" s="148">
        <f t="shared" si="77"/>
        <v>0.24088637887991582</v>
      </c>
      <c r="H126" s="148">
        <f t="shared" si="77"/>
        <v>0.59942669269603543</v>
      </c>
      <c r="I126" s="148">
        <f t="shared" si="77"/>
        <v>1.279477410342805</v>
      </c>
      <c r="J126" s="148">
        <f t="shared" si="77"/>
        <v>2.1433697339699336</v>
      </c>
      <c r="K126" s="148">
        <f t="shared" si="77"/>
        <v>2.7930316386958944</v>
      </c>
      <c r="L126" s="148">
        <f t="shared" si="77"/>
        <v>3.0577203320170701</v>
      </c>
      <c r="M126" s="148">
        <f t="shared" si="77"/>
        <v>3.0566906831850633</v>
      </c>
      <c r="N126" s="148">
        <f t="shared" si="77"/>
        <v>2.9875784828508274</v>
      </c>
      <c r="O126" s="148">
        <f t="shared" si="77"/>
        <v>2.7827257656547397</v>
      </c>
      <c r="P126" s="148">
        <f t="shared" si="77"/>
        <v>2.5948842114877175</v>
      </c>
      <c r="Q126" s="148">
        <f t="shared" si="77"/>
        <v>2.4223973776618632</v>
      </c>
      <c r="R126" s="148">
        <f t="shared" si="77"/>
        <v>2.2637780941136216</v>
      </c>
      <c r="S126" s="148">
        <f t="shared" si="77"/>
        <v>2.1176953513930816</v>
      </c>
      <c r="T126" s="148">
        <f t="shared" si="77"/>
        <v>1.9829596002628025</v>
      </c>
      <c r="U126" s="148">
        <f t="shared" si="77"/>
        <v>1.8585081379718125</v>
      </c>
      <c r="V126" s="148">
        <f t="shared" si="77"/>
        <v>1.7433913609916984</v>
      </c>
      <c r="W126" s="148">
        <f t="shared" si="77"/>
        <v>1.6367601979883688</v>
      </c>
      <c r="X126" s="148">
        <f t="shared" si="77"/>
        <v>1.5378548010726929</v>
      </c>
      <c r="Y126" s="148">
        <f t="shared" si="77"/>
        <v>0</v>
      </c>
      <c r="Z126" s="148">
        <f t="shared" si="77"/>
        <v>0</v>
      </c>
      <c r="AA126" s="148">
        <f t="shared" si="77"/>
        <v>0</v>
      </c>
      <c r="AB126" s="148">
        <f t="shared" si="77"/>
        <v>0</v>
      </c>
      <c r="AC126" s="148">
        <f t="shared" si="77"/>
        <v>0</v>
      </c>
      <c r="AD126" s="148">
        <f t="shared" si="77"/>
        <v>0</v>
      </c>
      <c r="AE126" s="148">
        <f t="shared" si="77"/>
        <v>0</v>
      </c>
      <c r="AF126" s="148">
        <f t="shared" si="77"/>
        <v>0</v>
      </c>
      <c r="AG126" s="148">
        <f t="shared" si="77"/>
        <v>0</v>
      </c>
      <c r="AH126" s="148">
        <f t="shared" si="77"/>
        <v>0</v>
      </c>
      <c r="AI126" s="148">
        <f t="shared" si="77"/>
        <v>0</v>
      </c>
      <c r="AJ126" s="148">
        <f t="shared" si="77"/>
        <v>0</v>
      </c>
      <c r="AK126" s="148">
        <f t="shared" si="77"/>
        <v>0</v>
      </c>
      <c r="AL126" s="148">
        <f t="shared" si="77"/>
        <v>0</v>
      </c>
      <c r="AM126" s="148">
        <f t="shared" si="77"/>
        <v>0</v>
      </c>
      <c r="AN126" s="148">
        <f t="shared" si="77"/>
        <v>0</v>
      </c>
      <c r="AO126" s="148">
        <f t="shared" si="77"/>
        <v>0</v>
      </c>
      <c r="AP126" s="148">
        <f t="shared" si="77"/>
        <v>0</v>
      </c>
      <c r="AQ126" s="148">
        <f t="shared" si="77"/>
        <v>0</v>
      </c>
      <c r="AR126" s="149">
        <f t="shared" si="77"/>
        <v>0</v>
      </c>
    </row>
    <row r="127" spans="2:44" s="13" customFormat="1">
      <c r="B127" s="6"/>
      <c r="C127" s="138" t="s">
        <v>144</v>
      </c>
      <c r="E127" s="224">
        <f>IF(Year="",,E126*DiscountFactor)</f>
        <v>3.1726748921563006E-2</v>
      </c>
      <c r="F127" s="225">
        <f t="shared" ref="F127:AR127" si="78">IF(Year="",,F126*DiscountFactor)</f>
        <v>7.8817619430618394E-2</v>
      </c>
      <c r="G127" s="225">
        <f t="shared" si="78"/>
        <v>0.1952587037888654</v>
      </c>
      <c r="H127" s="225">
        <f t="shared" si="78"/>
        <v>0.45303694853424109</v>
      </c>
      <c r="I127" s="225">
        <f t="shared" si="78"/>
        <v>0.9016324921327179</v>
      </c>
      <c r="J127" s="225">
        <f t="shared" si="78"/>
        <v>1.4082942673927896</v>
      </c>
      <c r="K127" s="225">
        <f t="shared" si="78"/>
        <v>1.7110849016572569</v>
      </c>
      <c r="L127" s="225">
        <f t="shared" si="78"/>
        <v>1.7465975683629587</v>
      </c>
      <c r="M127" s="225">
        <f t="shared" si="78"/>
        <v>1.6279683960785365</v>
      </c>
      <c r="N127" s="225">
        <f t="shared" si="78"/>
        <v>1.4835875685071571</v>
      </c>
      <c r="O127" s="225">
        <f t="shared" si="78"/>
        <v>1.2884383950245131</v>
      </c>
      <c r="P127" s="225">
        <f t="shared" si="78"/>
        <v>1.1202388211792178</v>
      </c>
      <c r="Q127" s="225">
        <f t="shared" si="78"/>
        <v>0.97507362474445669</v>
      </c>
      <c r="R127" s="225">
        <f t="shared" si="78"/>
        <v>0.84962104405751071</v>
      </c>
      <c r="S127" s="225">
        <f t="shared" si="78"/>
        <v>0.74106154456965256</v>
      </c>
      <c r="T127" s="225">
        <f t="shared" si="78"/>
        <v>0.64699965111953206</v>
      </c>
      <c r="U127" s="225">
        <f t="shared" si="78"/>
        <v>0.56539769501204151</v>
      </c>
      <c r="V127" s="225">
        <f t="shared" si="78"/>
        <v>0.4945199793102103</v>
      </c>
      <c r="W127" s="225">
        <f t="shared" si="78"/>
        <v>0.43288585456852169</v>
      </c>
      <c r="X127" s="225">
        <f t="shared" si="78"/>
        <v>0.37923032492754949</v>
      </c>
      <c r="Y127" s="225">
        <f t="shared" si="78"/>
        <v>0</v>
      </c>
      <c r="Z127" s="225">
        <f t="shared" si="78"/>
        <v>0</v>
      </c>
      <c r="AA127" s="225">
        <f t="shared" si="78"/>
        <v>0</v>
      </c>
      <c r="AB127" s="225">
        <f t="shared" si="78"/>
        <v>0</v>
      </c>
      <c r="AC127" s="225">
        <f t="shared" si="78"/>
        <v>0</v>
      </c>
      <c r="AD127" s="225">
        <f t="shared" si="78"/>
        <v>0</v>
      </c>
      <c r="AE127" s="225">
        <f t="shared" si="78"/>
        <v>0</v>
      </c>
      <c r="AF127" s="225">
        <f t="shared" si="78"/>
        <v>0</v>
      </c>
      <c r="AG127" s="225">
        <f t="shared" si="78"/>
        <v>0</v>
      </c>
      <c r="AH127" s="225">
        <f t="shared" si="78"/>
        <v>0</v>
      </c>
      <c r="AI127" s="225">
        <f t="shared" si="78"/>
        <v>0</v>
      </c>
      <c r="AJ127" s="225">
        <f t="shared" si="78"/>
        <v>0</v>
      </c>
      <c r="AK127" s="225">
        <f t="shared" si="78"/>
        <v>0</v>
      </c>
      <c r="AL127" s="225">
        <f t="shared" si="78"/>
        <v>0</v>
      </c>
      <c r="AM127" s="225">
        <f t="shared" si="78"/>
        <v>0</v>
      </c>
      <c r="AN127" s="225">
        <f t="shared" si="78"/>
        <v>0</v>
      </c>
      <c r="AO127" s="225">
        <f t="shared" si="78"/>
        <v>0</v>
      </c>
      <c r="AP127" s="225">
        <f t="shared" si="78"/>
        <v>0</v>
      </c>
      <c r="AQ127" s="225">
        <f t="shared" si="78"/>
        <v>0</v>
      </c>
      <c r="AR127" s="226">
        <f t="shared" si="78"/>
        <v>0</v>
      </c>
    </row>
    <row r="128" spans="2:44" s="13" customFormat="1">
      <c r="C128" s="214" t="s">
        <v>145</v>
      </c>
      <c r="D128" s="215"/>
      <c r="E128" s="218">
        <f t="shared" ref="E128:AR128" si="79">IF(Year="","",IF(OR(Tariff_Period=1,MOD(Year,Tariff_Period)=1),E127,D128+E127))</f>
        <v>3.1726748921563006E-2</v>
      </c>
      <c r="F128" s="151">
        <f t="shared" si="79"/>
        <v>0.1105443683521814</v>
      </c>
      <c r="G128" s="151">
        <f t="shared" si="79"/>
        <v>0.30580307214104679</v>
      </c>
      <c r="H128" s="151">
        <f t="shared" si="79"/>
        <v>0.75884002067528789</v>
      </c>
      <c r="I128" s="151">
        <f t="shared" si="79"/>
        <v>1.6604725128080058</v>
      </c>
      <c r="J128" s="151">
        <f t="shared" si="79"/>
        <v>1.4082942673927896</v>
      </c>
      <c r="K128" s="151">
        <f t="shared" si="79"/>
        <v>3.1193791690500463</v>
      </c>
      <c r="L128" s="151">
        <f t="shared" si="79"/>
        <v>4.8659767374130052</v>
      </c>
      <c r="M128" s="151">
        <f t="shared" si="79"/>
        <v>6.4939451334915415</v>
      </c>
      <c r="N128" s="151">
        <f t="shared" si="79"/>
        <v>7.9775327019986984</v>
      </c>
      <c r="O128" s="151">
        <f t="shared" si="79"/>
        <v>1.2884383950245131</v>
      </c>
      <c r="P128" s="151">
        <f t="shared" si="79"/>
        <v>2.4086772162037309</v>
      </c>
      <c r="Q128" s="151">
        <f t="shared" si="79"/>
        <v>3.3837508409481876</v>
      </c>
      <c r="R128" s="151">
        <f t="shared" si="79"/>
        <v>4.2333718850056981</v>
      </c>
      <c r="S128" s="151">
        <f t="shared" si="79"/>
        <v>4.9744334295753507</v>
      </c>
      <c r="T128" s="151">
        <f t="shared" si="79"/>
        <v>0.64699965111953206</v>
      </c>
      <c r="U128" s="151">
        <f t="shared" si="79"/>
        <v>1.2123973461315736</v>
      </c>
      <c r="V128" s="151">
        <f t="shared" si="79"/>
        <v>1.706917325441784</v>
      </c>
      <c r="W128" s="151">
        <f t="shared" si="79"/>
        <v>2.1398031800103059</v>
      </c>
      <c r="X128" s="151">
        <f t="shared" si="79"/>
        <v>2.5190335049378554</v>
      </c>
      <c r="Y128" s="151" t="str">
        <f t="shared" si="79"/>
        <v/>
      </c>
      <c r="Z128" s="151" t="str">
        <f t="shared" si="79"/>
        <v/>
      </c>
      <c r="AA128" s="151" t="str">
        <f t="shared" si="79"/>
        <v/>
      </c>
      <c r="AB128" s="151" t="str">
        <f t="shared" si="79"/>
        <v/>
      </c>
      <c r="AC128" s="151" t="str">
        <f t="shared" si="79"/>
        <v/>
      </c>
      <c r="AD128" s="151" t="str">
        <f t="shared" si="79"/>
        <v/>
      </c>
      <c r="AE128" s="151" t="str">
        <f t="shared" si="79"/>
        <v/>
      </c>
      <c r="AF128" s="151" t="str">
        <f t="shared" si="79"/>
        <v/>
      </c>
      <c r="AG128" s="151" t="str">
        <f t="shared" si="79"/>
        <v/>
      </c>
      <c r="AH128" s="151" t="str">
        <f t="shared" si="79"/>
        <v/>
      </c>
      <c r="AI128" s="151" t="str">
        <f t="shared" si="79"/>
        <v/>
      </c>
      <c r="AJ128" s="151" t="str">
        <f t="shared" si="79"/>
        <v/>
      </c>
      <c r="AK128" s="151" t="str">
        <f t="shared" si="79"/>
        <v/>
      </c>
      <c r="AL128" s="151" t="str">
        <f t="shared" si="79"/>
        <v/>
      </c>
      <c r="AM128" s="151" t="str">
        <f t="shared" si="79"/>
        <v/>
      </c>
      <c r="AN128" s="151" t="str">
        <f t="shared" si="79"/>
        <v/>
      </c>
      <c r="AO128" s="151" t="str">
        <f t="shared" si="79"/>
        <v/>
      </c>
      <c r="AP128" s="151" t="str">
        <f t="shared" si="79"/>
        <v/>
      </c>
      <c r="AQ128" s="151" t="str">
        <f t="shared" si="79"/>
        <v/>
      </c>
      <c r="AR128" s="152" t="str">
        <f t="shared" si="79"/>
        <v/>
      </c>
    </row>
    <row r="129" spans="2:44" s="3" customFormat="1">
      <c r="B129" s="214" t="s">
        <v>30</v>
      </c>
      <c r="D129" s="13"/>
      <c r="E129" s="230"/>
      <c r="F129" s="230"/>
      <c r="G129" s="230"/>
      <c r="H129" s="230"/>
      <c r="I129" s="230"/>
      <c r="J129" s="230"/>
      <c r="K129" s="230"/>
      <c r="L129" s="230"/>
      <c r="M129" s="230"/>
      <c r="N129" s="230"/>
    </row>
    <row r="130" spans="2:44" s="13" customFormat="1">
      <c r="C130" s="13" t="s">
        <v>143</v>
      </c>
      <c r="E130" s="147">
        <f>SUM(E$115,E$118,E$119,E120,E121)</f>
        <v>61.685086379300451</v>
      </c>
      <c r="F130" s="148">
        <f t="shared" ref="F130:AR130" si="80">SUM(F$115,F$118,F$119,F120,F121)</f>
        <v>66.594819839450182</v>
      </c>
      <c r="G130" s="148">
        <f t="shared" si="80"/>
        <v>73.052324209478456</v>
      </c>
      <c r="H130" s="148">
        <f t="shared" si="80"/>
        <v>82.539540461700966</v>
      </c>
      <c r="I130" s="148">
        <f t="shared" si="80"/>
        <v>96.77107688945307</v>
      </c>
      <c r="J130" s="148">
        <f t="shared" si="80"/>
        <v>114.98043680538275</v>
      </c>
      <c r="K130" s="148">
        <f t="shared" si="80"/>
        <v>132.8494526940583</v>
      </c>
      <c r="L130" s="148">
        <f t="shared" si="80"/>
        <v>147.88797236558889</v>
      </c>
      <c r="M130" s="148">
        <f t="shared" si="80"/>
        <v>160.96373550902612</v>
      </c>
      <c r="N130" s="148">
        <f t="shared" si="80"/>
        <v>174.26015270449136</v>
      </c>
      <c r="O130" s="148">
        <f t="shared" si="80"/>
        <v>186.78545199455988</v>
      </c>
      <c r="P130" s="148">
        <f t="shared" si="80"/>
        <v>200.46084317125468</v>
      </c>
      <c r="Q130" s="148">
        <f t="shared" si="80"/>
        <v>215.39527112383664</v>
      </c>
      <c r="R130" s="148">
        <f t="shared" si="80"/>
        <v>231.70790947683071</v>
      </c>
      <c r="S130" s="148">
        <f t="shared" si="80"/>
        <v>249.52952630029324</v>
      </c>
      <c r="T130" s="148">
        <f t="shared" si="80"/>
        <v>269.00385008418709</v>
      </c>
      <c r="U130" s="148">
        <f t="shared" si="80"/>
        <v>290.28899076258637</v>
      </c>
      <c r="V130" s="148">
        <f t="shared" si="80"/>
        <v>313.55895589870596</v>
      </c>
      <c r="W130" s="148">
        <f t="shared" si="80"/>
        <v>339.00529298040232</v>
      </c>
      <c r="X130" s="148">
        <f t="shared" si="80"/>
        <v>366.83888361209068</v>
      </c>
      <c r="Y130" s="148">
        <f t="shared" si="80"/>
        <v>0</v>
      </c>
      <c r="Z130" s="148">
        <f t="shared" si="80"/>
        <v>0</v>
      </c>
      <c r="AA130" s="148">
        <f t="shared" si="80"/>
        <v>0</v>
      </c>
      <c r="AB130" s="148">
        <f t="shared" si="80"/>
        <v>0</v>
      </c>
      <c r="AC130" s="148">
        <f t="shared" si="80"/>
        <v>0</v>
      </c>
      <c r="AD130" s="148">
        <f t="shared" si="80"/>
        <v>0</v>
      </c>
      <c r="AE130" s="148">
        <f t="shared" si="80"/>
        <v>0</v>
      </c>
      <c r="AF130" s="148">
        <f t="shared" si="80"/>
        <v>0</v>
      </c>
      <c r="AG130" s="148">
        <f t="shared" si="80"/>
        <v>0</v>
      </c>
      <c r="AH130" s="148">
        <f t="shared" si="80"/>
        <v>0</v>
      </c>
      <c r="AI130" s="148">
        <f t="shared" si="80"/>
        <v>0</v>
      </c>
      <c r="AJ130" s="148">
        <f t="shared" si="80"/>
        <v>0</v>
      </c>
      <c r="AK130" s="148">
        <f t="shared" si="80"/>
        <v>0</v>
      </c>
      <c r="AL130" s="148">
        <f t="shared" si="80"/>
        <v>0</v>
      </c>
      <c r="AM130" s="148">
        <f t="shared" si="80"/>
        <v>0</v>
      </c>
      <c r="AN130" s="148">
        <f t="shared" si="80"/>
        <v>0</v>
      </c>
      <c r="AO130" s="148">
        <f t="shared" si="80"/>
        <v>0</v>
      </c>
      <c r="AP130" s="148">
        <f t="shared" si="80"/>
        <v>0</v>
      </c>
      <c r="AQ130" s="148">
        <f t="shared" si="80"/>
        <v>0</v>
      </c>
      <c r="AR130" s="149">
        <f t="shared" si="80"/>
        <v>0</v>
      </c>
    </row>
    <row r="131" spans="2:44" s="13" customFormat="1">
      <c r="B131" s="6"/>
      <c r="C131" s="138" t="s">
        <v>144</v>
      </c>
      <c r="E131" s="224">
        <f>IF(Year="",,E130*DiscountFactor)</f>
        <v>57.514793320424324</v>
      </c>
      <c r="F131" s="225">
        <f t="shared" ref="F131:AR131" si="81">IF(Year="",,F130*DiscountFactor)</f>
        <v>57.8947550623258</v>
      </c>
      <c r="G131" s="225">
        <f t="shared" si="81"/>
        <v>59.215063135709748</v>
      </c>
      <c r="H131" s="225">
        <f t="shared" si="81"/>
        <v>62.382042708180606</v>
      </c>
      <c r="I131" s="225">
        <f t="shared" si="81"/>
        <v>68.193425313251439</v>
      </c>
      <c r="J131" s="225">
        <f t="shared" si="81"/>
        <v>75.547530343922872</v>
      </c>
      <c r="K131" s="225">
        <f t="shared" si="81"/>
        <v>81.38708117333411</v>
      </c>
      <c r="L131" s="225">
        <f t="shared" si="81"/>
        <v>84.474950249447474</v>
      </c>
      <c r="M131" s="225">
        <f t="shared" si="81"/>
        <v>85.727965791550105</v>
      </c>
      <c r="N131" s="225">
        <f t="shared" si="81"/>
        <v>86.535030869497291</v>
      </c>
      <c r="O131" s="225">
        <f t="shared" si="81"/>
        <v>86.4841052439008</v>
      </c>
      <c r="P131" s="225">
        <f t="shared" si="81"/>
        <v>86.541055532497055</v>
      </c>
      <c r="Q131" s="225">
        <f t="shared" si="81"/>
        <v>86.70181436963702</v>
      </c>
      <c r="R131" s="225">
        <f t="shared" si="81"/>
        <v>86.962550118309991</v>
      </c>
      <c r="S131" s="225">
        <f t="shared" si="81"/>
        <v>87.319800770297505</v>
      </c>
      <c r="T131" s="225">
        <f t="shared" si="81"/>
        <v>87.770520958275526</v>
      </c>
      <c r="U131" s="225">
        <f t="shared" si="81"/>
        <v>88.312083714441854</v>
      </c>
      <c r="V131" s="225">
        <f t="shared" si="81"/>
        <v>88.942260385731927</v>
      </c>
      <c r="W131" s="225">
        <f t="shared" si="81"/>
        <v>89.659191453601295</v>
      </c>
      <c r="X131" s="225">
        <f t="shared" si="81"/>
        <v>90.461354954469954</v>
      </c>
      <c r="Y131" s="225">
        <f t="shared" si="81"/>
        <v>0</v>
      </c>
      <c r="Z131" s="225">
        <f t="shared" si="81"/>
        <v>0</v>
      </c>
      <c r="AA131" s="225">
        <f t="shared" si="81"/>
        <v>0</v>
      </c>
      <c r="AB131" s="225">
        <f t="shared" si="81"/>
        <v>0</v>
      </c>
      <c r="AC131" s="225">
        <f t="shared" si="81"/>
        <v>0</v>
      </c>
      <c r="AD131" s="225">
        <f t="shared" si="81"/>
        <v>0</v>
      </c>
      <c r="AE131" s="225">
        <f t="shared" si="81"/>
        <v>0</v>
      </c>
      <c r="AF131" s="225">
        <f t="shared" si="81"/>
        <v>0</v>
      </c>
      <c r="AG131" s="225">
        <f t="shared" si="81"/>
        <v>0</v>
      </c>
      <c r="AH131" s="225">
        <f t="shared" si="81"/>
        <v>0</v>
      </c>
      <c r="AI131" s="225">
        <f t="shared" si="81"/>
        <v>0</v>
      </c>
      <c r="AJ131" s="225">
        <f t="shared" si="81"/>
        <v>0</v>
      </c>
      <c r="AK131" s="225">
        <f t="shared" si="81"/>
        <v>0</v>
      </c>
      <c r="AL131" s="225">
        <f t="shared" si="81"/>
        <v>0</v>
      </c>
      <c r="AM131" s="225">
        <f t="shared" si="81"/>
        <v>0</v>
      </c>
      <c r="AN131" s="225">
        <f t="shared" si="81"/>
        <v>0</v>
      </c>
      <c r="AO131" s="225">
        <f t="shared" si="81"/>
        <v>0</v>
      </c>
      <c r="AP131" s="225">
        <f t="shared" si="81"/>
        <v>0</v>
      </c>
      <c r="AQ131" s="225">
        <f t="shared" si="81"/>
        <v>0</v>
      </c>
      <c r="AR131" s="226">
        <f t="shared" si="81"/>
        <v>0</v>
      </c>
    </row>
    <row r="132" spans="2:44" s="13" customFormat="1">
      <c r="C132" s="214" t="s">
        <v>145</v>
      </c>
      <c r="D132" s="215"/>
      <c r="E132" s="218">
        <f t="shared" ref="E132:AR132" si="82">IF(Year="","",IF(OR(Tariff_Period=1,MOD(Year,Tariff_Period)=1),E131,D132+E131))</f>
        <v>57.514793320424324</v>
      </c>
      <c r="F132" s="151">
        <f t="shared" si="82"/>
        <v>115.40954838275013</v>
      </c>
      <c r="G132" s="151">
        <f t="shared" si="82"/>
        <v>174.62461151845989</v>
      </c>
      <c r="H132" s="151">
        <f t="shared" si="82"/>
        <v>237.00665422664048</v>
      </c>
      <c r="I132" s="151">
        <f t="shared" si="82"/>
        <v>305.20007953989193</v>
      </c>
      <c r="J132" s="151">
        <f t="shared" si="82"/>
        <v>75.547530343922872</v>
      </c>
      <c r="K132" s="151">
        <f t="shared" si="82"/>
        <v>156.934611517257</v>
      </c>
      <c r="L132" s="151">
        <f t="shared" si="82"/>
        <v>241.40956176670448</v>
      </c>
      <c r="M132" s="151">
        <f t="shared" si="82"/>
        <v>327.13752755825459</v>
      </c>
      <c r="N132" s="151">
        <f t="shared" si="82"/>
        <v>413.67255842775188</v>
      </c>
      <c r="O132" s="151">
        <f t="shared" si="82"/>
        <v>86.4841052439008</v>
      </c>
      <c r="P132" s="151">
        <f t="shared" si="82"/>
        <v>173.02516077639785</v>
      </c>
      <c r="Q132" s="151">
        <f t="shared" si="82"/>
        <v>259.72697514603487</v>
      </c>
      <c r="R132" s="151">
        <f t="shared" si="82"/>
        <v>346.68952526434487</v>
      </c>
      <c r="S132" s="151">
        <f t="shared" si="82"/>
        <v>434.00932603464236</v>
      </c>
      <c r="T132" s="151">
        <f t="shared" si="82"/>
        <v>87.770520958275526</v>
      </c>
      <c r="U132" s="151">
        <f t="shared" si="82"/>
        <v>176.08260467271737</v>
      </c>
      <c r="V132" s="151">
        <f t="shared" si="82"/>
        <v>265.02486505844928</v>
      </c>
      <c r="W132" s="151">
        <f t="shared" si="82"/>
        <v>354.68405651205057</v>
      </c>
      <c r="X132" s="151">
        <f t="shared" si="82"/>
        <v>445.1454114665205</v>
      </c>
      <c r="Y132" s="151" t="str">
        <f t="shared" si="82"/>
        <v/>
      </c>
      <c r="Z132" s="151" t="str">
        <f t="shared" si="82"/>
        <v/>
      </c>
      <c r="AA132" s="151" t="str">
        <f t="shared" si="82"/>
        <v/>
      </c>
      <c r="AB132" s="151" t="str">
        <f t="shared" si="82"/>
        <v/>
      </c>
      <c r="AC132" s="151" t="str">
        <f t="shared" si="82"/>
        <v/>
      </c>
      <c r="AD132" s="151" t="str">
        <f t="shared" si="82"/>
        <v/>
      </c>
      <c r="AE132" s="151" t="str">
        <f t="shared" si="82"/>
        <v/>
      </c>
      <c r="AF132" s="151" t="str">
        <f t="shared" si="82"/>
        <v/>
      </c>
      <c r="AG132" s="151" t="str">
        <f t="shared" si="82"/>
        <v/>
      </c>
      <c r="AH132" s="151" t="str">
        <f t="shared" si="82"/>
        <v/>
      </c>
      <c r="AI132" s="151" t="str">
        <f t="shared" si="82"/>
        <v/>
      </c>
      <c r="AJ132" s="151" t="str">
        <f t="shared" si="82"/>
        <v/>
      </c>
      <c r="AK132" s="151" t="str">
        <f t="shared" si="82"/>
        <v/>
      </c>
      <c r="AL132" s="151" t="str">
        <f t="shared" si="82"/>
        <v/>
      </c>
      <c r="AM132" s="151" t="str">
        <f t="shared" si="82"/>
        <v/>
      </c>
      <c r="AN132" s="151" t="str">
        <f t="shared" si="82"/>
        <v/>
      </c>
      <c r="AO132" s="151" t="str">
        <f t="shared" si="82"/>
        <v/>
      </c>
      <c r="AP132" s="151" t="str">
        <f t="shared" si="82"/>
        <v/>
      </c>
      <c r="AQ132" s="151" t="str">
        <f t="shared" si="82"/>
        <v/>
      </c>
      <c r="AR132" s="152" t="str">
        <f t="shared" si="82"/>
        <v/>
      </c>
    </row>
    <row r="133" spans="2:44" s="3" customFormat="1"/>
    <row r="134" spans="2:44" s="3" customFormat="1">
      <c r="B134" s="4" t="s">
        <v>144</v>
      </c>
      <c r="E134" s="175"/>
    </row>
    <row r="135" spans="2:44" s="13" customFormat="1">
      <c r="C135" s="214" t="s">
        <v>31</v>
      </c>
      <c r="D135" s="147">
        <f t="shared" ref="D135:AR135" si="83">IF(Year&gt;Contract_Length,"",IF(Year&lt;INT(Contract_Length/Tariff_Period)*Tariff_Period,IF(MOD(Year,Tariff_Period)=0,INDEX(128:128,1,COLUMN()+Tariff_Period),),IF(Year=INT(Contract_Length/Tariff_Period)*Tariff_Period,INDEX(128:128,1,Contract_Length+4),)))</f>
        <v>1.6604725128080058</v>
      </c>
      <c r="E135" s="148">
        <f t="shared" si="83"/>
        <v>0</v>
      </c>
      <c r="F135" s="148">
        <f t="shared" si="83"/>
        <v>0</v>
      </c>
      <c r="G135" s="148">
        <f t="shared" si="83"/>
        <v>0</v>
      </c>
      <c r="H135" s="148">
        <f t="shared" si="83"/>
        <v>0</v>
      </c>
      <c r="I135" s="148">
        <f t="shared" si="83"/>
        <v>7.9775327019986984</v>
      </c>
      <c r="J135" s="148">
        <f t="shared" si="83"/>
        <v>0</v>
      </c>
      <c r="K135" s="148">
        <f t="shared" si="83"/>
        <v>0</v>
      </c>
      <c r="L135" s="148">
        <f t="shared" si="83"/>
        <v>0</v>
      </c>
      <c r="M135" s="148">
        <f t="shared" si="83"/>
        <v>0</v>
      </c>
      <c r="N135" s="148">
        <f t="shared" si="83"/>
        <v>4.9744334295753507</v>
      </c>
      <c r="O135" s="148">
        <f t="shared" si="83"/>
        <v>0</v>
      </c>
      <c r="P135" s="148">
        <f t="shared" si="83"/>
        <v>0</v>
      </c>
      <c r="Q135" s="148">
        <f t="shared" si="83"/>
        <v>0</v>
      </c>
      <c r="R135" s="148">
        <f t="shared" si="83"/>
        <v>0</v>
      </c>
      <c r="S135" s="148">
        <f t="shared" si="83"/>
        <v>2.5190335049378554</v>
      </c>
      <c r="T135" s="148">
        <f t="shared" si="83"/>
        <v>0</v>
      </c>
      <c r="U135" s="148">
        <f t="shared" si="83"/>
        <v>0</v>
      </c>
      <c r="V135" s="148">
        <f t="shared" si="83"/>
        <v>0</v>
      </c>
      <c r="W135" s="148">
        <f t="shared" si="83"/>
        <v>0</v>
      </c>
      <c r="X135" s="148">
        <f t="shared" si="83"/>
        <v>2.5190335049378554</v>
      </c>
      <c r="Y135" s="148" t="str">
        <f t="shared" si="83"/>
        <v/>
      </c>
      <c r="Z135" s="148" t="str">
        <f t="shared" si="83"/>
        <v/>
      </c>
      <c r="AA135" s="148" t="str">
        <f t="shared" si="83"/>
        <v/>
      </c>
      <c r="AB135" s="148" t="str">
        <f t="shared" si="83"/>
        <v/>
      </c>
      <c r="AC135" s="148" t="str">
        <f t="shared" si="83"/>
        <v/>
      </c>
      <c r="AD135" s="148" t="str">
        <f t="shared" si="83"/>
        <v/>
      </c>
      <c r="AE135" s="148" t="str">
        <f t="shared" si="83"/>
        <v/>
      </c>
      <c r="AF135" s="148" t="str">
        <f t="shared" si="83"/>
        <v/>
      </c>
      <c r="AG135" s="148" t="str">
        <f t="shared" si="83"/>
        <v/>
      </c>
      <c r="AH135" s="148" t="str">
        <f t="shared" si="83"/>
        <v/>
      </c>
      <c r="AI135" s="148" t="str">
        <f t="shared" si="83"/>
        <v/>
      </c>
      <c r="AJ135" s="148" t="str">
        <f t="shared" si="83"/>
        <v/>
      </c>
      <c r="AK135" s="148" t="str">
        <f t="shared" si="83"/>
        <v/>
      </c>
      <c r="AL135" s="148" t="str">
        <f t="shared" si="83"/>
        <v/>
      </c>
      <c r="AM135" s="148" t="str">
        <f t="shared" si="83"/>
        <v/>
      </c>
      <c r="AN135" s="148" t="str">
        <f t="shared" si="83"/>
        <v/>
      </c>
      <c r="AO135" s="148" t="str">
        <f t="shared" si="83"/>
        <v/>
      </c>
      <c r="AP135" s="148" t="str">
        <f t="shared" si="83"/>
        <v/>
      </c>
      <c r="AQ135" s="148" t="str">
        <f t="shared" si="83"/>
        <v/>
      </c>
      <c r="AR135" s="149" t="str">
        <f t="shared" si="83"/>
        <v/>
      </c>
    </row>
    <row r="136" spans="2:44" s="13" customFormat="1">
      <c r="C136" s="214" t="s">
        <v>30</v>
      </c>
      <c r="D136" s="150">
        <f t="shared" ref="D136:AR136" si="84">IF(Year&gt;Contract_Length,"",IF(Year&lt;INT(Contract_Length/Tariff_Period)*Tariff_Period,IF(MOD(Year,Tariff_Period)=0,INDEX(132:132,1,COLUMN()+Tariff_Period),),IF(Year=INT(Contract_Length/Tariff_Period)*Tariff_Period,INDEX(132:132,1,Contract_Length+4),)))</f>
        <v>305.20007953989193</v>
      </c>
      <c r="E136" s="151">
        <f t="shared" si="84"/>
        <v>0</v>
      </c>
      <c r="F136" s="151">
        <f t="shared" si="84"/>
        <v>0</v>
      </c>
      <c r="G136" s="151">
        <f t="shared" si="84"/>
        <v>0</v>
      </c>
      <c r="H136" s="151">
        <f t="shared" si="84"/>
        <v>0</v>
      </c>
      <c r="I136" s="151">
        <f t="shared" si="84"/>
        <v>413.67255842775188</v>
      </c>
      <c r="J136" s="151">
        <f t="shared" si="84"/>
        <v>0</v>
      </c>
      <c r="K136" s="151">
        <f t="shared" si="84"/>
        <v>0</v>
      </c>
      <c r="L136" s="151">
        <f t="shared" si="84"/>
        <v>0</v>
      </c>
      <c r="M136" s="151">
        <f t="shared" si="84"/>
        <v>0</v>
      </c>
      <c r="N136" s="151">
        <f t="shared" si="84"/>
        <v>434.00932603464236</v>
      </c>
      <c r="O136" s="151">
        <f t="shared" si="84"/>
        <v>0</v>
      </c>
      <c r="P136" s="151">
        <f t="shared" si="84"/>
        <v>0</v>
      </c>
      <c r="Q136" s="151">
        <f t="shared" si="84"/>
        <v>0</v>
      </c>
      <c r="R136" s="151">
        <f t="shared" si="84"/>
        <v>0</v>
      </c>
      <c r="S136" s="151">
        <f t="shared" si="84"/>
        <v>445.1454114665205</v>
      </c>
      <c r="T136" s="151">
        <f t="shared" si="84"/>
        <v>0</v>
      </c>
      <c r="U136" s="151">
        <f t="shared" si="84"/>
        <v>0</v>
      </c>
      <c r="V136" s="151">
        <f t="shared" si="84"/>
        <v>0</v>
      </c>
      <c r="W136" s="151">
        <f t="shared" si="84"/>
        <v>0</v>
      </c>
      <c r="X136" s="151">
        <f t="shared" si="84"/>
        <v>445.1454114665205</v>
      </c>
      <c r="Y136" s="151" t="str">
        <f t="shared" si="84"/>
        <v/>
      </c>
      <c r="Z136" s="151" t="str">
        <f t="shared" si="84"/>
        <v/>
      </c>
      <c r="AA136" s="151" t="str">
        <f t="shared" si="84"/>
        <v/>
      </c>
      <c r="AB136" s="151" t="str">
        <f t="shared" si="84"/>
        <v/>
      </c>
      <c r="AC136" s="151" t="str">
        <f t="shared" si="84"/>
        <v/>
      </c>
      <c r="AD136" s="151" t="str">
        <f t="shared" si="84"/>
        <v/>
      </c>
      <c r="AE136" s="151" t="str">
        <f t="shared" si="84"/>
        <v/>
      </c>
      <c r="AF136" s="151" t="str">
        <f t="shared" si="84"/>
        <v/>
      </c>
      <c r="AG136" s="151" t="str">
        <f t="shared" si="84"/>
        <v/>
      </c>
      <c r="AH136" s="151" t="str">
        <f t="shared" si="84"/>
        <v/>
      </c>
      <c r="AI136" s="151" t="str">
        <f t="shared" si="84"/>
        <v/>
      </c>
      <c r="AJ136" s="151" t="str">
        <f t="shared" si="84"/>
        <v/>
      </c>
      <c r="AK136" s="151" t="str">
        <f t="shared" si="84"/>
        <v/>
      </c>
      <c r="AL136" s="151" t="str">
        <f t="shared" si="84"/>
        <v/>
      </c>
      <c r="AM136" s="151" t="str">
        <f t="shared" si="84"/>
        <v/>
      </c>
      <c r="AN136" s="151" t="str">
        <f t="shared" si="84"/>
        <v/>
      </c>
      <c r="AO136" s="151" t="str">
        <f t="shared" si="84"/>
        <v/>
      </c>
      <c r="AP136" s="151" t="str">
        <f t="shared" si="84"/>
        <v/>
      </c>
      <c r="AQ136" s="151" t="str">
        <f t="shared" si="84"/>
        <v/>
      </c>
      <c r="AR136" s="152" t="str">
        <f t="shared" si="84"/>
        <v/>
      </c>
    </row>
    <row r="137" spans="2:44" s="13" customFormat="1">
      <c r="C137" s="231"/>
    </row>
    <row r="138" spans="2:44" s="13" customFormat="1" ht="15.6">
      <c r="B138" s="232" t="s">
        <v>146</v>
      </c>
    </row>
    <row r="139" spans="2:44" s="13" customFormat="1">
      <c r="B139" s="138" t="s">
        <v>16</v>
      </c>
    </row>
    <row r="140" spans="2:44" s="13" customFormat="1">
      <c r="C140" s="214" t="s">
        <v>31</v>
      </c>
      <c r="E140" s="233">
        <f>IF(Year="","",IF(SUM(110:110)=0,,SUM(127:127)/SUM(110:110)))</f>
        <v>0.6131943551702338</v>
      </c>
      <c r="F140" s="234">
        <f t="shared" ref="F140:AR140" si="85">IF(Year="","",IF(SUM(110:110)=0,,SUM(127:127)/SUM(110:110)))</f>
        <v>0.6131943551702338</v>
      </c>
      <c r="G140" s="234">
        <f t="shared" si="85"/>
        <v>0.6131943551702338</v>
      </c>
      <c r="H140" s="234">
        <f t="shared" si="85"/>
        <v>0.6131943551702338</v>
      </c>
      <c r="I140" s="234">
        <f t="shared" si="85"/>
        <v>0.6131943551702338</v>
      </c>
      <c r="J140" s="234">
        <f t="shared" si="85"/>
        <v>0.6131943551702338</v>
      </c>
      <c r="K140" s="234">
        <f t="shared" si="85"/>
        <v>0.6131943551702338</v>
      </c>
      <c r="L140" s="234">
        <f t="shared" si="85"/>
        <v>0.6131943551702338</v>
      </c>
      <c r="M140" s="234">
        <f t="shared" si="85"/>
        <v>0.6131943551702338</v>
      </c>
      <c r="N140" s="234">
        <f t="shared" si="85"/>
        <v>0.6131943551702338</v>
      </c>
      <c r="O140" s="234">
        <f t="shared" si="85"/>
        <v>0.6131943551702338</v>
      </c>
      <c r="P140" s="234">
        <f t="shared" si="85"/>
        <v>0.6131943551702338</v>
      </c>
      <c r="Q140" s="234">
        <f t="shared" si="85"/>
        <v>0.6131943551702338</v>
      </c>
      <c r="R140" s="234">
        <f t="shared" si="85"/>
        <v>0.6131943551702338</v>
      </c>
      <c r="S140" s="234">
        <f t="shared" si="85"/>
        <v>0.6131943551702338</v>
      </c>
      <c r="T140" s="234">
        <f t="shared" si="85"/>
        <v>0.6131943551702338</v>
      </c>
      <c r="U140" s="234">
        <f t="shared" si="85"/>
        <v>0.6131943551702338</v>
      </c>
      <c r="V140" s="234">
        <f t="shared" si="85"/>
        <v>0.6131943551702338</v>
      </c>
      <c r="W140" s="234">
        <f t="shared" si="85"/>
        <v>0.6131943551702338</v>
      </c>
      <c r="X140" s="234">
        <f t="shared" si="85"/>
        <v>0.6131943551702338</v>
      </c>
      <c r="Y140" s="234" t="str">
        <f t="shared" si="85"/>
        <v/>
      </c>
      <c r="Z140" s="234" t="str">
        <f t="shared" si="85"/>
        <v/>
      </c>
      <c r="AA140" s="234" t="str">
        <f t="shared" si="85"/>
        <v/>
      </c>
      <c r="AB140" s="234" t="str">
        <f t="shared" si="85"/>
        <v/>
      </c>
      <c r="AC140" s="234" t="str">
        <f t="shared" si="85"/>
        <v/>
      </c>
      <c r="AD140" s="234" t="str">
        <f t="shared" si="85"/>
        <v/>
      </c>
      <c r="AE140" s="234" t="str">
        <f t="shared" si="85"/>
        <v/>
      </c>
      <c r="AF140" s="234" t="str">
        <f t="shared" si="85"/>
        <v/>
      </c>
      <c r="AG140" s="234" t="str">
        <f t="shared" si="85"/>
        <v/>
      </c>
      <c r="AH140" s="234" t="str">
        <f t="shared" si="85"/>
        <v/>
      </c>
      <c r="AI140" s="234" t="str">
        <f t="shared" si="85"/>
        <v/>
      </c>
      <c r="AJ140" s="234" t="str">
        <f t="shared" si="85"/>
        <v/>
      </c>
      <c r="AK140" s="234" t="str">
        <f t="shared" si="85"/>
        <v/>
      </c>
      <c r="AL140" s="234" t="str">
        <f t="shared" si="85"/>
        <v/>
      </c>
      <c r="AM140" s="234" t="str">
        <f t="shared" si="85"/>
        <v/>
      </c>
      <c r="AN140" s="234" t="str">
        <f t="shared" si="85"/>
        <v/>
      </c>
      <c r="AO140" s="234" t="str">
        <f t="shared" si="85"/>
        <v/>
      </c>
      <c r="AP140" s="234" t="str">
        <f t="shared" si="85"/>
        <v/>
      </c>
      <c r="AQ140" s="234" t="str">
        <f t="shared" si="85"/>
        <v/>
      </c>
      <c r="AR140" s="235" t="str">
        <f t="shared" si="85"/>
        <v/>
      </c>
    </row>
    <row r="141" spans="2:44" s="13" customFormat="1">
      <c r="C141" s="214" t="s">
        <v>30</v>
      </c>
      <c r="E141" s="227">
        <f>IF(Year="","",IF(SUM(110:110)=0,,SUM(131:131)/SUM(110:110)))</f>
        <v>57.198900217333403</v>
      </c>
      <c r="F141" s="228">
        <f t="shared" ref="F141:AR141" si="86">IF(Year="","",IF(SUM(110:110)=0,,SUM(131:131)/SUM(110:110)))</f>
        <v>57.198900217333403</v>
      </c>
      <c r="G141" s="228">
        <f t="shared" si="86"/>
        <v>57.198900217333403</v>
      </c>
      <c r="H141" s="228">
        <f t="shared" si="86"/>
        <v>57.198900217333403</v>
      </c>
      <c r="I141" s="228">
        <f t="shared" si="86"/>
        <v>57.198900217333403</v>
      </c>
      <c r="J141" s="228">
        <f t="shared" si="86"/>
        <v>57.198900217333403</v>
      </c>
      <c r="K141" s="228">
        <f t="shared" si="86"/>
        <v>57.198900217333403</v>
      </c>
      <c r="L141" s="228">
        <f t="shared" si="86"/>
        <v>57.198900217333403</v>
      </c>
      <c r="M141" s="228">
        <f t="shared" si="86"/>
        <v>57.198900217333403</v>
      </c>
      <c r="N141" s="228">
        <f t="shared" si="86"/>
        <v>57.198900217333403</v>
      </c>
      <c r="O141" s="228">
        <f t="shared" si="86"/>
        <v>57.198900217333403</v>
      </c>
      <c r="P141" s="228">
        <f t="shared" si="86"/>
        <v>57.198900217333403</v>
      </c>
      <c r="Q141" s="228">
        <f t="shared" si="86"/>
        <v>57.198900217333403</v>
      </c>
      <c r="R141" s="228">
        <f t="shared" si="86"/>
        <v>57.198900217333403</v>
      </c>
      <c r="S141" s="228">
        <f t="shared" si="86"/>
        <v>57.198900217333403</v>
      </c>
      <c r="T141" s="228">
        <f t="shared" si="86"/>
        <v>57.198900217333403</v>
      </c>
      <c r="U141" s="228">
        <f t="shared" si="86"/>
        <v>57.198900217333403</v>
      </c>
      <c r="V141" s="228">
        <f t="shared" si="86"/>
        <v>57.198900217333403</v>
      </c>
      <c r="W141" s="228">
        <f t="shared" si="86"/>
        <v>57.198900217333403</v>
      </c>
      <c r="X141" s="228">
        <f t="shared" si="86"/>
        <v>57.198900217333403</v>
      </c>
      <c r="Y141" s="228" t="str">
        <f t="shared" si="86"/>
        <v/>
      </c>
      <c r="Z141" s="228" t="str">
        <f t="shared" si="86"/>
        <v/>
      </c>
      <c r="AA141" s="228" t="str">
        <f t="shared" si="86"/>
        <v/>
      </c>
      <c r="AB141" s="228" t="str">
        <f t="shared" si="86"/>
        <v/>
      </c>
      <c r="AC141" s="228" t="str">
        <f t="shared" si="86"/>
        <v/>
      </c>
      <c r="AD141" s="228" t="str">
        <f t="shared" si="86"/>
        <v/>
      </c>
      <c r="AE141" s="228" t="str">
        <f t="shared" si="86"/>
        <v/>
      </c>
      <c r="AF141" s="228" t="str">
        <f t="shared" si="86"/>
        <v/>
      </c>
      <c r="AG141" s="228" t="str">
        <f t="shared" si="86"/>
        <v/>
      </c>
      <c r="AH141" s="228" t="str">
        <f t="shared" si="86"/>
        <v/>
      </c>
      <c r="AI141" s="228" t="str">
        <f t="shared" si="86"/>
        <v/>
      </c>
      <c r="AJ141" s="228" t="str">
        <f t="shared" si="86"/>
        <v/>
      </c>
      <c r="AK141" s="228" t="str">
        <f t="shared" si="86"/>
        <v/>
      </c>
      <c r="AL141" s="228" t="str">
        <f t="shared" si="86"/>
        <v/>
      </c>
      <c r="AM141" s="228" t="str">
        <f t="shared" si="86"/>
        <v/>
      </c>
      <c r="AN141" s="228" t="str">
        <f t="shared" si="86"/>
        <v/>
      </c>
      <c r="AO141" s="228" t="str">
        <f t="shared" si="86"/>
        <v/>
      </c>
      <c r="AP141" s="228" t="str">
        <f t="shared" si="86"/>
        <v/>
      </c>
      <c r="AQ141" s="228" t="str">
        <f t="shared" si="86"/>
        <v/>
      </c>
      <c r="AR141" s="229" t="str">
        <f t="shared" si="86"/>
        <v/>
      </c>
    </row>
    <row r="142" spans="2:44" s="3" customFormat="1">
      <c r="B142" s="3" t="str">
        <f>CONCATENATE(Tariff_Period," year reset period")</f>
        <v>5 year reset period</v>
      </c>
      <c r="Y142" s="175"/>
      <c r="Z142" s="175"/>
      <c r="AA142" s="175"/>
      <c r="AB142" s="175"/>
      <c r="AC142" s="175"/>
      <c r="AD142" s="175"/>
      <c r="AE142" s="175"/>
      <c r="AF142" s="175"/>
      <c r="AG142" s="175"/>
      <c r="AH142" s="175"/>
      <c r="AI142" s="175"/>
      <c r="AJ142" s="175"/>
      <c r="AK142" s="175"/>
      <c r="AL142" s="175"/>
      <c r="AM142" s="175"/>
      <c r="AN142" s="175"/>
      <c r="AO142" s="175"/>
      <c r="AP142" s="175"/>
      <c r="AQ142" s="175"/>
      <c r="AR142" s="175"/>
    </row>
    <row r="143" spans="2:44" s="13" customFormat="1">
      <c r="C143" s="214" t="s">
        <v>31</v>
      </c>
      <c r="E143" s="233">
        <f t="shared" ref="E143:AR143" si="87">IF(Year&gt;Contract_Length,"",IF(OR(Tariff_Period=1,MOD(Year,Tariff_Period)=1),IF(D112=0,,D135/D112),D143))</f>
        <v>0.24962300740396812</v>
      </c>
      <c r="F143" s="234">
        <f t="shared" si="87"/>
        <v>0.24962300740396812</v>
      </c>
      <c r="G143" s="234">
        <f t="shared" si="87"/>
        <v>0.24962300740396812</v>
      </c>
      <c r="H143" s="234">
        <f t="shared" si="87"/>
        <v>0.24962300740396812</v>
      </c>
      <c r="I143" s="234">
        <f t="shared" si="87"/>
        <v>0.24962300740396812</v>
      </c>
      <c r="J143" s="234">
        <f t="shared" si="87"/>
        <v>0.93370705024181044</v>
      </c>
      <c r="K143" s="234">
        <f t="shared" si="87"/>
        <v>0.93370705024181044</v>
      </c>
      <c r="L143" s="234">
        <f t="shared" si="87"/>
        <v>0.93370705024181044</v>
      </c>
      <c r="M143" s="234">
        <f t="shared" si="87"/>
        <v>0.93370705024181044</v>
      </c>
      <c r="N143" s="234">
        <f t="shared" si="87"/>
        <v>0.93370705024181044</v>
      </c>
      <c r="O143" s="234">
        <f t="shared" si="87"/>
        <v>0.6944256526548428</v>
      </c>
      <c r="P143" s="234">
        <f t="shared" si="87"/>
        <v>0.6944256526548428</v>
      </c>
      <c r="Q143" s="234">
        <f t="shared" si="87"/>
        <v>0.6944256526548428</v>
      </c>
      <c r="R143" s="234">
        <f t="shared" si="87"/>
        <v>0.6944256526548428</v>
      </c>
      <c r="S143" s="234">
        <f t="shared" si="87"/>
        <v>0.6944256526548428</v>
      </c>
      <c r="T143" s="234">
        <f t="shared" si="87"/>
        <v>0.45153320883923798</v>
      </c>
      <c r="U143" s="234">
        <f t="shared" si="87"/>
        <v>0.45153320883923798</v>
      </c>
      <c r="V143" s="234">
        <f t="shared" si="87"/>
        <v>0.45153320883923798</v>
      </c>
      <c r="W143" s="234">
        <f t="shared" si="87"/>
        <v>0.45153320883923798</v>
      </c>
      <c r="X143" s="234">
        <f t="shared" si="87"/>
        <v>0.45153320883923798</v>
      </c>
      <c r="Y143" s="234" t="str">
        <f t="shared" si="87"/>
        <v/>
      </c>
      <c r="Z143" s="234" t="str">
        <f t="shared" si="87"/>
        <v/>
      </c>
      <c r="AA143" s="234" t="str">
        <f t="shared" si="87"/>
        <v/>
      </c>
      <c r="AB143" s="234" t="str">
        <f t="shared" si="87"/>
        <v/>
      </c>
      <c r="AC143" s="234" t="str">
        <f t="shared" si="87"/>
        <v/>
      </c>
      <c r="AD143" s="234" t="str">
        <f t="shared" si="87"/>
        <v/>
      </c>
      <c r="AE143" s="234" t="str">
        <f t="shared" si="87"/>
        <v/>
      </c>
      <c r="AF143" s="234" t="str">
        <f t="shared" si="87"/>
        <v/>
      </c>
      <c r="AG143" s="234" t="str">
        <f t="shared" si="87"/>
        <v/>
      </c>
      <c r="AH143" s="234" t="str">
        <f t="shared" si="87"/>
        <v/>
      </c>
      <c r="AI143" s="234" t="str">
        <f t="shared" si="87"/>
        <v/>
      </c>
      <c r="AJ143" s="234" t="str">
        <f t="shared" si="87"/>
        <v/>
      </c>
      <c r="AK143" s="234" t="str">
        <f t="shared" si="87"/>
        <v/>
      </c>
      <c r="AL143" s="234" t="str">
        <f t="shared" si="87"/>
        <v/>
      </c>
      <c r="AM143" s="234" t="str">
        <f t="shared" si="87"/>
        <v/>
      </c>
      <c r="AN143" s="234" t="str">
        <f t="shared" si="87"/>
        <v/>
      </c>
      <c r="AO143" s="234" t="str">
        <f t="shared" si="87"/>
        <v/>
      </c>
      <c r="AP143" s="234" t="str">
        <f t="shared" si="87"/>
        <v/>
      </c>
      <c r="AQ143" s="234" t="str">
        <f t="shared" si="87"/>
        <v/>
      </c>
      <c r="AR143" s="235" t="str">
        <f t="shared" si="87"/>
        <v/>
      </c>
    </row>
    <row r="144" spans="2:44" s="13" customFormat="1">
      <c r="C144" s="214" t="s">
        <v>30</v>
      </c>
      <c r="E144" s="227">
        <f t="shared" ref="E144:AR144" si="88">IF(Year&gt;Contract_Length,"",IF(OR(Tariff_Period=1,MOD(Year,Tariff_Period)=1),IF(D112=0,,D136/D112),D144))</f>
        <v>45.881495253325575</v>
      </c>
      <c r="F144" s="228">
        <f t="shared" si="88"/>
        <v>45.881495253325575</v>
      </c>
      <c r="G144" s="228">
        <f t="shared" si="88"/>
        <v>45.881495253325575</v>
      </c>
      <c r="H144" s="228">
        <f t="shared" si="88"/>
        <v>45.881495253325575</v>
      </c>
      <c r="I144" s="228">
        <f t="shared" si="88"/>
        <v>45.881495253325575</v>
      </c>
      <c r="J144" s="228">
        <f t="shared" si="88"/>
        <v>48.417098208671462</v>
      </c>
      <c r="K144" s="228">
        <f t="shared" si="88"/>
        <v>48.417098208671462</v>
      </c>
      <c r="L144" s="228">
        <f t="shared" si="88"/>
        <v>48.417098208671462</v>
      </c>
      <c r="M144" s="228">
        <f t="shared" si="88"/>
        <v>48.417098208671462</v>
      </c>
      <c r="N144" s="228">
        <f t="shared" si="88"/>
        <v>48.417098208671462</v>
      </c>
      <c r="O144" s="228">
        <f t="shared" si="88"/>
        <v>60.587243503552784</v>
      </c>
      <c r="P144" s="228">
        <f t="shared" si="88"/>
        <v>60.587243503552784</v>
      </c>
      <c r="Q144" s="228">
        <f t="shared" si="88"/>
        <v>60.587243503552784</v>
      </c>
      <c r="R144" s="228">
        <f t="shared" si="88"/>
        <v>60.587243503552784</v>
      </c>
      <c r="S144" s="228">
        <f t="shared" si="88"/>
        <v>60.587243503552784</v>
      </c>
      <c r="T144" s="228">
        <f t="shared" si="88"/>
        <v>79.791688219128929</v>
      </c>
      <c r="U144" s="228">
        <f t="shared" si="88"/>
        <v>79.791688219128929</v>
      </c>
      <c r="V144" s="228">
        <f t="shared" si="88"/>
        <v>79.791688219128929</v>
      </c>
      <c r="W144" s="228">
        <f t="shared" si="88"/>
        <v>79.791688219128929</v>
      </c>
      <c r="X144" s="228">
        <f t="shared" si="88"/>
        <v>79.791688219128929</v>
      </c>
      <c r="Y144" s="228" t="str">
        <f t="shared" si="88"/>
        <v/>
      </c>
      <c r="Z144" s="228" t="str">
        <f t="shared" si="88"/>
        <v/>
      </c>
      <c r="AA144" s="228" t="str">
        <f t="shared" si="88"/>
        <v/>
      </c>
      <c r="AB144" s="228" t="str">
        <f t="shared" si="88"/>
        <v/>
      </c>
      <c r="AC144" s="228" t="str">
        <f t="shared" si="88"/>
        <v/>
      </c>
      <c r="AD144" s="228" t="str">
        <f t="shared" si="88"/>
        <v/>
      </c>
      <c r="AE144" s="228" t="str">
        <f t="shared" si="88"/>
        <v/>
      </c>
      <c r="AF144" s="228" t="str">
        <f t="shared" si="88"/>
        <v/>
      </c>
      <c r="AG144" s="228" t="str">
        <f t="shared" si="88"/>
        <v/>
      </c>
      <c r="AH144" s="228" t="str">
        <f t="shared" si="88"/>
        <v/>
      </c>
      <c r="AI144" s="228" t="str">
        <f t="shared" si="88"/>
        <v/>
      </c>
      <c r="AJ144" s="228" t="str">
        <f t="shared" si="88"/>
        <v/>
      </c>
      <c r="AK144" s="228" t="str">
        <f t="shared" si="88"/>
        <v/>
      </c>
      <c r="AL144" s="228" t="str">
        <f t="shared" si="88"/>
        <v/>
      </c>
      <c r="AM144" s="228" t="str">
        <f t="shared" si="88"/>
        <v/>
      </c>
      <c r="AN144" s="228" t="str">
        <f t="shared" si="88"/>
        <v/>
      </c>
      <c r="AO144" s="228" t="str">
        <f t="shared" si="88"/>
        <v/>
      </c>
      <c r="AP144" s="228" t="str">
        <f t="shared" si="88"/>
        <v/>
      </c>
      <c r="AQ144" s="228" t="str">
        <f t="shared" si="88"/>
        <v/>
      </c>
      <c r="AR144" s="229" t="str">
        <f t="shared" si="88"/>
        <v/>
      </c>
    </row>
    <row r="145" spans="1:44" s="3" customFormat="1">
      <c r="E145" s="236"/>
      <c r="F145" s="236"/>
      <c r="G145" s="236"/>
      <c r="H145" s="236"/>
      <c r="I145" s="236"/>
      <c r="J145" s="236"/>
      <c r="K145" s="236"/>
      <c r="L145" s="236"/>
      <c r="M145" s="236"/>
      <c r="N145" s="236"/>
      <c r="O145" s="236"/>
      <c r="P145" s="236"/>
      <c r="Q145" s="236"/>
      <c r="R145" s="236"/>
      <c r="S145" s="236"/>
      <c r="T145" s="236"/>
      <c r="U145" s="236"/>
      <c r="V145" s="236"/>
      <c r="W145" s="236"/>
      <c r="X145" s="236"/>
      <c r="Y145" s="236"/>
      <c r="Z145" s="236"/>
      <c r="AA145" s="236"/>
      <c r="AB145" s="236"/>
      <c r="AC145" s="236"/>
      <c r="AD145" s="236"/>
      <c r="AE145" s="236"/>
      <c r="AF145" s="236"/>
      <c r="AG145" s="236"/>
      <c r="AH145" s="236"/>
      <c r="AI145" s="236"/>
      <c r="AJ145" s="236"/>
      <c r="AK145" s="236"/>
      <c r="AL145" s="236"/>
      <c r="AM145" s="236"/>
      <c r="AN145" s="236"/>
      <c r="AO145" s="236"/>
      <c r="AP145" s="236"/>
      <c r="AQ145" s="236"/>
      <c r="AR145" s="236"/>
    </row>
    <row r="146" spans="1:44" s="3" customFormat="1">
      <c r="C146" s="12"/>
      <c r="F146" s="236"/>
      <c r="G146" s="236"/>
    </row>
    <row r="147" spans="1:44" s="45" customFormat="1" ht="17.399999999999999">
      <c r="A147" s="43" t="s">
        <v>147</v>
      </c>
      <c r="B147" s="44"/>
      <c r="C147" s="44"/>
    </row>
    <row r="148" spans="1:44" s="13" customFormat="1">
      <c r="B148" s="138" t="s">
        <v>148</v>
      </c>
      <c r="D148" s="237">
        <f t="shared" ref="D148:AR148" si="89">IF(DeflateFactor_Det=0,,1/DeflateFactor_Det)</f>
        <v>1</v>
      </c>
      <c r="E148" s="238">
        <f t="shared" si="89"/>
        <v>1.0598121888933634</v>
      </c>
      <c r="F148" s="238">
        <f t="shared" si="89"/>
        <v>1.1307809353159843</v>
      </c>
      <c r="G148" s="238">
        <f t="shared" si="89"/>
        <v>1.2126857114190128</v>
      </c>
      <c r="H148" s="238">
        <f t="shared" si="89"/>
        <v>1.3052282647363784</v>
      </c>
      <c r="I148" s="238">
        <f t="shared" si="89"/>
        <v>1.4082282467164859</v>
      </c>
      <c r="J148" s="238">
        <f t="shared" si="89"/>
        <v>1.5217162481266073</v>
      </c>
      <c r="K148" s="238">
        <f t="shared" si="89"/>
        <v>1.6459498646637647</v>
      </c>
      <c r="L148" s="238">
        <f t="shared" si="89"/>
        <v>1.7813930124895314</v>
      </c>
      <c r="M148" s="238">
        <f t="shared" si="89"/>
        <v>1.9286861980332863</v>
      </c>
      <c r="N148" s="238">
        <f t="shared" si="89"/>
        <v>2.0886205846151089</v>
      </c>
      <c r="O148" s="238">
        <f t="shared" si="89"/>
        <v>2.2621196420828498</v>
      </c>
      <c r="P148" s="238">
        <f t="shared" si="89"/>
        <v>2.4502281985810774</v>
      </c>
      <c r="Q148" s="238">
        <f t="shared" si="89"/>
        <v>2.6541075006475912</v>
      </c>
      <c r="R148" s="238">
        <f t="shared" si="89"/>
        <v>2.8750348206735414</v>
      </c>
      <c r="S148" s="238">
        <f t="shared" si="89"/>
        <v>3.1144064407922962</v>
      </c>
      <c r="T148" s="238">
        <f t="shared" si="89"/>
        <v>3.3737431751932769</v>
      </c>
      <c r="U148" s="238">
        <f t="shared" si="89"/>
        <v>3.6546978699952386</v>
      </c>
      <c r="V148" s="238">
        <f t="shared" si="89"/>
        <v>3.9590645256653172</v>
      </c>
      <c r="W148" s="238">
        <f t="shared" si="89"/>
        <v>4.288788832328434</v>
      </c>
      <c r="X148" s="238">
        <f t="shared" si="89"/>
        <v>4.6459800087958127</v>
      </c>
      <c r="Y148" s="238">
        <f t="shared" si="89"/>
        <v>5.0329239053788237</v>
      </c>
      <c r="Z148" s="238">
        <f t="shared" si="89"/>
        <v>5.4520973787942326</v>
      </c>
      <c r="AA148" s="238">
        <f t="shared" si="89"/>
        <v>5.9061839819305755</v>
      </c>
      <c r="AB148" s="238">
        <f t="shared" si="89"/>
        <v>6.398091036858057</v>
      </c>
      <c r="AC148" s="238">
        <f t="shared" si="89"/>
        <v>6.9309681795309999</v>
      </c>
      <c r="AD148" s="238">
        <f t="shared" si="89"/>
        <v>7.5082274813545533</v>
      </c>
      <c r="AE148" s="238">
        <f t="shared" si="89"/>
        <v>8.1335652676339567</v>
      </c>
      <c r="AF148" s="238">
        <f t="shared" si="89"/>
        <v>8.8109857668794067</v>
      </c>
      <c r="AG148" s="238">
        <f t="shared" si="89"/>
        <v>9.5448267386717855</v>
      </c>
      <c r="AH148" s="238">
        <f t="shared" si="89"/>
        <v>10.339787241769802</v>
      </c>
      <c r="AI148" s="238">
        <f t="shared" si="89"/>
        <v>11.200957718692814</v>
      </c>
      <c r="AJ148" s="238">
        <f t="shared" si="89"/>
        <v>12.133852588398719</v>
      </c>
      <c r="AK148" s="238">
        <f t="shared" si="89"/>
        <v>13.144445555095258</v>
      </c>
      <c r="AL148" s="238">
        <f t="shared" si="89"/>
        <v>14.239207858848848</v>
      </c>
      <c r="AM148" s="238">
        <f t="shared" si="89"/>
        <v>15.425149712643989</v>
      </c>
      <c r="AN148" s="238">
        <f t="shared" si="89"/>
        <v>16.709865191049055</v>
      </c>
      <c r="AO148" s="238">
        <f t="shared" si="89"/>
        <v>18.101580857810276</v>
      </c>
      <c r="AP148" s="238">
        <f t="shared" si="89"/>
        <v>19.609208443679304</v>
      </c>
      <c r="AQ148" s="238">
        <f t="shared" si="89"/>
        <v>21.242401911742053</v>
      </c>
      <c r="AR148" s="239">
        <f t="shared" si="89"/>
        <v>23.011619275629137</v>
      </c>
    </row>
    <row r="149" spans="1:44" s="13" customFormat="1">
      <c r="B149" s="40" t="s">
        <v>16</v>
      </c>
      <c r="E149" s="211"/>
    </row>
    <row r="150" spans="1:44" s="13" customFormat="1">
      <c r="C150" s="138" t="s">
        <v>31</v>
      </c>
      <c r="E150" s="147">
        <f t="shared" ref="E150:AR150" si="90">IF(Year="",,E140*TariffIndex_Det)</f>
        <v>0.64987085177002002</v>
      </c>
      <c r="F150" s="148">
        <f t="shared" si="90"/>
        <v>0.69338848646987883</v>
      </c>
      <c r="G150" s="148">
        <f t="shared" si="90"/>
        <v>0.7436120328377378</v>
      </c>
      <c r="H150" s="148">
        <f t="shared" si="90"/>
        <v>0.80035860414498683</v>
      </c>
      <c r="I150" s="148">
        <f t="shared" si="90"/>
        <v>0.86351761167782448</v>
      </c>
      <c r="J150" s="148">
        <f t="shared" si="90"/>
        <v>0.93310781352206251</v>
      </c>
      <c r="K150" s="148">
        <f t="shared" si="90"/>
        <v>1.0092871659050309</v>
      </c>
      <c r="L150" s="148">
        <f t="shared" si="90"/>
        <v>1.0923401395982784</v>
      </c>
      <c r="M150" s="148">
        <f t="shared" si="90"/>
        <v>1.1826594895287508</v>
      </c>
      <c r="N150" s="148">
        <f t="shared" si="90"/>
        <v>1.2807303525783384</v>
      </c>
      <c r="O150" s="148">
        <f t="shared" si="90"/>
        <v>1.3871189952449132</v>
      </c>
      <c r="P150" s="148">
        <f t="shared" si="90"/>
        <v>1.5024661002488473</v>
      </c>
      <c r="Q150" s="148">
        <f t="shared" si="90"/>
        <v>1.6274837374120805</v>
      </c>
      <c r="R150" s="148">
        <f t="shared" si="90"/>
        <v>1.762955122954881</v>
      </c>
      <c r="S150" s="148">
        <f t="shared" si="90"/>
        <v>1.9097364491996549</v>
      </c>
      <c r="T150" s="148">
        <f t="shared" si="90"/>
        <v>2.0687602708226187</v>
      </c>
      <c r="U150" s="148">
        <f t="shared" si="90"/>
        <v>2.2410401037337571</v>
      </c>
      <c r="V150" s="148">
        <f t="shared" si="90"/>
        <v>2.4276760188926918</v>
      </c>
      <c r="W150" s="148">
        <f t="shared" si="90"/>
        <v>2.629861102500934</v>
      </c>
      <c r="X150" s="148">
        <f t="shared" si="90"/>
        <v>2.8488887156273455</v>
      </c>
      <c r="Y150" s="148">
        <f t="shared" si="90"/>
        <v>0</v>
      </c>
      <c r="Z150" s="148">
        <f t="shared" si="90"/>
        <v>0</v>
      </c>
      <c r="AA150" s="148">
        <f t="shared" si="90"/>
        <v>0</v>
      </c>
      <c r="AB150" s="148">
        <f t="shared" si="90"/>
        <v>0</v>
      </c>
      <c r="AC150" s="148">
        <f t="shared" si="90"/>
        <v>0</v>
      </c>
      <c r="AD150" s="148">
        <f t="shared" si="90"/>
        <v>0</v>
      </c>
      <c r="AE150" s="148">
        <f t="shared" si="90"/>
        <v>0</v>
      </c>
      <c r="AF150" s="148">
        <f t="shared" si="90"/>
        <v>0</v>
      </c>
      <c r="AG150" s="148">
        <f t="shared" si="90"/>
        <v>0</v>
      </c>
      <c r="AH150" s="148">
        <f t="shared" si="90"/>
        <v>0</v>
      </c>
      <c r="AI150" s="148">
        <f t="shared" si="90"/>
        <v>0</v>
      </c>
      <c r="AJ150" s="148">
        <f t="shared" si="90"/>
        <v>0</v>
      </c>
      <c r="AK150" s="148">
        <f t="shared" si="90"/>
        <v>0</v>
      </c>
      <c r="AL150" s="148">
        <f t="shared" si="90"/>
        <v>0</v>
      </c>
      <c r="AM150" s="148">
        <f t="shared" si="90"/>
        <v>0</v>
      </c>
      <c r="AN150" s="148">
        <f t="shared" si="90"/>
        <v>0</v>
      </c>
      <c r="AO150" s="148">
        <f t="shared" si="90"/>
        <v>0</v>
      </c>
      <c r="AP150" s="148">
        <f t="shared" si="90"/>
        <v>0</v>
      </c>
      <c r="AQ150" s="148">
        <f t="shared" si="90"/>
        <v>0</v>
      </c>
      <c r="AR150" s="149">
        <f t="shared" si="90"/>
        <v>0</v>
      </c>
    </row>
    <row r="151" spans="1:44" s="13" customFormat="1">
      <c r="C151" s="138" t="s">
        <v>30</v>
      </c>
      <c r="E151" s="150">
        <f t="shared" ref="E151:AR151" si="91">IF(Year="",,E141*TariffIndex_Det)</f>
        <v>60.620091641625194</v>
      </c>
      <c r="F151" s="151">
        <f t="shared" si="91"/>
        <v>64.679425886801923</v>
      </c>
      <c r="G151" s="151">
        <f t="shared" si="91"/>
        <v>69.364289002442078</v>
      </c>
      <c r="H151" s="151">
        <f t="shared" si="91"/>
        <v>74.657621275499338</v>
      </c>
      <c r="I151" s="151">
        <f t="shared" si="91"/>
        <v>80.549106967166651</v>
      </c>
      <c r="J151" s="151">
        <f t="shared" si="91"/>
        <v>87.040495835688773</v>
      </c>
      <c r="K151" s="151">
        <f t="shared" si="91"/>
        <v>94.146522071636099</v>
      </c>
      <c r="L151" s="151">
        <f t="shared" si="91"/>
        <v>101.89372116924366</v>
      </c>
      <c r="M151" s="151">
        <f t="shared" si="91"/>
        <v>110.31872939185408</v>
      </c>
      <c r="N151" s="151">
        <f t="shared" si="91"/>
        <v>119.46680041126817</v>
      </c>
      <c r="O151" s="151">
        <f t="shared" si="91"/>
        <v>129.39075568716689</v>
      </c>
      <c r="P151" s="151">
        <f t="shared" si="91"/>
        <v>140.15035824033563</v>
      </c>
      <c r="Q151" s="151">
        <f t="shared" si="91"/>
        <v>151.81203009561773</v>
      </c>
      <c r="R151" s="151">
        <f t="shared" si="91"/>
        <v>164.44882982906492</v>
      </c>
      <c r="S151" s="151">
        <f t="shared" si="91"/>
        <v>178.14062324309901</v>
      </c>
      <c r="T151" s="151">
        <f t="shared" si="91"/>
        <v>192.97439923678982</v>
      </c>
      <c r="U151" s="151">
        <f t="shared" si="91"/>
        <v>209.04469879035858</v>
      </c>
      <c r="V151" s="151">
        <f t="shared" si="91"/>
        <v>226.45413675751487</v>
      </c>
      <c r="W151" s="151">
        <f t="shared" si="91"/>
        <v>245.31400447356793</v>
      </c>
      <c r="X151" s="151">
        <f t="shared" si="91"/>
        <v>265.74494693483746</v>
      </c>
      <c r="Y151" s="151">
        <f t="shared" si="91"/>
        <v>0</v>
      </c>
      <c r="Z151" s="151">
        <f t="shared" si="91"/>
        <v>0</v>
      </c>
      <c r="AA151" s="151">
        <f t="shared" si="91"/>
        <v>0</v>
      </c>
      <c r="AB151" s="151">
        <f t="shared" si="91"/>
        <v>0</v>
      </c>
      <c r="AC151" s="151">
        <f t="shared" si="91"/>
        <v>0</v>
      </c>
      <c r="AD151" s="151">
        <f t="shared" si="91"/>
        <v>0</v>
      </c>
      <c r="AE151" s="151">
        <f t="shared" si="91"/>
        <v>0</v>
      </c>
      <c r="AF151" s="151">
        <f t="shared" si="91"/>
        <v>0</v>
      </c>
      <c r="AG151" s="151">
        <f t="shared" si="91"/>
        <v>0</v>
      </c>
      <c r="AH151" s="151">
        <f t="shared" si="91"/>
        <v>0</v>
      </c>
      <c r="AI151" s="151">
        <f t="shared" si="91"/>
        <v>0</v>
      </c>
      <c r="AJ151" s="151">
        <f t="shared" si="91"/>
        <v>0</v>
      </c>
      <c r="AK151" s="151">
        <f t="shared" si="91"/>
        <v>0</v>
      </c>
      <c r="AL151" s="151">
        <f t="shared" si="91"/>
        <v>0</v>
      </c>
      <c r="AM151" s="151">
        <f t="shared" si="91"/>
        <v>0</v>
      </c>
      <c r="AN151" s="151">
        <f t="shared" si="91"/>
        <v>0</v>
      </c>
      <c r="AO151" s="151">
        <f t="shared" si="91"/>
        <v>0</v>
      </c>
      <c r="AP151" s="151">
        <f t="shared" si="91"/>
        <v>0</v>
      </c>
      <c r="AQ151" s="151">
        <f t="shared" si="91"/>
        <v>0</v>
      </c>
      <c r="AR151" s="152">
        <f t="shared" si="91"/>
        <v>0</v>
      </c>
    </row>
    <row r="152" spans="1:44" s="13" customFormat="1">
      <c r="B152" s="6" t="str">
        <f>CONCATENATE(Tariff_Period," year reset period")</f>
        <v>5 year reset period</v>
      </c>
      <c r="E152" s="211"/>
    </row>
    <row r="153" spans="1:44" s="13" customFormat="1">
      <c r="C153" s="138" t="s">
        <v>31</v>
      </c>
      <c r="E153" s="147">
        <f>IF(Year="",,E143*TariffIndex_Det)</f>
        <v>0.2645535058749437</v>
      </c>
      <c r="F153" s="148">
        <f t="shared" ref="F153:AR153" si="92">IF(Year="",,F143*TariffIndex_Det)</f>
        <v>0.28226893778864798</v>
      </c>
      <c r="G153" s="148">
        <f t="shared" si="92"/>
        <v>0.30271425432023458</v>
      </c>
      <c r="H153" s="148">
        <f t="shared" si="92"/>
        <v>0.32581500479215747</v>
      </c>
      <c r="I153" s="148">
        <f t="shared" si="92"/>
        <v>0.35152617005658643</v>
      </c>
      <c r="J153" s="148">
        <f t="shared" si="92"/>
        <v>1.4208371893433294</v>
      </c>
      <c r="K153" s="148">
        <f t="shared" si="92"/>
        <v>1.5368349929811109</v>
      </c>
      <c r="L153" s="148">
        <f t="shared" si="92"/>
        <v>1.6632992150129731</v>
      </c>
      <c r="M153" s="148">
        <f t="shared" si="92"/>
        <v>1.8008279008077521</v>
      </c>
      <c r="N153" s="148">
        <f t="shared" si="92"/>
        <v>1.9501597651352991</v>
      </c>
      <c r="O153" s="148">
        <f t="shared" si="92"/>
        <v>1.5708739088367223</v>
      </c>
      <c r="P153" s="148">
        <f t="shared" si="92"/>
        <v>1.7015013159529644</v>
      </c>
      <c r="Q153" s="148">
        <f t="shared" si="92"/>
        <v>1.843080333353317</v>
      </c>
      <c r="R153" s="148">
        <f t="shared" si="92"/>
        <v>1.9964979317516229</v>
      </c>
      <c r="S153" s="148">
        <f t="shared" si="92"/>
        <v>2.1627237252796365</v>
      </c>
      <c r="T153" s="148">
        <f t="shared" si="92"/>
        <v>1.5233570816944997</v>
      </c>
      <c r="U153" s="148">
        <f t="shared" si="92"/>
        <v>1.6502174565768783</v>
      </c>
      <c r="V153" s="148">
        <f t="shared" si="92"/>
        <v>1.7876491092752562</v>
      </c>
      <c r="W153" s="148">
        <f t="shared" si="92"/>
        <v>1.9365305834951463</v>
      </c>
      <c r="X153" s="148">
        <f t="shared" si="92"/>
        <v>2.0978142615745243</v>
      </c>
      <c r="Y153" s="148">
        <f t="shared" si="92"/>
        <v>0</v>
      </c>
      <c r="Z153" s="148">
        <f t="shared" si="92"/>
        <v>0</v>
      </c>
      <c r="AA153" s="148">
        <f t="shared" si="92"/>
        <v>0</v>
      </c>
      <c r="AB153" s="148">
        <f t="shared" si="92"/>
        <v>0</v>
      </c>
      <c r="AC153" s="148">
        <f t="shared" si="92"/>
        <v>0</v>
      </c>
      <c r="AD153" s="148">
        <f t="shared" si="92"/>
        <v>0</v>
      </c>
      <c r="AE153" s="148">
        <f t="shared" si="92"/>
        <v>0</v>
      </c>
      <c r="AF153" s="148">
        <f t="shared" si="92"/>
        <v>0</v>
      </c>
      <c r="AG153" s="148">
        <f t="shared" si="92"/>
        <v>0</v>
      </c>
      <c r="AH153" s="148">
        <f t="shared" si="92"/>
        <v>0</v>
      </c>
      <c r="AI153" s="148">
        <f t="shared" si="92"/>
        <v>0</v>
      </c>
      <c r="AJ153" s="148">
        <f t="shared" si="92"/>
        <v>0</v>
      </c>
      <c r="AK153" s="148">
        <f t="shared" si="92"/>
        <v>0</v>
      </c>
      <c r="AL153" s="148">
        <f t="shared" si="92"/>
        <v>0</v>
      </c>
      <c r="AM153" s="148">
        <f t="shared" si="92"/>
        <v>0</v>
      </c>
      <c r="AN153" s="148">
        <f t="shared" si="92"/>
        <v>0</v>
      </c>
      <c r="AO153" s="148">
        <f t="shared" si="92"/>
        <v>0</v>
      </c>
      <c r="AP153" s="148">
        <f t="shared" si="92"/>
        <v>0</v>
      </c>
      <c r="AQ153" s="148">
        <f t="shared" si="92"/>
        <v>0</v>
      </c>
      <c r="AR153" s="149">
        <f t="shared" si="92"/>
        <v>0</v>
      </c>
    </row>
    <row r="154" spans="1:44" s="13" customFormat="1">
      <c r="C154" s="138" t="s">
        <v>30</v>
      </c>
      <c r="E154" s="150">
        <f>IF(Year="",,E144*TariffIndex_Det)</f>
        <v>48.625767914127437</v>
      </c>
      <c r="F154" s="151">
        <f t="shared" ref="F154:AR154" si="93">IF(Year="",,F144*TariffIndex_Det)</f>
        <v>51.881920116251386</v>
      </c>
      <c r="G154" s="151">
        <f t="shared" si="93"/>
        <v>55.639833712247182</v>
      </c>
      <c r="H154" s="151">
        <f t="shared" si="93"/>
        <v>59.885824433008523</v>
      </c>
      <c r="I154" s="151">
        <f t="shared" si="93"/>
        <v>64.611617617321443</v>
      </c>
      <c r="J154" s="151">
        <f t="shared" si="93"/>
        <v>73.677085031277016</v>
      </c>
      <c r="K154" s="151">
        <f t="shared" si="93"/>
        <v>79.692116243974993</v>
      </c>
      <c r="L154" s="151">
        <f t="shared" si="93"/>
        <v>86.249880433946757</v>
      </c>
      <c r="M154" s="151">
        <f t="shared" si="93"/>
        <v>93.3813890638868</v>
      </c>
      <c r="N154" s="151">
        <f t="shared" si="93"/>
        <v>101.12494796596253</v>
      </c>
      <c r="O154" s="151">
        <f t="shared" si="93"/>
        <v>137.0555935890433</v>
      </c>
      <c r="P154" s="151">
        <f t="shared" si="93"/>
        <v>148.45257250670323</v>
      </c>
      <c r="Q154" s="151">
        <f t="shared" si="93"/>
        <v>160.80505742634148</v>
      </c>
      <c r="R154" s="151">
        <f t="shared" si="93"/>
        <v>174.19043476134107</v>
      </c>
      <c r="S154" s="151">
        <f t="shared" si="93"/>
        <v>188.69330139731599</v>
      </c>
      <c r="T154" s="151">
        <f t="shared" si="93"/>
        <v>269.19666356643603</v>
      </c>
      <c r="U154" s="151">
        <f t="shared" si="93"/>
        <v>291.61451297777467</v>
      </c>
      <c r="V154" s="151">
        <f t="shared" si="93"/>
        <v>315.90044227130056</v>
      </c>
      <c r="W154" s="151">
        <f t="shared" si="93"/>
        <v>342.20970134683245</v>
      </c>
      <c r="X154" s="151">
        <f t="shared" si="93"/>
        <v>370.71058833414139</v>
      </c>
      <c r="Y154" s="151">
        <f t="shared" si="93"/>
        <v>0</v>
      </c>
      <c r="Z154" s="151">
        <f t="shared" si="93"/>
        <v>0</v>
      </c>
      <c r="AA154" s="151">
        <f t="shared" si="93"/>
        <v>0</v>
      </c>
      <c r="AB154" s="151">
        <f t="shared" si="93"/>
        <v>0</v>
      </c>
      <c r="AC154" s="151">
        <f t="shared" si="93"/>
        <v>0</v>
      </c>
      <c r="AD154" s="151">
        <f t="shared" si="93"/>
        <v>0</v>
      </c>
      <c r="AE154" s="151">
        <f t="shared" si="93"/>
        <v>0</v>
      </c>
      <c r="AF154" s="151">
        <f t="shared" si="93"/>
        <v>0</v>
      </c>
      <c r="AG154" s="151">
        <f t="shared" si="93"/>
        <v>0</v>
      </c>
      <c r="AH154" s="151">
        <f t="shared" si="93"/>
        <v>0</v>
      </c>
      <c r="AI154" s="151">
        <f t="shared" si="93"/>
        <v>0</v>
      </c>
      <c r="AJ154" s="151">
        <f t="shared" si="93"/>
        <v>0</v>
      </c>
      <c r="AK154" s="151">
        <f t="shared" si="93"/>
        <v>0</v>
      </c>
      <c r="AL154" s="151">
        <f t="shared" si="93"/>
        <v>0</v>
      </c>
      <c r="AM154" s="151">
        <f t="shared" si="93"/>
        <v>0</v>
      </c>
      <c r="AN154" s="151">
        <f t="shared" si="93"/>
        <v>0</v>
      </c>
      <c r="AO154" s="151">
        <f t="shared" si="93"/>
        <v>0</v>
      </c>
      <c r="AP154" s="151">
        <f t="shared" si="93"/>
        <v>0</v>
      </c>
      <c r="AQ154" s="151">
        <f t="shared" si="93"/>
        <v>0</v>
      </c>
      <c r="AR154" s="152">
        <f t="shared" si="93"/>
        <v>0</v>
      </c>
    </row>
    <row r="155" spans="1:44" s="73" customFormat="1">
      <c r="C155" s="240"/>
    </row>
    <row r="156" spans="1:44" s="243" customFormat="1" ht="17.399999999999999">
      <c r="A156" s="241" t="str">
        <f>CONCATENATE("Profit (",MonDenomination,")")</f>
        <v>Profit (Millions)</v>
      </c>
      <c r="B156" s="242"/>
      <c r="C156" s="242"/>
      <c r="D156" s="13"/>
    </row>
    <row r="157" spans="1:44" s="13" customFormat="1">
      <c r="A157" s="40"/>
      <c r="B157" s="181" t="s">
        <v>149</v>
      </c>
    </row>
    <row r="158" spans="1:44" s="13" customFormat="1" ht="13.5" customHeight="1">
      <c r="C158" s="138" t="s">
        <v>16</v>
      </c>
      <c r="E158" s="147">
        <f t="shared" ref="E158:AR158" si="94">IF(Year="",,(E150+E151)*BilledDemand_Det*Collection_FC)</f>
        <v>86.495120646471776</v>
      </c>
      <c r="F158" s="148">
        <f t="shared" si="94"/>
        <v>95.857616874213022</v>
      </c>
      <c r="G158" s="148">
        <f t="shared" si="94"/>
        <v>109.62167997980994</v>
      </c>
      <c r="H158" s="148">
        <f t="shared" si="94"/>
        <v>132.29312826605053</v>
      </c>
      <c r="I158" s="148">
        <f t="shared" si="94"/>
        <v>169.64585353954888</v>
      </c>
      <c r="J158" s="148">
        <f t="shared" si="94"/>
        <v>220.27260974792347</v>
      </c>
      <c r="K158" s="148">
        <f t="shared" si="94"/>
        <v>272.30111711586108</v>
      </c>
      <c r="L158" s="148">
        <f t="shared" si="94"/>
        <v>318.28916290631668</v>
      </c>
      <c r="M158" s="148">
        <f t="shared" si="94"/>
        <v>360.07546071992743</v>
      </c>
      <c r="N158" s="148">
        <f t="shared" si="94"/>
        <v>403.73024248002815</v>
      </c>
      <c r="O158" s="148">
        <f t="shared" si="94"/>
        <v>446.10099209145329</v>
      </c>
      <c r="P158" s="148">
        <f t="shared" si="94"/>
        <v>492.95813919759189</v>
      </c>
      <c r="Q158" s="148">
        <f t="shared" si="94"/>
        <v>544.76338140225141</v>
      </c>
      <c r="R158" s="148">
        <f t="shared" si="94"/>
        <v>602.03036443965198</v>
      </c>
      <c r="S158" s="148">
        <f t="shared" si="94"/>
        <v>665.32901850618714</v>
      </c>
      <c r="T158" s="148">
        <f t="shared" si="94"/>
        <v>735.2907211772623</v>
      </c>
      <c r="U158" s="148">
        <f t="shared" si="94"/>
        <v>812.61425452193805</v>
      </c>
      <c r="V158" s="148">
        <f t="shared" si="94"/>
        <v>898.07255751949413</v>
      </c>
      <c r="W158" s="148">
        <f t="shared" si="94"/>
        <v>992.52030143979152</v>
      </c>
      <c r="X158" s="148">
        <f t="shared" si="94"/>
        <v>1096.9023370875798</v>
      </c>
      <c r="Y158" s="148">
        <f t="shared" si="94"/>
        <v>0</v>
      </c>
      <c r="Z158" s="148">
        <f t="shared" si="94"/>
        <v>0</v>
      </c>
      <c r="AA158" s="148">
        <f t="shared" si="94"/>
        <v>0</v>
      </c>
      <c r="AB158" s="148">
        <f t="shared" si="94"/>
        <v>0</v>
      </c>
      <c r="AC158" s="148">
        <f t="shared" si="94"/>
        <v>0</v>
      </c>
      <c r="AD158" s="148">
        <f t="shared" si="94"/>
        <v>0</v>
      </c>
      <c r="AE158" s="148">
        <f t="shared" si="94"/>
        <v>0</v>
      </c>
      <c r="AF158" s="148">
        <f t="shared" si="94"/>
        <v>0</v>
      </c>
      <c r="AG158" s="148">
        <f t="shared" si="94"/>
        <v>0</v>
      </c>
      <c r="AH158" s="148">
        <f t="shared" si="94"/>
        <v>0</v>
      </c>
      <c r="AI158" s="148">
        <f t="shared" si="94"/>
        <v>0</v>
      </c>
      <c r="AJ158" s="148">
        <f t="shared" si="94"/>
        <v>0</v>
      </c>
      <c r="AK158" s="148">
        <f t="shared" si="94"/>
        <v>0</v>
      </c>
      <c r="AL158" s="148">
        <f t="shared" si="94"/>
        <v>0</v>
      </c>
      <c r="AM158" s="148">
        <f t="shared" si="94"/>
        <v>0</v>
      </c>
      <c r="AN158" s="148">
        <f t="shared" si="94"/>
        <v>0</v>
      </c>
      <c r="AO158" s="148">
        <f t="shared" si="94"/>
        <v>0</v>
      </c>
      <c r="AP158" s="148">
        <f t="shared" si="94"/>
        <v>0</v>
      </c>
      <c r="AQ158" s="148">
        <f t="shared" si="94"/>
        <v>0</v>
      </c>
      <c r="AR158" s="149">
        <f t="shared" si="94"/>
        <v>0</v>
      </c>
    </row>
    <row r="159" spans="1:44" s="13" customFormat="1">
      <c r="C159" s="3" t="str">
        <f>CONCATENATE(Tariff_Period," year reset period")</f>
        <v>5 year reset period</v>
      </c>
      <c r="E159" s="150">
        <f t="shared" ref="E159:AR159" si="95">IF(Year="",,(E153+E154)*BilledDemand_Det*Collection_FC)</f>
        <v>69.018717779103312</v>
      </c>
      <c r="F159" s="151">
        <f t="shared" si="95"/>
        <v>76.489514744535967</v>
      </c>
      <c r="G159" s="151">
        <f t="shared" si="95"/>
        <v>87.472538756511995</v>
      </c>
      <c r="H159" s="151">
        <f t="shared" si="95"/>
        <v>105.56320420927359</v>
      </c>
      <c r="I159" s="151">
        <f t="shared" si="95"/>
        <v>135.36878381496112</v>
      </c>
      <c r="J159" s="151">
        <f t="shared" si="95"/>
        <v>188.03384910936302</v>
      </c>
      <c r="K159" s="151">
        <f t="shared" si="95"/>
        <v>232.44754409851217</v>
      </c>
      <c r="L159" s="151">
        <f t="shared" si="95"/>
        <v>271.70485018342606</v>
      </c>
      <c r="M159" s="151">
        <f t="shared" si="95"/>
        <v>307.37536966796421</v>
      </c>
      <c r="N159" s="151">
        <f t="shared" si="95"/>
        <v>344.64090466014835</v>
      </c>
      <c r="O159" s="151">
        <f t="shared" si="95"/>
        <v>472.87360213734132</v>
      </c>
      <c r="P159" s="151">
        <f t="shared" si="95"/>
        <v>522.54286611740577</v>
      </c>
      <c r="Q159" s="151">
        <f t="shared" si="95"/>
        <v>577.4571835594362</v>
      </c>
      <c r="R159" s="151">
        <f t="shared" si="95"/>
        <v>638.16102648404933</v>
      </c>
      <c r="S159" s="151">
        <f t="shared" si="95"/>
        <v>705.25852926824336</v>
      </c>
      <c r="T159" s="151">
        <f t="shared" si="95"/>
        <v>1020.5839554794441</v>
      </c>
      <c r="U159" s="151">
        <f t="shared" si="95"/>
        <v>1127.9090654525523</v>
      </c>
      <c r="V159" s="151">
        <f t="shared" si="95"/>
        <v>1246.5252405107176</v>
      </c>
      <c r="W159" s="151">
        <f t="shared" si="95"/>
        <v>1377.6187648815342</v>
      </c>
      <c r="X159" s="151">
        <f t="shared" si="95"/>
        <v>1522.5010920403095</v>
      </c>
      <c r="Y159" s="151">
        <f t="shared" si="95"/>
        <v>0</v>
      </c>
      <c r="Z159" s="151">
        <f t="shared" si="95"/>
        <v>0</v>
      </c>
      <c r="AA159" s="151">
        <f t="shared" si="95"/>
        <v>0</v>
      </c>
      <c r="AB159" s="151">
        <f t="shared" si="95"/>
        <v>0</v>
      </c>
      <c r="AC159" s="151">
        <f t="shared" si="95"/>
        <v>0</v>
      </c>
      <c r="AD159" s="151">
        <f t="shared" si="95"/>
        <v>0</v>
      </c>
      <c r="AE159" s="151">
        <f t="shared" si="95"/>
        <v>0</v>
      </c>
      <c r="AF159" s="151">
        <f t="shared" si="95"/>
        <v>0</v>
      </c>
      <c r="AG159" s="151">
        <f t="shared" si="95"/>
        <v>0</v>
      </c>
      <c r="AH159" s="151">
        <f t="shared" si="95"/>
        <v>0</v>
      </c>
      <c r="AI159" s="151">
        <f t="shared" si="95"/>
        <v>0</v>
      </c>
      <c r="AJ159" s="151">
        <f t="shared" si="95"/>
        <v>0</v>
      </c>
      <c r="AK159" s="151">
        <f t="shared" si="95"/>
        <v>0</v>
      </c>
      <c r="AL159" s="151">
        <f t="shared" si="95"/>
        <v>0</v>
      </c>
      <c r="AM159" s="151">
        <f t="shared" si="95"/>
        <v>0</v>
      </c>
      <c r="AN159" s="151">
        <f t="shared" si="95"/>
        <v>0</v>
      </c>
      <c r="AO159" s="151">
        <f t="shared" si="95"/>
        <v>0</v>
      </c>
      <c r="AP159" s="151">
        <f t="shared" si="95"/>
        <v>0</v>
      </c>
      <c r="AQ159" s="151">
        <f t="shared" si="95"/>
        <v>0</v>
      </c>
      <c r="AR159" s="152">
        <f t="shared" si="95"/>
        <v>0</v>
      </c>
    </row>
    <row r="160" spans="1:44" s="13" customFormat="1">
      <c r="B160" s="40"/>
    </row>
    <row r="161" spans="1:64" s="13" customFormat="1">
      <c r="A161" s="40"/>
      <c r="B161" s="181" t="s">
        <v>68</v>
      </c>
    </row>
    <row r="162" spans="1:64" s="13" customFormat="1">
      <c r="B162" s="40"/>
      <c r="C162" s="13" t="s">
        <v>114</v>
      </c>
      <c r="E162" s="147">
        <f t="shared" ref="E162:AR162" si="96">IF(Year="",,(E120+E121)/DeflateFactor_Det)</f>
        <v>54.357325089421991</v>
      </c>
      <c r="F162" s="148">
        <f t="shared" si="96"/>
        <v>62.805698395442548</v>
      </c>
      <c r="G162" s="148">
        <f t="shared" si="96"/>
        <v>74.45300799815783</v>
      </c>
      <c r="H162" s="148">
        <f t="shared" si="96"/>
        <v>91.632868618188127</v>
      </c>
      <c r="I162" s="148">
        <f t="shared" si="96"/>
        <v>117.6478281889277</v>
      </c>
      <c r="J162" s="148">
        <f t="shared" si="96"/>
        <v>153.3160569789261</v>
      </c>
      <c r="K162" s="148">
        <f t="shared" si="96"/>
        <v>194.03440574037859</v>
      </c>
      <c r="L162" s="148">
        <f t="shared" si="96"/>
        <v>236.22553486380707</v>
      </c>
      <c r="M162" s="148">
        <f t="shared" si="96"/>
        <v>280.91685431099995</v>
      </c>
      <c r="N162" s="148">
        <f t="shared" si="96"/>
        <v>332.08655445098879</v>
      </c>
      <c r="O162" s="148">
        <f t="shared" si="96"/>
        <v>388.44317252934985</v>
      </c>
      <c r="P162" s="148">
        <f t="shared" si="96"/>
        <v>454.69529832227016</v>
      </c>
      <c r="Q162" s="148">
        <f t="shared" si="96"/>
        <v>532.61383044463821</v>
      </c>
      <c r="R162" s="148">
        <f t="shared" si="96"/>
        <v>624.29659761867345</v>
      </c>
      <c r="S162" s="148">
        <f t="shared" si="96"/>
        <v>732.22866372022622</v>
      </c>
      <c r="T162" s="148">
        <f t="shared" si="96"/>
        <v>859.35420126011161</v>
      </c>
      <c r="U162" s="148">
        <f t="shared" si="96"/>
        <v>1009.1620851337148</v>
      </c>
      <c r="V162" s="148">
        <f t="shared" si="96"/>
        <v>1185.7877851945848</v>
      </c>
      <c r="W162" s="148">
        <f t="shared" si="96"/>
        <v>1394.1346424816079</v>
      </c>
      <c r="X162" s="148">
        <f t="shared" si="96"/>
        <v>1640.0182152401528</v>
      </c>
      <c r="Y162" s="148">
        <f t="shared" si="96"/>
        <v>0</v>
      </c>
      <c r="Z162" s="148">
        <f t="shared" si="96"/>
        <v>0</v>
      </c>
      <c r="AA162" s="148">
        <f t="shared" si="96"/>
        <v>0</v>
      </c>
      <c r="AB162" s="148">
        <f t="shared" si="96"/>
        <v>0</v>
      </c>
      <c r="AC162" s="148">
        <f t="shared" si="96"/>
        <v>0</v>
      </c>
      <c r="AD162" s="148">
        <f t="shared" si="96"/>
        <v>0</v>
      </c>
      <c r="AE162" s="148">
        <f t="shared" si="96"/>
        <v>0</v>
      </c>
      <c r="AF162" s="148">
        <f t="shared" si="96"/>
        <v>0</v>
      </c>
      <c r="AG162" s="148">
        <f t="shared" si="96"/>
        <v>0</v>
      </c>
      <c r="AH162" s="148">
        <f t="shared" si="96"/>
        <v>0</v>
      </c>
      <c r="AI162" s="148">
        <f t="shared" si="96"/>
        <v>0</v>
      </c>
      <c r="AJ162" s="148">
        <f t="shared" si="96"/>
        <v>0</v>
      </c>
      <c r="AK162" s="148">
        <f t="shared" si="96"/>
        <v>0</v>
      </c>
      <c r="AL162" s="148">
        <f t="shared" si="96"/>
        <v>0</v>
      </c>
      <c r="AM162" s="148">
        <f t="shared" si="96"/>
        <v>0</v>
      </c>
      <c r="AN162" s="148">
        <f t="shared" si="96"/>
        <v>0</v>
      </c>
      <c r="AO162" s="148">
        <f t="shared" si="96"/>
        <v>0</v>
      </c>
      <c r="AP162" s="148">
        <f t="shared" si="96"/>
        <v>0</v>
      </c>
      <c r="AQ162" s="148">
        <f t="shared" si="96"/>
        <v>0</v>
      </c>
      <c r="AR162" s="149">
        <f t="shared" si="96"/>
        <v>0</v>
      </c>
    </row>
    <row r="163" spans="1:64" s="13" customFormat="1">
      <c r="C163" s="138" t="s">
        <v>129</v>
      </c>
      <c r="E163" s="213">
        <f>IF(Year="",,E119/DeflateFactor_Det)</f>
        <v>10.981218889336334</v>
      </c>
      <c r="F163" s="165">
        <f t="shared" ref="F163:AR163" si="97">IF(Year="",,F119/DeflateFactor_Det)</f>
        <v>12.39593558672891</v>
      </c>
      <c r="G163" s="165">
        <f t="shared" si="97"/>
        <v>13.844382286882771</v>
      </c>
      <c r="H163" s="165">
        <f t="shared" si="97"/>
        <v>15.31768388883161</v>
      </c>
      <c r="I163" s="165">
        <f t="shared" si="97"/>
        <v>16.82613952169266</v>
      </c>
      <c r="J163" s="165">
        <f t="shared" si="97"/>
        <v>18.389941374594564</v>
      </c>
      <c r="K163" s="165">
        <f t="shared" si="97"/>
        <v>20.031942894348752</v>
      </c>
      <c r="L163" s="165">
        <f t="shared" si="97"/>
        <v>21.774064105895512</v>
      </c>
      <c r="M163" s="165">
        <f t="shared" si="97"/>
        <v>23.636283616823139</v>
      </c>
      <c r="N163" s="165">
        <f t="shared" si="97"/>
        <v>25.6368696483487</v>
      </c>
      <c r="O163" s="165">
        <f t="shared" si="97"/>
        <v>27.793008669849595</v>
      </c>
      <c r="P163" s="165">
        <f t="shared" si="97"/>
        <v>30.121453860237018</v>
      </c>
      <c r="Q163" s="165">
        <f t="shared" si="97"/>
        <v>32.639071199556717</v>
      </c>
      <c r="R163" s="165">
        <f t="shared" si="97"/>
        <v>35.363269505832982</v>
      </c>
      <c r="S163" s="165">
        <f t="shared" si="97"/>
        <v>38.312336115243149</v>
      </c>
      <c r="T163" s="165">
        <f t="shared" si="97"/>
        <v>41.505705644059539</v>
      </c>
      <c r="U163" s="165">
        <f t="shared" si="97"/>
        <v>44.964185356162623</v>
      </c>
      <c r="V163" s="165">
        <f t="shared" si="97"/>
        <v>48.710154916984067</v>
      </c>
      <c r="W163" s="165">
        <f t="shared" si="97"/>
        <v>52.76775329463824</v>
      </c>
      <c r="X163" s="165">
        <f t="shared" si="97"/>
        <v>57.163061808380078</v>
      </c>
      <c r="Y163" s="165">
        <f t="shared" si="97"/>
        <v>0</v>
      </c>
      <c r="Z163" s="165">
        <f t="shared" si="97"/>
        <v>0</v>
      </c>
      <c r="AA163" s="165">
        <f t="shared" si="97"/>
        <v>0</v>
      </c>
      <c r="AB163" s="165">
        <f t="shared" si="97"/>
        <v>0</v>
      </c>
      <c r="AC163" s="165">
        <f t="shared" si="97"/>
        <v>0</v>
      </c>
      <c r="AD163" s="165">
        <f t="shared" si="97"/>
        <v>0</v>
      </c>
      <c r="AE163" s="165">
        <f t="shared" si="97"/>
        <v>0</v>
      </c>
      <c r="AF163" s="165">
        <f t="shared" si="97"/>
        <v>0</v>
      </c>
      <c r="AG163" s="165">
        <f t="shared" si="97"/>
        <v>0</v>
      </c>
      <c r="AH163" s="165">
        <f t="shared" si="97"/>
        <v>0</v>
      </c>
      <c r="AI163" s="165">
        <f t="shared" si="97"/>
        <v>0</v>
      </c>
      <c r="AJ163" s="165">
        <f t="shared" si="97"/>
        <v>0</v>
      </c>
      <c r="AK163" s="165">
        <f t="shared" si="97"/>
        <v>0</v>
      </c>
      <c r="AL163" s="165">
        <f t="shared" si="97"/>
        <v>0</v>
      </c>
      <c r="AM163" s="165">
        <f t="shared" si="97"/>
        <v>0</v>
      </c>
      <c r="AN163" s="165">
        <f t="shared" si="97"/>
        <v>0</v>
      </c>
      <c r="AO163" s="165">
        <f t="shared" si="97"/>
        <v>0</v>
      </c>
      <c r="AP163" s="165">
        <f t="shared" si="97"/>
        <v>0</v>
      </c>
      <c r="AQ163" s="165">
        <f t="shared" si="97"/>
        <v>0</v>
      </c>
      <c r="AR163" s="166">
        <f t="shared" si="97"/>
        <v>0</v>
      </c>
    </row>
    <row r="164" spans="1:64" s="13" customFormat="1">
      <c r="C164" s="138" t="s">
        <v>150</v>
      </c>
      <c r="E164" s="213">
        <f t="shared" ref="E164:AR164" si="98">IF(Year="",,SUM(E114:E115)/DeflateFactor_Det)</f>
        <v>4.3086023952885501E-2</v>
      </c>
      <c r="F164" s="165">
        <f t="shared" si="98"/>
        <v>0.12566068804861458</v>
      </c>
      <c r="G164" s="165">
        <f t="shared" si="98"/>
        <v>0.36767447846846002</v>
      </c>
      <c r="H164" s="165">
        <f t="shared" si="98"/>
        <v>1.0113282761959239</v>
      </c>
      <c r="I164" s="165">
        <f t="shared" si="98"/>
        <v>2.3908821265044282</v>
      </c>
      <c r="J164" s="165">
        <f t="shared" si="98"/>
        <v>4.4393794237682327</v>
      </c>
      <c r="K164" s="165">
        <f t="shared" si="98"/>
        <v>6.4118551591658575</v>
      </c>
      <c r="L164" s="165">
        <f t="shared" si="98"/>
        <v>7.7760414792301829</v>
      </c>
      <c r="M164" s="165">
        <f t="shared" si="98"/>
        <v>8.604231492605015</v>
      </c>
      <c r="N164" s="165">
        <f t="shared" si="98"/>
        <v>9.2995053125929683</v>
      </c>
      <c r="O164" s="165">
        <f t="shared" si="98"/>
        <v>9.5684032298712776</v>
      </c>
      <c r="P164" s="165">
        <f t="shared" si="98"/>
        <v>9.8458686377242888</v>
      </c>
      <c r="Q164" s="165">
        <f t="shared" si="98"/>
        <v>10.131870217664831</v>
      </c>
      <c r="R164" s="165">
        <f t="shared" si="98"/>
        <v>10.426482606248211</v>
      </c>
      <c r="S164" s="165">
        <f t="shared" si="98"/>
        <v>10.729848950941006</v>
      </c>
      <c r="T164" s="165">
        <f t="shared" si="98"/>
        <v>11.042157659707611</v>
      </c>
      <c r="U164" s="165">
        <f t="shared" si="98"/>
        <v>11.363628048816855</v>
      </c>
      <c r="V164" s="165">
        <f t="shared" si="98"/>
        <v>11.694501536575871</v>
      </c>
      <c r="W164" s="165">
        <f t="shared" si="98"/>
        <v>12.035036282269605</v>
      </c>
      <c r="X164" s="165">
        <f t="shared" si="98"/>
        <v>12.385503961753743</v>
      </c>
      <c r="Y164" s="165">
        <f t="shared" si="98"/>
        <v>0</v>
      </c>
      <c r="Z164" s="165">
        <f t="shared" si="98"/>
        <v>0</v>
      </c>
      <c r="AA164" s="165">
        <f t="shared" si="98"/>
        <v>0</v>
      </c>
      <c r="AB164" s="165">
        <f t="shared" si="98"/>
        <v>0</v>
      </c>
      <c r="AC164" s="165">
        <f t="shared" si="98"/>
        <v>0</v>
      </c>
      <c r="AD164" s="165">
        <f t="shared" si="98"/>
        <v>0</v>
      </c>
      <c r="AE164" s="165">
        <f t="shared" si="98"/>
        <v>0</v>
      </c>
      <c r="AF164" s="165">
        <f t="shared" si="98"/>
        <v>0</v>
      </c>
      <c r="AG164" s="165">
        <f t="shared" si="98"/>
        <v>0</v>
      </c>
      <c r="AH164" s="165">
        <f t="shared" si="98"/>
        <v>0</v>
      </c>
      <c r="AI164" s="165">
        <f t="shared" si="98"/>
        <v>0</v>
      </c>
      <c r="AJ164" s="165">
        <f t="shared" si="98"/>
        <v>0</v>
      </c>
      <c r="AK164" s="165">
        <f t="shared" si="98"/>
        <v>0</v>
      </c>
      <c r="AL164" s="165">
        <f t="shared" si="98"/>
        <v>0</v>
      </c>
      <c r="AM164" s="165">
        <f t="shared" si="98"/>
        <v>0</v>
      </c>
      <c r="AN164" s="165">
        <f t="shared" si="98"/>
        <v>0</v>
      </c>
      <c r="AO164" s="165">
        <f t="shared" si="98"/>
        <v>0</v>
      </c>
      <c r="AP164" s="165">
        <f t="shared" si="98"/>
        <v>0</v>
      </c>
      <c r="AQ164" s="165">
        <f t="shared" si="98"/>
        <v>0</v>
      </c>
      <c r="AR164" s="166">
        <f t="shared" si="98"/>
        <v>0</v>
      </c>
    </row>
    <row r="165" spans="1:64" s="13" customFormat="1">
      <c r="C165" s="138" t="s">
        <v>128</v>
      </c>
      <c r="E165" s="213">
        <f t="shared" ref="E165:AR165" si="99">IF(Year="",,SUM(E117:E118)/DeflateFactor_Det)</f>
        <v>2.903885397567816E-2</v>
      </c>
      <c r="F165" s="165">
        <f t="shared" si="99"/>
        <v>7.9376678114366328E-2</v>
      </c>
      <c r="G165" s="165">
        <f t="shared" si="99"/>
        <v>0.21656446101782112</v>
      </c>
      <c r="H165" s="165">
        <f t="shared" si="99"/>
        <v>0.55344904769270131</v>
      </c>
      <c r="I165" s="165">
        <f t="shared" si="99"/>
        <v>1.2127103340563679</v>
      </c>
      <c r="J165" s="165">
        <f t="shared" si="99"/>
        <v>2.0838216760814712</v>
      </c>
      <c r="K165" s="165">
        <f t="shared" si="99"/>
        <v>2.7825249362603821</v>
      </c>
      <c r="L165" s="165">
        <f t="shared" si="99"/>
        <v>3.1179617879745742</v>
      </c>
      <c r="M165" s="165">
        <f t="shared" si="99"/>
        <v>3.1865627720269205</v>
      </c>
      <c r="N165" s="165">
        <f t="shared" si="99"/>
        <v>3.1803305222778619</v>
      </c>
      <c r="O165" s="165">
        <f t="shared" si="99"/>
        <v>3.0213139961639688</v>
      </c>
      <c r="P165" s="165">
        <f t="shared" si="99"/>
        <v>2.8702482963557703</v>
      </c>
      <c r="Q165" s="165">
        <f t="shared" si="99"/>
        <v>2.7267358815379819</v>
      </c>
      <c r="R165" s="165">
        <f t="shared" si="99"/>
        <v>2.5903990874610829</v>
      </c>
      <c r="S165" s="165">
        <f t="shared" si="99"/>
        <v>2.4608791330880289</v>
      </c>
      <c r="T165" s="165">
        <f t="shared" si="99"/>
        <v>2.3378351764336274</v>
      </c>
      <c r="U165" s="165">
        <f t="shared" si="99"/>
        <v>2.220943417611946</v>
      </c>
      <c r="V165" s="165">
        <f t="shared" si="99"/>
        <v>2.1098962467313487</v>
      </c>
      <c r="W165" s="165">
        <f t="shared" si="99"/>
        <v>2.0044014343947811</v>
      </c>
      <c r="X165" s="165">
        <f t="shared" si="99"/>
        <v>1.9041813626750423</v>
      </c>
      <c r="Y165" s="165">
        <f t="shared" si="99"/>
        <v>0</v>
      </c>
      <c r="Z165" s="165">
        <f t="shared" si="99"/>
        <v>0</v>
      </c>
      <c r="AA165" s="165">
        <f t="shared" si="99"/>
        <v>0</v>
      </c>
      <c r="AB165" s="165">
        <f t="shared" si="99"/>
        <v>0</v>
      </c>
      <c r="AC165" s="165">
        <f t="shared" si="99"/>
        <v>0</v>
      </c>
      <c r="AD165" s="165">
        <f t="shared" si="99"/>
        <v>0</v>
      </c>
      <c r="AE165" s="165">
        <f t="shared" si="99"/>
        <v>0</v>
      </c>
      <c r="AF165" s="165">
        <f t="shared" si="99"/>
        <v>0</v>
      </c>
      <c r="AG165" s="165">
        <f t="shared" si="99"/>
        <v>0</v>
      </c>
      <c r="AH165" s="165">
        <f t="shared" si="99"/>
        <v>0</v>
      </c>
      <c r="AI165" s="165">
        <f t="shared" si="99"/>
        <v>0</v>
      </c>
      <c r="AJ165" s="165">
        <f t="shared" si="99"/>
        <v>0</v>
      </c>
      <c r="AK165" s="165">
        <f t="shared" si="99"/>
        <v>0</v>
      </c>
      <c r="AL165" s="165">
        <f t="shared" si="99"/>
        <v>0</v>
      </c>
      <c r="AM165" s="165">
        <f t="shared" si="99"/>
        <v>0</v>
      </c>
      <c r="AN165" s="165">
        <f t="shared" si="99"/>
        <v>0</v>
      </c>
      <c r="AO165" s="165">
        <f t="shared" si="99"/>
        <v>0</v>
      </c>
      <c r="AP165" s="165">
        <f t="shared" si="99"/>
        <v>0</v>
      </c>
      <c r="AQ165" s="165">
        <f t="shared" si="99"/>
        <v>0</v>
      </c>
      <c r="AR165" s="166">
        <f t="shared" si="99"/>
        <v>0</v>
      </c>
    </row>
    <row r="166" spans="1:64" s="13" customFormat="1" ht="13.8" thickBot="1">
      <c r="C166" s="138" t="s">
        <v>28</v>
      </c>
      <c r="E166" s="213">
        <f>IF(Year="",,-E122/DeflateFactor_Det)</f>
        <v>0</v>
      </c>
      <c r="F166" s="165">
        <f t="shared" ref="F166:AR166" si="100">IF(Year="",,-F122/DeflateFactor_Det)</f>
        <v>0</v>
      </c>
      <c r="G166" s="165">
        <f t="shared" si="100"/>
        <v>0</v>
      </c>
      <c r="H166" s="165">
        <f t="shared" si="100"/>
        <v>0</v>
      </c>
      <c r="I166" s="165">
        <f t="shared" si="100"/>
        <v>0</v>
      </c>
      <c r="J166" s="165">
        <f t="shared" si="100"/>
        <v>0</v>
      </c>
      <c r="K166" s="165">
        <f t="shared" si="100"/>
        <v>0</v>
      </c>
      <c r="L166" s="165">
        <f t="shared" si="100"/>
        <v>0</v>
      </c>
      <c r="M166" s="165">
        <f t="shared" si="100"/>
        <v>0</v>
      </c>
      <c r="N166" s="165">
        <f t="shared" si="100"/>
        <v>0</v>
      </c>
      <c r="O166" s="165">
        <f t="shared" si="100"/>
        <v>0</v>
      </c>
      <c r="P166" s="165">
        <f t="shared" si="100"/>
        <v>0</v>
      </c>
      <c r="Q166" s="165">
        <f t="shared" si="100"/>
        <v>0</v>
      </c>
      <c r="R166" s="165">
        <f t="shared" si="100"/>
        <v>0</v>
      </c>
      <c r="S166" s="165">
        <f t="shared" si="100"/>
        <v>0</v>
      </c>
      <c r="T166" s="165">
        <f t="shared" si="100"/>
        <v>0</v>
      </c>
      <c r="U166" s="165">
        <f t="shared" si="100"/>
        <v>0</v>
      </c>
      <c r="V166" s="165">
        <f t="shared" si="100"/>
        <v>0</v>
      </c>
      <c r="W166" s="165">
        <f t="shared" si="100"/>
        <v>0</v>
      </c>
      <c r="X166" s="165">
        <f t="shared" si="100"/>
        <v>0</v>
      </c>
      <c r="Y166" s="165">
        <f t="shared" si="100"/>
        <v>0</v>
      </c>
      <c r="Z166" s="165">
        <f t="shared" si="100"/>
        <v>0</v>
      </c>
      <c r="AA166" s="165">
        <f t="shared" si="100"/>
        <v>0</v>
      </c>
      <c r="AB166" s="165">
        <f t="shared" si="100"/>
        <v>0</v>
      </c>
      <c r="AC166" s="165">
        <f t="shared" si="100"/>
        <v>0</v>
      </c>
      <c r="AD166" s="165">
        <f t="shared" si="100"/>
        <v>0</v>
      </c>
      <c r="AE166" s="165">
        <f t="shared" si="100"/>
        <v>0</v>
      </c>
      <c r="AF166" s="165">
        <f t="shared" si="100"/>
        <v>0</v>
      </c>
      <c r="AG166" s="165">
        <f t="shared" si="100"/>
        <v>0</v>
      </c>
      <c r="AH166" s="165">
        <f t="shared" si="100"/>
        <v>0</v>
      </c>
      <c r="AI166" s="165">
        <f t="shared" si="100"/>
        <v>0</v>
      </c>
      <c r="AJ166" s="165">
        <f t="shared" si="100"/>
        <v>0</v>
      </c>
      <c r="AK166" s="165">
        <f t="shared" si="100"/>
        <v>0</v>
      </c>
      <c r="AL166" s="165">
        <f t="shared" si="100"/>
        <v>0</v>
      </c>
      <c r="AM166" s="165">
        <f t="shared" si="100"/>
        <v>0</v>
      </c>
      <c r="AN166" s="165">
        <f t="shared" si="100"/>
        <v>0</v>
      </c>
      <c r="AO166" s="165">
        <f t="shared" si="100"/>
        <v>0</v>
      </c>
      <c r="AP166" s="165">
        <f t="shared" si="100"/>
        <v>0</v>
      </c>
      <c r="AQ166" s="165">
        <f t="shared" si="100"/>
        <v>0</v>
      </c>
      <c r="AR166" s="166">
        <f t="shared" si="100"/>
        <v>0</v>
      </c>
    </row>
    <row r="167" spans="1:64" s="13" customFormat="1" ht="14.4" thickTop="1" thickBot="1">
      <c r="C167" s="40" t="s">
        <v>120</v>
      </c>
      <c r="E167" s="244">
        <f>SUM(E162:E166)</f>
        <v>65.410668856686883</v>
      </c>
      <c r="F167" s="245">
        <f>SUM(F162:F166)</f>
        <v>75.406671348334442</v>
      </c>
      <c r="G167" s="245">
        <f t="shared" ref="G167:AR167" si="101">SUM(G162:G166)</f>
        <v>88.88162922452689</v>
      </c>
      <c r="H167" s="245">
        <f t="shared" si="101"/>
        <v>108.51532983090836</v>
      </c>
      <c r="I167" s="245">
        <f t="shared" si="101"/>
        <v>138.07756017118118</v>
      </c>
      <c r="J167" s="245">
        <f t="shared" si="101"/>
        <v>178.22919945337037</v>
      </c>
      <c r="K167" s="245">
        <f t="shared" si="101"/>
        <v>223.2607287301536</v>
      </c>
      <c r="L167" s="245">
        <f t="shared" si="101"/>
        <v>268.89360223690733</v>
      </c>
      <c r="M167" s="245">
        <f t="shared" si="101"/>
        <v>316.3439321924551</v>
      </c>
      <c r="N167" s="245">
        <f t="shared" si="101"/>
        <v>370.20325993420829</v>
      </c>
      <c r="O167" s="245">
        <f t="shared" si="101"/>
        <v>428.8258984252347</v>
      </c>
      <c r="P167" s="245">
        <f t="shared" si="101"/>
        <v>497.53286911658722</v>
      </c>
      <c r="Q167" s="245">
        <f t="shared" si="101"/>
        <v>578.11150774339774</v>
      </c>
      <c r="R167" s="245">
        <f t="shared" si="101"/>
        <v>672.67674881821563</v>
      </c>
      <c r="S167" s="245">
        <f t="shared" si="101"/>
        <v>783.73172791949844</v>
      </c>
      <c r="T167" s="245">
        <f t="shared" si="101"/>
        <v>914.23989974031235</v>
      </c>
      <c r="U167" s="245">
        <f t="shared" si="101"/>
        <v>1067.7108419563065</v>
      </c>
      <c r="V167" s="245">
        <f t="shared" si="101"/>
        <v>1248.302337894876</v>
      </c>
      <c r="W167" s="245">
        <f t="shared" si="101"/>
        <v>1460.9418334929105</v>
      </c>
      <c r="X167" s="245">
        <f t="shared" si="101"/>
        <v>1711.4709623729616</v>
      </c>
      <c r="Y167" s="245">
        <f t="shared" si="101"/>
        <v>0</v>
      </c>
      <c r="Z167" s="245">
        <f t="shared" si="101"/>
        <v>0</v>
      </c>
      <c r="AA167" s="245">
        <f t="shared" si="101"/>
        <v>0</v>
      </c>
      <c r="AB167" s="245">
        <f t="shared" si="101"/>
        <v>0</v>
      </c>
      <c r="AC167" s="245">
        <f t="shared" si="101"/>
        <v>0</v>
      </c>
      <c r="AD167" s="245">
        <f t="shared" si="101"/>
        <v>0</v>
      </c>
      <c r="AE167" s="245">
        <f t="shared" si="101"/>
        <v>0</v>
      </c>
      <c r="AF167" s="245">
        <f t="shared" si="101"/>
        <v>0</v>
      </c>
      <c r="AG167" s="245">
        <f t="shared" si="101"/>
        <v>0</v>
      </c>
      <c r="AH167" s="245">
        <f t="shared" si="101"/>
        <v>0</v>
      </c>
      <c r="AI167" s="245">
        <f t="shared" si="101"/>
        <v>0</v>
      </c>
      <c r="AJ167" s="245">
        <f t="shared" si="101"/>
        <v>0</v>
      </c>
      <c r="AK167" s="245">
        <f t="shared" si="101"/>
        <v>0</v>
      </c>
      <c r="AL167" s="245">
        <f t="shared" si="101"/>
        <v>0</v>
      </c>
      <c r="AM167" s="245">
        <f t="shared" si="101"/>
        <v>0</v>
      </c>
      <c r="AN167" s="245">
        <f t="shared" si="101"/>
        <v>0</v>
      </c>
      <c r="AO167" s="245">
        <f t="shared" si="101"/>
        <v>0</v>
      </c>
      <c r="AP167" s="245">
        <f t="shared" si="101"/>
        <v>0</v>
      </c>
      <c r="AQ167" s="245">
        <f t="shared" si="101"/>
        <v>0</v>
      </c>
      <c r="AR167" s="246">
        <f t="shared" si="101"/>
        <v>0</v>
      </c>
      <c r="AS167" s="73"/>
      <c r="AT167" s="73"/>
      <c r="AU167" s="73"/>
      <c r="AV167" s="73"/>
      <c r="AW167" s="73"/>
      <c r="AX167" s="73"/>
      <c r="AY167" s="73"/>
      <c r="AZ167" s="73"/>
      <c r="BA167" s="73"/>
      <c r="BB167" s="73"/>
      <c r="BC167" s="73"/>
      <c r="BD167" s="73"/>
      <c r="BE167" s="73"/>
      <c r="BF167" s="73"/>
      <c r="BG167" s="73"/>
      <c r="BH167" s="73"/>
      <c r="BI167" s="73"/>
      <c r="BJ167" s="73"/>
      <c r="BK167" s="73"/>
      <c r="BL167" s="73"/>
    </row>
    <row r="168" spans="1:64" s="13" customFormat="1" ht="13.8" thickTop="1">
      <c r="B168" s="40"/>
    </row>
    <row r="169" spans="1:64" s="13" customFormat="1">
      <c r="A169" s="40"/>
      <c r="B169" s="181" t="s">
        <v>151</v>
      </c>
    </row>
    <row r="170" spans="1:64" s="13" customFormat="1">
      <c r="C170" s="138" t="s">
        <v>16</v>
      </c>
      <c r="E170" s="147">
        <f t="shared" ref="E170:AR170" si="102">(E158-E167)*DeflateFactor_Det*DiscountFactor</f>
        <v>18.549524860086699</v>
      </c>
      <c r="F170" s="148">
        <f t="shared" si="102"/>
        <v>15.722937449106094</v>
      </c>
      <c r="G170" s="148">
        <f t="shared" si="102"/>
        <v>13.863079480983275</v>
      </c>
      <c r="H170" s="148">
        <f t="shared" si="102"/>
        <v>13.76837596182572</v>
      </c>
      <c r="I170" s="148">
        <f t="shared" si="102"/>
        <v>15.797013304700206</v>
      </c>
      <c r="J170" s="148">
        <f t="shared" si="102"/>
        <v>18.153508620430642</v>
      </c>
      <c r="K170" s="148">
        <f t="shared" si="102"/>
        <v>18.252947402062322</v>
      </c>
      <c r="L170" s="148">
        <f t="shared" si="102"/>
        <v>15.838836107720768</v>
      </c>
      <c r="M170" s="148">
        <f t="shared" si="102"/>
        <v>12.076123924659843</v>
      </c>
      <c r="N170" s="148">
        <f t="shared" si="102"/>
        <v>7.9712930799220914</v>
      </c>
      <c r="O170" s="148">
        <f t="shared" si="102"/>
        <v>3.5358846521464362</v>
      </c>
      <c r="P170" s="148">
        <f t="shared" si="102"/>
        <v>-0.80603065829535459</v>
      </c>
      <c r="Q170" s="148">
        <f t="shared" si="102"/>
        <v>-5.0576054945665643</v>
      </c>
      <c r="R170" s="148">
        <f t="shared" si="102"/>
        <v>-9.2222786174066229</v>
      </c>
      <c r="S170" s="148">
        <f t="shared" si="102"/>
        <v>-13.303844057751116</v>
      </c>
      <c r="T170" s="148">
        <f t="shared" si="102"/>
        <v>-17.306445155289179</v>
      </c>
      <c r="U170" s="148">
        <f t="shared" si="102"/>
        <v>-21.234534029617944</v>
      </c>
      <c r="V170" s="148">
        <f t="shared" si="102"/>
        <v>-25.09281845738867</v>
      </c>
      <c r="W170" s="148">
        <f t="shared" si="102"/>
        <v>-28.886207452656759</v>
      </c>
      <c r="X170" s="148">
        <f t="shared" si="102"/>
        <v>-32.619760920672228</v>
      </c>
      <c r="Y170" s="148">
        <f t="shared" si="102"/>
        <v>0</v>
      </c>
      <c r="Z170" s="148">
        <f t="shared" si="102"/>
        <v>0</v>
      </c>
      <c r="AA170" s="148">
        <f t="shared" si="102"/>
        <v>0</v>
      </c>
      <c r="AB170" s="148">
        <f t="shared" si="102"/>
        <v>0</v>
      </c>
      <c r="AC170" s="148">
        <f t="shared" si="102"/>
        <v>0</v>
      </c>
      <c r="AD170" s="148">
        <f t="shared" si="102"/>
        <v>0</v>
      </c>
      <c r="AE170" s="148">
        <f t="shared" si="102"/>
        <v>0</v>
      </c>
      <c r="AF170" s="148">
        <f t="shared" si="102"/>
        <v>0</v>
      </c>
      <c r="AG170" s="148">
        <f t="shared" si="102"/>
        <v>0</v>
      </c>
      <c r="AH170" s="148">
        <f t="shared" si="102"/>
        <v>0</v>
      </c>
      <c r="AI170" s="148">
        <f t="shared" si="102"/>
        <v>0</v>
      </c>
      <c r="AJ170" s="148">
        <f t="shared" si="102"/>
        <v>0</v>
      </c>
      <c r="AK170" s="148">
        <f t="shared" si="102"/>
        <v>0</v>
      </c>
      <c r="AL170" s="148">
        <f t="shared" si="102"/>
        <v>0</v>
      </c>
      <c r="AM170" s="148">
        <f t="shared" si="102"/>
        <v>0</v>
      </c>
      <c r="AN170" s="148">
        <f t="shared" si="102"/>
        <v>0</v>
      </c>
      <c r="AO170" s="148">
        <f t="shared" si="102"/>
        <v>0</v>
      </c>
      <c r="AP170" s="148">
        <f t="shared" si="102"/>
        <v>0</v>
      </c>
      <c r="AQ170" s="148">
        <f t="shared" si="102"/>
        <v>0</v>
      </c>
      <c r="AR170" s="149">
        <f t="shared" si="102"/>
        <v>0</v>
      </c>
    </row>
    <row r="171" spans="1:64" s="13" customFormat="1">
      <c r="C171" s="3" t="str">
        <f>CONCATENATE(Tariff_Period," year reset period")</f>
        <v>5 year reset period</v>
      </c>
      <c r="E171" s="150">
        <f t="shared" ref="E171:AR171" si="103">(E159-E167)*DeflateFactor_Det*DiscountFactor</f>
        <v>3.1742629047247992</v>
      </c>
      <c r="F171" s="151">
        <f t="shared" si="103"/>
        <v>0.83250326808167319</v>
      </c>
      <c r="G171" s="151">
        <f t="shared" si="103"/>
        <v>-0.94186525310264702</v>
      </c>
      <c r="H171" s="151">
        <f t="shared" si="103"/>
        <v>-1.7094086971960176</v>
      </c>
      <c r="I171" s="151">
        <f t="shared" si="103"/>
        <v>-1.3554922225077553</v>
      </c>
      <c r="J171" s="151">
        <f t="shared" si="103"/>
        <v>4.2334527766274963</v>
      </c>
      <c r="K171" s="151">
        <f t="shared" si="103"/>
        <v>3.4193541941845207</v>
      </c>
      <c r="L171" s="151">
        <f t="shared" si="103"/>
        <v>0.90143516704026938</v>
      </c>
      <c r="M171" s="151">
        <f t="shared" si="103"/>
        <v>-2.4765992893153546</v>
      </c>
      <c r="N171" s="151">
        <f t="shared" si="103"/>
        <v>-6.0776428485369118</v>
      </c>
      <c r="O171" s="151">
        <f t="shared" si="103"/>
        <v>9.0157311171339973</v>
      </c>
      <c r="P171" s="151">
        <f t="shared" si="103"/>
        <v>4.4065605409470265</v>
      </c>
      <c r="Q171" s="151">
        <f t="shared" si="103"/>
        <v>-9.923536795374531E-2</v>
      </c>
      <c r="R171" s="151">
        <f t="shared" si="103"/>
        <v>-4.5057310554071686</v>
      </c>
      <c r="S171" s="151">
        <f t="shared" si="103"/>
        <v>-8.8173252347201156</v>
      </c>
      <c r="T171" s="151">
        <f t="shared" si="103"/>
        <v>10.28469414064311</v>
      </c>
      <c r="U171" s="151">
        <f t="shared" si="103"/>
        <v>5.0109695241707506</v>
      </c>
      <c r="V171" s="151">
        <f t="shared" si="103"/>
        <v>-0.12732321618679254</v>
      </c>
      <c r="W171" s="151">
        <f t="shared" si="103"/>
        <v>-5.1382937819929877</v>
      </c>
      <c r="X171" s="151">
        <f t="shared" si="103"/>
        <v>-10.030046666634098</v>
      </c>
      <c r="Y171" s="151">
        <f t="shared" si="103"/>
        <v>0</v>
      </c>
      <c r="Z171" s="151">
        <f t="shared" si="103"/>
        <v>0</v>
      </c>
      <c r="AA171" s="151">
        <f t="shared" si="103"/>
        <v>0</v>
      </c>
      <c r="AB171" s="151">
        <f t="shared" si="103"/>
        <v>0</v>
      </c>
      <c r="AC171" s="151">
        <f t="shared" si="103"/>
        <v>0</v>
      </c>
      <c r="AD171" s="151">
        <f t="shared" si="103"/>
        <v>0</v>
      </c>
      <c r="AE171" s="151">
        <f t="shared" si="103"/>
        <v>0</v>
      </c>
      <c r="AF171" s="151">
        <f t="shared" si="103"/>
        <v>0</v>
      </c>
      <c r="AG171" s="151">
        <f t="shared" si="103"/>
        <v>0</v>
      </c>
      <c r="AH171" s="151">
        <f t="shared" si="103"/>
        <v>0</v>
      </c>
      <c r="AI171" s="151">
        <f t="shared" si="103"/>
        <v>0</v>
      </c>
      <c r="AJ171" s="151">
        <f t="shared" si="103"/>
        <v>0</v>
      </c>
      <c r="AK171" s="151">
        <f t="shared" si="103"/>
        <v>0</v>
      </c>
      <c r="AL171" s="151">
        <f t="shared" si="103"/>
        <v>0</v>
      </c>
      <c r="AM171" s="151">
        <f t="shared" si="103"/>
        <v>0</v>
      </c>
      <c r="AN171" s="151">
        <f t="shared" si="103"/>
        <v>0</v>
      </c>
      <c r="AO171" s="151">
        <f t="shared" si="103"/>
        <v>0</v>
      </c>
      <c r="AP171" s="151">
        <f t="shared" si="103"/>
        <v>0</v>
      </c>
      <c r="AQ171" s="151">
        <f t="shared" si="103"/>
        <v>0</v>
      </c>
      <c r="AR171" s="152">
        <f t="shared" si="103"/>
        <v>0</v>
      </c>
    </row>
    <row r="172" spans="1:64" s="13" customFormat="1">
      <c r="B172" s="40"/>
    </row>
    <row r="173" spans="1:64" s="13" customFormat="1">
      <c r="B173" s="40"/>
    </row>
    <row r="174" spans="1:64" s="243" customFormat="1" ht="17.399999999999999">
      <c r="A174" s="241" t="str">
        <f>CONCATENATE("PV Cash flows (",MonDenomination,")")</f>
        <v>PV Cash flows (Millions)</v>
      </c>
      <c r="B174" s="242"/>
      <c r="C174" s="242"/>
      <c r="D174" s="13"/>
    </row>
    <row r="175" spans="1:64" s="13" customFormat="1" ht="12" customHeight="1">
      <c r="B175" s="181" t="s">
        <v>16</v>
      </c>
    </row>
    <row r="176" spans="1:64" s="13" customFormat="1">
      <c r="C176" s="138" t="s">
        <v>31</v>
      </c>
      <c r="E176" s="147">
        <f t="shared" ref="E176:AR176" si="104">IF(Year="",,(E150*BilledDemand_Det*Collection_FC-E95-E96-(E38-E39)*ServExt_CAPct)*DiscountFactor*DeflateFactor_Det)</f>
        <v>0.67938840226598607</v>
      </c>
      <c r="F176" s="148">
        <f t="shared" si="104"/>
        <v>0.58259222326139892</v>
      </c>
      <c r="G176" s="148">
        <f t="shared" si="104"/>
        <v>0.30542744849104597</v>
      </c>
      <c r="H176" s="148">
        <f t="shared" si="104"/>
        <v>-0.19419564549962859</v>
      </c>
      <c r="I176" s="148">
        <f t="shared" si="104"/>
        <v>-0.81831126514350006</v>
      </c>
      <c r="J176" s="148">
        <f t="shared" si="104"/>
        <v>-1.010804441048865</v>
      </c>
      <c r="K176" s="148">
        <f t="shared" si="104"/>
        <v>-0.43868510316383641</v>
      </c>
      <c r="L176" s="148">
        <f>IF(Year="",,(L150*BilledDemand_Det*Collection_FC-L95-L96-(L38-L39)*ServExt_CAPct)*DiscountFactor*DeflateFactor_Det)</f>
        <v>0.27540788112069087</v>
      </c>
      <c r="M176" s="148">
        <f t="shared" si="104"/>
        <v>0.64220737071428979</v>
      </c>
      <c r="N176" s="148">
        <f t="shared" si="104"/>
        <v>0.64088693068152858</v>
      </c>
      <c r="O176" s="148">
        <f t="shared" si="104"/>
        <v>0.67384030092874814</v>
      </c>
      <c r="P176" s="148">
        <f t="shared" si="104"/>
        <v>0.57063777737525367</v>
      </c>
      <c r="Q176" s="148">
        <f t="shared" si="104"/>
        <v>0.52109187127384438</v>
      </c>
      <c r="R176" s="148">
        <f t="shared" si="104"/>
        <v>0.50183838655810997</v>
      </c>
      <c r="S176" s="148">
        <f t="shared" si="104"/>
        <v>0.48982774283598851</v>
      </c>
      <c r="T176" s="148">
        <f t="shared" si="104"/>
        <v>0.48759814697652587</v>
      </c>
      <c r="U176" s="148">
        <f t="shared" si="104"/>
        <v>0.48306529508891888</v>
      </c>
      <c r="V176" s="148">
        <f t="shared" si="104"/>
        <v>0.47660372068681617</v>
      </c>
      <c r="W176" s="148">
        <f t="shared" si="104"/>
        <v>0.4685419657998014</v>
      </c>
      <c r="X176" s="148">
        <f t="shared" si="104"/>
        <v>0.45916756861523211</v>
      </c>
      <c r="Y176" s="148">
        <f t="shared" si="104"/>
        <v>0</v>
      </c>
      <c r="Z176" s="148">
        <f t="shared" si="104"/>
        <v>0</v>
      </c>
      <c r="AA176" s="148">
        <f t="shared" si="104"/>
        <v>0</v>
      </c>
      <c r="AB176" s="148">
        <f t="shared" si="104"/>
        <v>0</v>
      </c>
      <c r="AC176" s="148">
        <f t="shared" si="104"/>
        <v>0</v>
      </c>
      <c r="AD176" s="148">
        <f t="shared" si="104"/>
        <v>0</v>
      </c>
      <c r="AE176" s="148">
        <f t="shared" si="104"/>
        <v>0</v>
      </c>
      <c r="AF176" s="148">
        <f t="shared" si="104"/>
        <v>0</v>
      </c>
      <c r="AG176" s="148">
        <f t="shared" si="104"/>
        <v>0</v>
      </c>
      <c r="AH176" s="148">
        <f t="shared" si="104"/>
        <v>0</v>
      </c>
      <c r="AI176" s="148">
        <f t="shared" si="104"/>
        <v>0</v>
      </c>
      <c r="AJ176" s="148">
        <f t="shared" si="104"/>
        <v>0</v>
      </c>
      <c r="AK176" s="148">
        <f t="shared" si="104"/>
        <v>0</v>
      </c>
      <c r="AL176" s="148">
        <f t="shared" si="104"/>
        <v>0</v>
      </c>
      <c r="AM176" s="148">
        <f t="shared" si="104"/>
        <v>0</v>
      </c>
      <c r="AN176" s="148">
        <f t="shared" si="104"/>
        <v>0</v>
      </c>
      <c r="AO176" s="148">
        <f t="shared" si="104"/>
        <v>0</v>
      </c>
      <c r="AP176" s="148">
        <f t="shared" si="104"/>
        <v>0</v>
      </c>
      <c r="AQ176" s="148">
        <f t="shared" si="104"/>
        <v>0</v>
      </c>
      <c r="AR176" s="149">
        <f t="shared" si="104"/>
        <v>0</v>
      </c>
    </row>
    <row r="177" spans="1:44" s="13" customFormat="1">
      <c r="C177" s="3" t="s">
        <v>30</v>
      </c>
      <c r="E177" s="150">
        <f t="shared" ref="E177:AR177" si="105">IF(Year="",,(E151*BilledDemand_Det*Collection_FC-SUM(E$162,E$163,E91:E92,(E38-E39)*ServExt_LoanPct))*DiscountFactor*DeflateFactor_Det)</f>
        <v>17.678114049009608</v>
      </c>
      <c r="F177" s="151">
        <f t="shared" si="105"/>
        <v>14.899814392893273</v>
      </c>
      <c r="G177" s="151">
        <f t="shared" si="105"/>
        <v>13.004649377760677</v>
      </c>
      <c r="H177" s="151">
        <f t="shared" si="105"/>
        <v>12.855237617155785</v>
      </c>
      <c r="I177" s="151">
        <f t="shared" si="105"/>
        <v>14.981121052461255</v>
      </c>
      <c r="J177" s="151">
        <f t="shared" si="105"/>
        <v>17.941704294547993</v>
      </c>
      <c r="K177" s="151">
        <f t="shared" si="105"/>
        <v>19.086434558138361</v>
      </c>
      <c r="L177" s="151">
        <f>IF(Year="",,(L151*BilledDemand_Det*Collection_FC-SUM(L$162,L$163,L91:L92,(L38-L39)*ServExt_LoanPct))*DiscountFactor*DeflateFactor_Det)</f>
        <v>17.442395572919221</v>
      </c>
      <c r="M177" s="151">
        <f t="shared" si="105"/>
        <v>13.864980153638827</v>
      </c>
      <c r="N177" s="151">
        <f t="shared" si="105"/>
        <v>9.5430867047832102</v>
      </c>
      <c r="O177" s="151">
        <f t="shared" si="105"/>
        <v>4.8496432841175627</v>
      </c>
      <c r="P177" s="151">
        <f t="shared" si="105"/>
        <v>0.16259288119565063</v>
      </c>
      <c r="Q177" s="151">
        <f t="shared" si="105"/>
        <v>-4.3389988646942905</v>
      </c>
      <c r="R177" s="151">
        <f t="shared" si="105"/>
        <v>-8.6883537384044942</v>
      </c>
      <c r="S177" s="151">
        <f t="shared" si="105"/>
        <v>-12.91774068359908</v>
      </c>
      <c r="T177" s="151">
        <f t="shared" si="105"/>
        <v>-17.03335247072474</v>
      </c>
      <c r="U177" s="151">
        <f t="shared" si="105"/>
        <v>-21.055607463640612</v>
      </c>
      <c r="V177" s="151">
        <f t="shared" si="105"/>
        <v>-24.992126334423325</v>
      </c>
      <c r="W177" s="151">
        <f t="shared" si="105"/>
        <v>-28.850275861130374</v>
      </c>
      <c r="X177" s="151">
        <f t="shared" si="105"/>
        <v>-32.637191944186448</v>
      </c>
      <c r="Y177" s="151">
        <f t="shared" si="105"/>
        <v>0</v>
      </c>
      <c r="Z177" s="151">
        <f t="shared" si="105"/>
        <v>0</v>
      </c>
      <c r="AA177" s="151">
        <f t="shared" si="105"/>
        <v>0</v>
      </c>
      <c r="AB177" s="151">
        <f t="shared" si="105"/>
        <v>0</v>
      </c>
      <c r="AC177" s="151">
        <f t="shared" si="105"/>
        <v>0</v>
      </c>
      <c r="AD177" s="151">
        <f t="shared" si="105"/>
        <v>0</v>
      </c>
      <c r="AE177" s="151">
        <f t="shared" si="105"/>
        <v>0</v>
      </c>
      <c r="AF177" s="151">
        <f t="shared" si="105"/>
        <v>0</v>
      </c>
      <c r="AG177" s="151">
        <f t="shared" si="105"/>
        <v>0</v>
      </c>
      <c r="AH177" s="151">
        <f t="shared" si="105"/>
        <v>0</v>
      </c>
      <c r="AI177" s="151">
        <f t="shared" si="105"/>
        <v>0</v>
      </c>
      <c r="AJ177" s="151">
        <f t="shared" si="105"/>
        <v>0</v>
      </c>
      <c r="AK177" s="151">
        <f t="shared" si="105"/>
        <v>0</v>
      </c>
      <c r="AL177" s="151">
        <f t="shared" si="105"/>
        <v>0</v>
      </c>
      <c r="AM177" s="151">
        <f t="shared" si="105"/>
        <v>0</v>
      </c>
      <c r="AN177" s="151">
        <f t="shared" si="105"/>
        <v>0</v>
      </c>
      <c r="AO177" s="151">
        <f t="shared" si="105"/>
        <v>0</v>
      </c>
      <c r="AP177" s="151">
        <f t="shared" si="105"/>
        <v>0</v>
      </c>
      <c r="AQ177" s="151">
        <f t="shared" si="105"/>
        <v>0</v>
      </c>
      <c r="AR177" s="152">
        <f t="shared" si="105"/>
        <v>0</v>
      </c>
    </row>
    <row r="178" spans="1:44" s="13" customFormat="1" ht="12.75" customHeight="1">
      <c r="B178" s="181" t="str">
        <f>CONCATENATE(Tariff_Period," year reset period")</f>
        <v>5 year reset period</v>
      </c>
    </row>
    <row r="179" spans="1:44" s="13" customFormat="1">
      <c r="C179" s="138" t="s">
        <v>31</v>
      </c>
      <c r="E179" s="147">
        <f t="shared" ref="E179:AR179" si="106">IF(Year="",,(E153*BilledDemand_Det*Collection_FC-E95-E96-(E38-E39)*ServExt_CAPct)*DiscountFactor*DeflateFactor_Det)</f>
        <v>0.20083211020881034</v>
      </c>
      <c r="F179" s="148">
        <f t="shared" si="106"/>
        <v>0.11912623552859053</v>
      </c>
      <c r="G179" s="148">
        <f t="shared" si="106"/>
        <v>-0.15537767317940368</v>
      </c>
      <c r="H179" s="148">
        <f t="shared" si="106"/>
        <v>-0.67594296513458285</v>
      </c>
      <c r="I179" s="148">
        <f t="shared" si="106"/>
        <v>-1.3521844094464675</v>
      </c>
      <c r="J179" s="148">
        <f t="shared" si="106"/>
        <v>-0.48351427891268417</v>
      </c>
      <c r="K179" s="148">
        <f t="shared" si="106"/>
        <v>0.12320975238920454</v>
      </c>
      <c r="L179" s="148">
        <f>IF(Year="",,(L153*BilledDemand_Det*Collection_FC-L95-L96-(L38-L39)*ServExt_CAPct)*DiscountFactor*DeflateFactor_Det)</f>
        <v>0.84123496200922887</v>
      </c>
      <c r="M179" s="148">
        <f t="shared" si="106"/>
        <v>1.1934629022383239</v>
      </c>
      <c r="N179" s="148">
        <f t="shared" si="106"/>
        <v>1.1730590560437815</v>
      </c>
      <c r="O179" s="148">
        <f t="shared" si="106"/>
        <v>0.80213702077968108</v>
      </c>
      <c r="P179" s="148">
        <f t="shared" si="106"/>
        <v>0.69267739236438608</v>
      </c>
      <c r="Q179" s="148">
        <f t="shared" si="106"/>
        <v>0.63717954400624532</v>
      </c>
      <c r="R179" s="148">
        <f t="shared" si="106"/>
        <v>0.61226439668297894</v>
      </c>
      <c r="S179" s="148">
        <f t="shared" si="106"/>
        <v>0.59486821289697767</v>
      </c>
      <c r="T179" s="148">
        <f t="shared" si="106"/>
        <v>0.28874878751726252</v>
      </c>
      <c r="U179" s="148">
        <f t="shared" si="106"/>
        <v>0.29391393332814852</v>
      </c>
      <c r="V179" s="148">
        <f t="shared" si="106"/>
        <v>0.29667737969559205</v>
      </c>
      <c r="W179" s="148">
        <f t="shared" si="106"/>
        <v>0.29739073600620008</v>
      </c>
      <c r="X179" s="148">
        <f t="shared" si="106"/>
        <v>0.29636348279607527</v>
      </c>
      <c r="Y179" s="148">
        <f t="shared" si="106"/>
        <v>0</v>
      </c>
      <c r="Z179" s="148">
        <f t="shared" si="106"/>
        <v>0</v>
      </c>
      <c r="AA179" s="148">
        <f t="shared" si="106"/>
        <v>0</v>
      </c>
      <c r="AB179" s="148">
        <f t="shared" si="106"/>
        <v>0</v>
      </c>
      <c r="AC179" s="148">
        <f t="shared" si="106"/>
        <v>0</v>
      </c>
      <c r="AD179" s="148">
        <f t="shared" si="106"/>
        <v>0</v>
      </c>
      <c r="AE179" s="148">
        <f t="shared" si="106"/>
        <v>0</v>
      </c>
      <c r="AF179" s="148">
        <f t="shared" si="106"/>
        <v>0</v>
      </c>
      <c r="AG179" s="148">
        <f t="shared" si="106"/>
        <v>0</v>
      </c>
      <c r="AH179" s="148">
        <f t="shared" si="106"/>
        <v>0</v>
      </c>
      <c r="AI179" s="148">
        <f t="shared" si="106"/>
        <v>0</v>
      </c>
      <c r="AJ179" s="148">
        <f t="shared" si="106"/>
        <v>0</v>
      </c>
      <c r="AK179" s="148">
        <f t="shared" si="106"/>
        <v>0</v>
      </c>
      <c r="AL179" s="148">
        <f t="shared" si="106"/>
        <v>0</v>
      </c>
      <c r="AM179" s="148">
        <f t="shared" si="106"/>
        <v>0</v>
      </c>
      <c r="AN179" s="148">
        <f t="shared" si="106"/>
        <v>0</v>
      </c>
      <c r="AO179" s="148">
        <f t="shared" si="106"/>
        <v>0</v>
      </c>
      <c r="AP179" s="148">
        <f t="shared" si="106"/>
        <v>0</v>
      </c>
      <c r="AQ179" s="148">
        <f t="shared" si="106"/>
        <v>0</v>
      </c>
      <c r="AR179" s="149">
        <f t="shared" si="106"/>
        <v>0</v>
      </c>
    </row>
    <row r="180" spans="1:44" s="13" customFormat="1">
      <c r="C180" s="3" t="s">
        <v>30</v>
      </c>
      <c r="E180" s="150">
        <f t="shared" ref="E180:AR180" si="107">IF(Year="",,(E154*BilledDemand_Det*Collection_FC-SUM(E$162,E$163,E91:E92,(E38-E39)*ServExt_LoanPct))*DiscountFactor*DeflateFactor_Det)</f>
        <v>2.7814083857048839</v>
      </c>
      <c r="F180" s="151">
        <f t="shared" si="107"/>
        <v>0.47284619960165375</v>
      </c>
      <c r="G180" s="151">
        <f t="shared" si="107"/>
        <v>-1.3394902346548021</v>
      </c>
      <c r="H180" s="151">
        <f t="shared" si="107"/>
        <v>-2.1407997222310065</v>
      </c>
      <c r="I180" s="151">
        <f t="shared" si="107"/>
        <v>-1.6375113304437396</v>
      </c>
      <c r="J180" s="151">
        <f t="shared" si="107"/>
        <v>3.4943582886086606</v>
      </c>
      <c r="K180" s="151">
        <f t="shared" si="107"/>
        <v>3.6909464947075117</v>
      </c>
      <c r="L180" s="151">
        <f>IF(Year="",,(L154*BilledDemand_Det*Collection_FC-SUM(L$162,L$163,L91:L92,(L38-L39)*ServExt_LoanPct))*DiscountFactor*DeflateFactor_Det)</f>
        <v>1.939167551350186</v>
      </c>
      <c r="M180" s="151">
        <f t="shared" si="107"/>
        <v>-1.2389985918603907</v>
      </c>
      <c r="N180" s="151">
        <f t="shared" si="107"/>
        <v>-5.038021349038047</v>
      </c>
      <c r="O180" s="151">
        <f t="shared" si="107"/>
        <v>10.201193029254195</v>
      </c>
      <c r="P180" s="151">
        <f t="shared" si="107"/>
        <v>5.253144465448913</v>
      </c>
      <c r="Q180" s="151">
        <f t="shared" si="107"/>
        <v>0.50328358918613048</v>
      </c>
      <c r="R180" s="151">
        <f t="shared" si="107"/>
        <v>-4.0822321865299154</v>
      </c>
      <c r="S180" s="151">
        <f t="shared" si="107"/>
        <v>-8.5362623306290804</v>
      </c>
      <c r="T180" s="151">
        <f t="shared" si="107"/>
        <v>10.756636184666815</v>
      </c>
      <c r="U180" s="151">
        <f t="shared" si="107"/>
        <v>5.379047451908848</v>
      </c>
      <c r="V180" s="151">
        <f t="shared" si="107"/>
        <v>0.15329524776977821</v>
      </c>
      <c r="W180" s="151">
        <f t="shared" si="107"/>
        <v>-4.9312109606730008</v>
      </c>
      <c r="X180" s="151">
        <f t="shared" si="107"/>
        <v>-9.8846736043291585</v>
      </c>
      <c r="Y180" s="151">
        <f t="shared" si="107"/>
        <v>0</v>
      </c>
      <c r="Z180" s="151">
        <f t="shared" si="107"/>
        <v>0</v>
      </c>
      <c r="AA180" s="151">
        <f t="shared" si="107"/>
        <v>0</v>
      </c>
      <c r="AB180" s="151">
        <f t="shared" si="107"/>
        <v>0</v>
      </c>
      <c r="AC180" s="151">
        <f t="shared" si="107"/>
        <v>0</v>
      </c>
      <c r="AD180" s="151">
        <f t="shared" si="107"/>
        <v>0</v>
      </c>
      <c r="AE180" s="151">
        <f t="shared" si="107"/>
        <v>0</v>
      </c>
      <c r="AF180" s="151">
        <f t="shared" si="107"/>
        <v>0</v>
      </c>
      <c r="AG180" s="151">
        <f t="shared" si="107"/>
        <v>0</v>
      </c>
      <c r="AH180" s="151">
        <f t="shared" si="107"/>
        <v>0</v>
      </c>
      <c r="AI180" s="151">
        <f t="shared" si="107"/>
        <v>0</v>
      </c>
      <c r="AJ180" s="151">
        <f t="shared" si="107"/>
        <v>0</v>
      </c>
      <c r="AK180" s="151">
        <f t="shared" si="107"/>
        <v>0</v>
      </c>
      <c r="AL180" s="151">
        <f t="shared" si="107"/>
        <v>0</v>
      </c>
      <c r="AM180" s="151">
        <f t="shared" si="107"/>
        <v>0</v>
      </c>
      <c r="AN180" s="151">
        <f t="shared" si="107"/>
        <v>0</v>
      </c>
      <c r="AO180" s="151">
        <f t="shared" si="107"/>
        <v>0</v>
      </c>
      <c r="AP180" s="151">
        <f t="shared" si="107"/>
        <v>0</v>
      </c>
      <c r="AQ180" s="151">
        <f t="shared" si="107"/>
        <v>0</v>
      </c>
      <c r="AR180" s="152">
        <f t="shared" si="107"/>
        <v>0</v>
      </c>
    </row>
    <row r="181" spans="1:44" s="13" customFormat="1">
      <c r="B181" s="40"/>
      <c r="E181" s="247"/>
      <c r="F181" s="3"/>
      <c r="G181" s="248"/>
    </row>
    <row r="182" spans="1:44" s="13" customFormat="1">
      <c r="B182" s="40"/>
      <c r="E182" s="247"/>
      <c r="F182" s="3"/>
      <c r="G182" s="248"/>
    </row>
    <row r="183" spans="1:44" s="243" customFormat="1" ht="17.399999999999999">
      <c r="A183" s="241" t="s">
        <v>152</v>
      </c>
      <c r="B183" s="242"/>
      <c r="C183" s="242"/>
      <c r="D183" s="13"/>
      <c r="E183" s="247"/>
      <c r="F183" s="249"/>
      <c r="G183" s="250"/>
      <c r="H183" s="249"/>
      <c r="I183" s="249"/>
      <c r="J183" s="249"/>
      <c r="K183" s="249"/>
      <c r="L183" s="249"/>
      <c r="M183" s="249"/>
      <c r="N183" s="249"/>
      <c r="O183" s="249"/>
    </row>
    <row r="184" spans="1:44" s="191" customFormat="1">
      <c r="B184" s="251" t="s">
        <v>153</v>
      </c>
      <c r="C184" s="214"/>
      <c r="E184" s="247"/>
      <c r="F184" s="249"/>
      <c r="G184" s="248"/>
      <c r="H184" s="13"/>
    </row>
    <row r="185" spans="1:44" s="13" customFormat="1">
      <c r="C185" s="138" t="s">
        <v>16</v>
      </c>
      <c r="E185" s="147">
        <f t="shared" ref="E185:AR185" si="108">IF(Year="",,E151*BilledDemand_Det*Collection_FC-SUM(E$162,E$163,E91,(E38-E39)*ServExt_LoanPct))</f>
        <v>20.093956379587823</v>
      </c>
      <c r="F185" s="148">
        <f t="shared" si="108"/>
        <v>19.380303043314981</v>
      </c>
      <c r="G185" s="148">
        <f t="shared" si="108"/>
        <v>19.455784590963489</v>
      </c>
      <c r="H185" s="148">
        <f t="shared" si="108"/>
        <v>22.200820906117613</v>
      </c>
      <c r="I185" s="148">
        <f t="shared" si="108"/>
        <v>29.937837947532302</v>
      </c>
      <c r="J185" s="148">
        <f t="shared" si="108"/>
        <v>41.562194482025859</v>
      </c>
      <c r="K185" s="148">
        <f t="shared" si="108"/>
        <v>51.305661667039743</v>
      </c>
      <c r="L185" s="148">
        <f t="shared" si="108"/>
        <v>54.467665909249831</v>
      </c>
      <c r="M185" s="148">
        <f t="shared" si="108"/>
        <v>50.392165525793075</v>
      </c>
      <c r="N185" s="148">
        <f t="shared" si="108"/>
        <v>40.540472273514865</v>
      </c>
      <c r="O185" s="148">
        <f t="shared" si="108"/>
        <v>24.393971019991511</v>
      </c>
      <c r="P185" s="148">
        <f t="shared" si="108"/>
        <v>1.8779151538782344</v>
      </c>
      <c r="Q185" s="148">
        <f t="shared" si="108"/>
        <v>-27.507867975449585</v>
      </c>
      <c r="R185" s="148">
        <f t="shared" si="108"/>
        <v>-65.390915873536414</v>
      </c>
      <c r="S185" s="148">
        <f t="shared" si="108"/>
        <v>-113.76447017240434</v>
      </c>
      <c r="T185" s="148">
        <f t="shared" si="108"/>
        <v>-174.94041478196573</v>
      </c>
      <c r="U185" s="148">
        <f t="shared" si="108"/>
        <v>-251.78400122214657</v>
      </c>
      <c r="V185" s="148">
        <f t="shared" si="108"/>
        <v>-347.68853991628839</v>
      </c>
      <c r="W185" s="148">
        <f t="shared" si="108"/>
        <v>-466.73611672797199</v>
      </c>
      <c r="X185" s="148">
        <f t="shared" si="108"/>
        <v>-613.83376491339277</v>
      </c>
      <c r="Y185" s="148">
        <f t="shared" si="108"/>
        <v>0</v>
      </c>
      <c r="Z185" s="148">
        <f t="shared" si="108"/>
        <v>0</v>
      </c>
      <c r="AA185" s="148">
        <f t="shared" si="108"/>
        <v>0</v>
      </c>
      <c r="AB185" s="148">
        <f t="shared" si="108"/>
        <v>0</v>
      </c>
      <c r="AC185" s="148">
        <f t="shared" si="108"/>
        <v>0</v>
      </c>
      <c r="AD185" s="148">
        <f t="shared" si="108"/>
        <v>0</v>
      </c>
      <c r="AE185" s="148">
        <f t="shared" si="108"/>
        <v>0</v>
      </c>
      <c r="AF185" s="148">
        <f t="shared" si="108"/>
        <v>0</v>
      </c>
      <c r="AG185" s="148">
        <f t="shared" si="108"/>
        <v>0</v>
      </c>
      <c r="AH185" s="148">
        <f t="shared" si="108"/>
        <v>0</v>
      </c>
      <c r="AI185" s="148">
        <f t="shared" si="108"/>
        <v>0</v>
      </c>
      <c r="AJ185" s="148">
        <f t="shared" si="108"/>
        <v>0</v>
      </c>
      <c r="AK185" s="148">
        <f t="shared" si="108"/>
        <v>0</v>
      </c>
      <c r="AL185" s="148">
        <f t="shared" si="108"/>
        <v>0</v>
      </c>
      <c r="AM185" s="148">
        <f t="shared" si="108"/>
        <v>0</v>
      </c>
      <c r="AN185" s="148">
        <f t="shared" si="108"/>
        <v>0</v>
      </c>
      <c r="AO185" s="148">
        <f t="shared" si="108"/>
        <v>0</v>
      </c>
      <c r="AP185" s="148">
        <f t="shared" si="108"/>
        <v>0</v>
      </c>
      <c r="AQ185" s="148">
        <f t="shared" si="108"/>
        <v>0</v>
      </c>
      <c r="AR185" s="149">
        <f t="shared" si="108"/>
        <v>0</v>
      </c>
    </row>
    <row r="186" spans="1:44" s="13" customFormat="1">
      <c r="C186" s="3" t="str">
        <f>CONCATENATE(Tariff_Period," year reset period")</f>
        <v>5 year reset period</v>
      </c>
      <c r="E186" s="150">
        <f t="shared" ref="E186:AR186" si="109">IF(Year="",,E154*BilledDemand_Det*Collection_FC-SUM(E$162,E$163,E91,(E38-E39)*ServExt_LoanPct))</f>
        <v>3.1615079878560266</v>
      </c>
      <c r="F186" s="151">
        <f t="shared" si="109"/>
        <v>0.61503468429316399</v>
      </c>
      <c r="G186" s="151">
        <f t="shared" si="109"/>
        <v>-2.0039627913159848</v>
      </c>
      <c r="H186" s="151">
        <f t="shared" si="109"/>
        <v>-3.6971320674531682</v>
      </c>
      <c r="I186" s="151">
        <f t="shared" si="109"/>
        <v>-3.2723551646369344</v>
      </c>
      <c r="J186" s="151">
        <f t="shared" si="109"/>
        <v>8.102233187740751</v>
      </c>
      <c r="K186" s="151">
        <f t="shared" si="109"/>
        <v>9.9424397507333424</v>
      </c>
      <c r="L186" s="151">
        <f t="shared" si="109"/>
        <v>6.1187446183849374</v>
      </c>
      <c r="M186" s="151">
        <f t="shared" si="109"/>
        <v>-4.3041990948391344</v>
      </c>
      <c r="N186" s="151">
        <f t="shared" si="109"/>
        <v>-20.787163069678002</v>
      </c>
      <c r="O186" s="151">
        <f t="shared" si="109"/>
        <v>50.539768239519958</v>
      </c>
      <c r="P186" s="151">
        <f t="shared" si="109"/>
        <v>30.769990656221069</v>
      </c>
      <c r="Q186" s="151">
        <f t="shared" si="109"/>
        <v>4.4204916455214516</v>
      </c>
      <c r="R186" s="151">
        <f t="shared" si="109"/>
        <v>-30.106161731113389</v>
      </c>
      <c r="S186" s="151">
        <f t="shared" si="109"/>
        <v>-74.769807729321315</v>
      </c>
      <c r="T186" s="151">
        <f t="shared" si="109"/>
        <v>112.40892805167539</v>
      </c>
      <c r="U186" s="151">
        <f t="shared" si="109"/>
        <v>65.783139622862564</v>
      </c>
      <c r="V186" s="151">
        <f t="shared" si="109"/>
        <v>3.2754417955675308</v>
      </c>
      <c r="W186" s="151">
        <f t="shared" si="109"/>
        <v>-78.862248401247825</v>
      </c>
      <c r="X186" s="151">
        <f t="shared" si="109"/>
        <v>-185.16771944752759</v>
      </c>
      <c r="Y186" s="151">
        <f t="shared" si="109"/>
        <v>0</v>
      </c>
      <c r="Z186" s="151">
        <f t="shared" si="109"/>
        <v>0</v>
      </c>
      <c r="AA186" s="151">
        <f t="shared" si="109"/>
        <v>0</v>
      </c>
      <c r="AB186" s="151">
        <f t="shared" si="109"/>
        <v>0</v>
      </c>
      <c r="AC186" s="151">
        <f t="shared" si="109"/>
        <v>0</v>
      </c>
      <c r="AD186" s="151">
        <f t="shared" si="109"/>
        <v>0</v>
      </c>
      <c r="AE186" s="151">
        <f t="shared" si="109"/>
        <v>0</v>
      </c>
      <c r="AF186" s="151">
        <f t="shared" si="109"/>
        <v>0</v>
      </c>
      <c r="AG186" s="151">
        <f t="shared" si="109"/>
        <v>0</v>
      </c>
      <c r="AH186" s="151">
        <f t="shared" si="109"/>
        <v>0</v>
      </c>
      <c r="AI186" s="151">
        <f t="shared" si="109"/>
        <v>0</v>
      </c>
      <c r="AJ186" s="151">
        <f t="shared" si="109"/>
        <v>0</v>
      </c>
      <c r="AK186" s="151">
        <f t="shared" si="109"/>
        <v>0</v>
      </c>
      <c r="AL186" s="151">
        <f t="shared" si="109"/>
        <v>0</v>
      </c>
      <c r="AM186" s="151">
        <f t="shared" si="109"/>
        <v>0</v>
      </c>
      <c r="AN186" s="151">
        <f t="shared" si="109"/>
        <v>0</v>
      </c>
      <c r="AO186" s="151">
        <f t="shared" si="109"/>
        <v>0</v>
      </c>
      <c r="AP186" s="151">
        <f t="shared" si="109"/>
        <v>0</v>
      </c>
      <c r="AQ186" s="151">
        <f t="shared" si="109"/>
        <v>0</v>
      </c>
      <c r="AR186" s="152">
        <f t="shared" si="109"/>
        <v>0</v>
      </c>
    </row>
    <row r="187" spans="1:44" s="191" customFormat="1">
      <c r="B187" s="251" t="s">
        <v>152</v>
      </c>
      <c r="C187" s="214"/>
    </row>
    <row r="188" spans="1:44" s="13" customFormat="1">
      <c r="C188" s="138" t="s">
        <v>16</v>
      </c>
      <c r="E188" s="147" t="str">
        <f t="shared" ref="E188:AR188" si="110">IF(Year="",,IF(E92=0,"",E185/E92))</f>
        <v/>
      </c>
      <c r="F188" s="148" t="str">
        <f t="shared" si="110"/>
        <v/>
      </c>
      <c r="G188" s="148" t="str">
        <f t="shared" si="110"/>
        <v/>
      </c>
      <c r="H188" s="148" t="str">
        <f t="shared" si="110"/>
        <v/>
      </c>
      <c r="I188" s="148" t="str">
        <f t="shared" si="110"/>
        <v/>
      </c>
      <c r="J188" s="148">
        <f t="shared" si="110"/>
        <v>4458.6703918658122</v>
      </c>
      <c r="K188" s="148">
        <f t="shared" si="110"/>
        <v>1978.2820025283652</v>
      </c>
      <c r="L188" s="148">
        <f t="shared" si="110"/>
        <v>765.13125076550841</v>
      </c>
      <c r="M188" s="148">
        <f t="shared" si="110"/>
        <v>275.95016924037259</v>
      </c>
      <c r="N188" s="148">
        <f t="shared" si="110"/>
        <v>100.70160674579047</v>
      </c>
      <c r="O188" s="148">
        <f t="shared" si="110"/>
        <v>34.832958024366789</v>
      </c>
      <c r="P188" s="148">
        <f t="shared" si="110"/>
        <v>1.9662005140921595</v>
      </c>
      <c r="Q188" s="148">
        <f t="shared" si="110"/>
        <v>-24.961513007394405</v>
      </c>
      <c r="R188" s="148">
        <f t="shared" si="110"/>
        <v>-56.110855244740101</v>
      </c>
      <c r="S188" s="148">
        <f t="shared" si="110"/>
        <v>-94.648909323198154</v>
      </c>
      <c r="T188" s="148">
        <f t="shared" si="110"/>
        <v>-147.63191116362006</v>
      </c>
      <c r="U188" s="148">
        <f t="shared" si="110"/>
        <v>-216.47857134529971</v>
      </c>
      <c r="V188" s="148">
        <f t="shared" si="110"/>
        <v>-306.10612646620456</v>
      </c>
      <c r="W188" s="148">
        <f t="shared" si="110"/>
        <v>-423.24929818129294</v>
      </c>
      <c r="X188" s="148">
        <f t="shared" si="110"/>
        <v>-577.30890628341933</v>
      </c>
      <c r="Y188" s="148">
        <f t="shared" si="110"/>
        <v>0</v>
      </c>
      <c r="Z188" s="148">
        <f t="shared" si="110"/>
        <v>0</v>
      </c>
      <c r="AA188" s="148">
        <f t="shared" si="110"/>
        <v>0</v>
      </c>
      <c r="AB188" s="148">
        <f t="shared" si="110"/>
        <v>0</v>
      </c>
      <c r="AC188" s="148">
        <f t="shared" si="110"/>
        <v>0</v>
      </c>
      <c r="AD188" s="148">
        <f t="shared" si="110"/>
        <v>0</v>
      </c>
      <c r="AE188" s="148">
        <f t="shared" si="110"/>
        <v>0</v>
      </c>
      <c r="AF188" s="148">
        <f t="shared" si="110"/>
        <v>0</v>
      </c>
      <c r="AG188" s="148">
        <f t="shared" si="110"/>
        <v>0</v>
      </c>
      <c r="AH188" s="148">
        <f t="shared" si="110"/>
        <v>0</v>
      </c>
      <c r="AI188" s="148">
        <f t="shared" si="110"/>
        <v>0</v>
      </c>
      <c r="AJ188" s="148">
        <f t="shared" si="110"/>
        <v>0</v>
      </c>
      <c r="AK188" s="148">
        <f t="shared" si="110"/>
        <v>0</v>
      </c>
      <c r="AL188" s="148">
        <f t="shared" si="110"/>
        <v>0</v>
      </c>
      <c r="AM188" s="148">
        <f t="shared" si="110"/>
        <v>0</v>
      </c>
      <c r="AN188" s="148">
        <f t="shared" si="110"/>
        <v>0</v>
      </c>
      <c r="AO188" s="148">
        <f t="shared" si="110"/>
        <v>0</v>
      </c>
      <c r="AP188" s="148">
        <f t="shared" si="110"/>
        <v>0</v>
      </c>
      <c r="AQ188" s="148">
        <f t="shared" si="110"/>
        <v>0</v>
      </c>
      <c r="AR188" s="149">
        <f t="shared" si="110"/>
        <v>0</v>
      </c>
    </row>
    <row r="189" spans="1:44" s="13" customFormat="1">
      <c r="C189" s="3" t="str">
        <f>CONCATENATE(Tariff_Period," year reset period")</f>
        <v>5 year reset period</v>
      </c>
      <c r="E189" s="150" t="str">
        <f t="shared" ref="E189:AR189" si="111">IF(Year="",,IF(E92=0,"",E186/E92))</f>
        <v/>
      </c>
      <c r="F189" s="151" t="str">
        <f t="shared" si="111"/>
        <v/>
      </c>
      <c r="G189" s="151" t="str">
        <f t="shared" si="111"/>
        <v/>
      </c>
      <c r="H189" s="151" t="str">
        <f t="shared" si="111"/>
        <v/>
      </c>
      <c r="I189" s="151" t="str">
        <f t="shared" si="111"/>
        <v/>
      </c>
      <c r="J189" s="151">
        <f t="shared" si="111"/>
        <v>869.18382612821551</v>
      </c>
      <c r="K189" s="151">
        <f t="shared" si="111"/>
        <v>383.36801399706508</v>
      </c>
      <c r="L189" s="151">
        <f t="shared" si="111"/>
        <v>85.952695876115058</v>
      </c>
      <c r="M189" s="151">
        <f t="shared" si="111"/>
        <v>-23.570022368996511</v>
      </c>
      <c r="N189" s="151">
        <f t="shared" si="111"/>
        <v>-51.634838062083666</v>
      </c>
      <c r="O189" s="151">
        <f t="shared" si="111"/>
        <v>72.167406618860412</v>
      </c>
      <c r="P189" s="151">
        <f t="shared" si="111"/>
        <v>32.216562778104979</v>
      </c>
      <c r="Q189" s="151">
        <f t="shared" si="111"/>
        <v>4.011294506984</v>
      </c>
      <c r="R189" s="151">
        <f t="shared" si="111"/>
        <v>-25.833595696017571</v>
      </c>
      <c r="S189" s="151">
        <f t="shared" si="111"/>
        <v>-62.206422982156347</v>
      </c>
      <c r="T189" s="151">
        <f t="shared" si="111"/>
        <v>94.861698486343485</v>
      </c>
      <c r="U189" s="151">
        <f t="shared" si="111"/>
        <v>56.558955354757778</v>
      </c>
      <c r="V189" s="151">
        <f t="shared" si="111"/>
        <v>2.8837096579257016</v>
      </c>
      <c r="W189" s="151">
        <f t="shared" si="111"/>
        <v>-71.514481293678998</v>
      </c>
      <c r="X189" s="151">
        <f t="shared" si="111"/>
        <v>-174.14971235466302</v>
      </c>
      <c r="Y189" s="151">
        <f t="shared" si="111"/>
        <v>0</v>
      </c>
      <c r="Z189" s="151">
        <f t="shared" si="111"/>
        <v>0</v>
      </c>
      <c r="AA189" s="151">
        <f t="shared" si="111"/>
        <v>0</v>
      </c>
      <c r="AB189" s="151">
        <f t="shared" si="111"/>
        <v>0</v>
      </c>
      <c r="AC189" s="151">
        <f t="shared" si="111"/>
        <v>0</v>
      </c>
      <c r="AD189" s="151">
        <f t="shared" si="111"/>
        <v>0</v>
      </c>
      <c r="AE189" s="151">
        <f t="shared" si="111"/>
        <v>0</v>
      </c>
      <c r="AF189" s="151">
        <f t="shared" si="111"/>
        <v>0</v>
      </c>
      <c r="AG189" s="151">
        <f t="shared" si="111"/>
        <v>0</v>
      </c>
      <c r="AH189" s="151">
        <f t="shared" si="111"/>
        <v>0</v>
      </c>
      <c r="AI189" s="151">
        <f t="shared" si="111"/>
        <v>0</v>
      </c>
      <c r="AJ189" s="151">
        <f t="shared" si="111"/>
        <v>0</v>
      </c>
      <c r="AK189" s="151">
        <f t="shared" si="111"/>
        <v>0</v>
      </c>
      <c r="AL189" s="151">
        <f t="shared" si="111"/>
        <v>0</v>
      </c>
      <c r="AM189" s="151">
        <f t="shared" si="111"/>
        <v>0</v>
      </c>
      <c r="AN189" s="151">
        <f t="shared" si="111"/>
        <v>0</v>
      </c>
      <c r="AO189" s="151">
        <f t="shared" si="111"/>
        <v>0</v>
      </c>
      <c r="AP189" s="151">
        <f t="shared" si="111"/>
        <v>0</v>
      </c>
      <c r="AQ189" s="151">
        <f t="shared" si="111"/>
        <v>0</v>
      </c>
      <c r="AR189" s="152">
        <f t="shared" si="111"/>
        <v>0</v>
      </c>
    </row>
    <row r="190" spans="1:44" s="13" customFormat="1">
      <c r="B190" s="40"/>
    </row>
    <row r="191" spans="1:44" s="13" customFormat="1">
      <c r="B191" s="40"/>
    </row>
    <row r="192" spans="1:44" s="243" customFormat="1" ht="17.399999999999999">
      <c r="A192" s="241" t="s">
        <v>154</v>
      </c>
      <c r="B192" s="242"/>
      <c r="C192" s="242"/>
      <c r="D192" s="13"/>
    </row>
    <row r="193" spans="1:44" s="13" customFormat="1">
      <c r="B193" s="181" t="s">
        <v>155</v>
      </c>
    </row>
    <row r="194" spans="1:44" s="13" customFormat="1">
      <c r="C194" s="13" t="s">
        <v>156</v>
      </c>
      <c r="D194" s="147">
        <f>IF(Year="",,Demand)</f>
        <v>150</v>
      </c>
      <c r="E194" s="148">
        <f>IF(Year="",,D194*EXP(Demand_Growth))</f>
        <v>153.03020100401338</v>
      </c>
      <c r="F194" s="148">
        <f t="shared" ref="F194:AR194" si="112">IF(Year="",,E194*EXP(Demand_Growth))</f>
        <v>156.12161612885822</v>
      </c>
      <c r="G194" s="148">
        <f t="shared" si="112"/>
        <v>159.27548198180392</v>
      </c>
      <c r="H194" s="148">
        <f t="shared" si="112"/>
        <v>162.49306015124375</v>
      </c>
      <c r="I194" s="148">
        <f t="shared" si="112"/>
        <v>165.77563771134712</v>
      </c>
      <c r="J194" s="148">
        <f t="shared" si="112"/>
        <v>169.12452773690632</v>
      </c>
      <c r="K194" s="148">
        <f t="shared" si="112"/>
        <v>172.54106982858406</v>
      </c>
      <c r="L194" s="148">
        <f t="shared" si="112"/>
        <v>176.02663064877149</v>
      </c>
      <c r="M194" s="148">
        <f t="shared" si="112"/>
        <v>179.58260446827148</v>
      </c>
      <c r="N194" s="148">
        <f t="shared" si="112"/>
        <v>183.21041372402541</v>
      </c>
      <c r="O194" s="148">
        <f t="shared" si="112"/>
        <v>186.91150958810707</v>
      </c>
      <c r="P194" s="148">
        <f t="shared" si="112"/>
        <v>190.68737254821065</v>
      </c>
      <c r="Q194" s="148">
        <f t="shared" si="112"/>
        <v>194.53951299986571</v>
      </c>
      <c r="R194" s="148">
        <f t="shared" si="112"/>
        <v>198.46947185061546</v>
      </c>
      <c r="S194" s="148">
        <f t="shared" si="112"/>
        <v>202.47882113640037</v>
      </c>
      <c r="T194" s="148">
        <f t="shared" si="112"/>
        <v>206.56916465039345</v>
      </c>
      <c r="U194" s="148">
        <f t="shared" si="112"/>
        <v>210.74213858453894</v>
      </c>
      <c r="V194" s="148">
        <f t="shared" si="112"/>
        <v>214.9994121840509</v>
      </c>
      <c r="W194" s="148">
        <f t="shared" si="112"/>
        <v>219.34268841513352</v>
      </c>
      <c r="X194" s="148">
        <f t="shared" si="112"/>
        <v>223.77370464619037</v>
      </c>
      <c r="Y194" s="148">
        <f t="shared" si="112"/>
        <v>0</v>
      </c>
      <c r="Z194" s="148">
        <f t="shared" si="112"/>
        <v>0</v>
      </c>
      <c r="AA194" s="148">
        <f t="shared" si="112"/>
        <v>0</v>
      </c>
      <c r="AB194" s="148">
        <f t="shared" si="112"/>
        <v>0</v>
      </c>
      <c r="AC194" s="148">
        <f t="shared" si="112"/>
        <v>0</v>
      </c>
      <c r="AD194" s="148">
        <f t="shared" si="112"/>
        <v>0</v>
      </c>
      <c r="AE194" s="148">
        <f t="shared" si="112"/>
        <v>0</v>
      </c>
      <c r="AF194" s="148">
        <f t="shared" si="112"/>
        <v>0</v>
      </c>
      <c r="AG194" s="148">
        <f t="shared" si="112"/>
        <v>0</v>
      </c>
      <c r="AH194" s="148">
        <f t="shared" si="112"/>
        <v>0</v>
      </c>
      <c r="AI194" s="148">
        <f t="shared" si="112"/>
        <v>0</v>
      </c>
      <c r="AJ194" s="148">
        <f t="shared" si="112"/>
        <v>0</v>
      </c>
      <c r="AK194" s="148">
        <f t="shared" si="112"/>
        <v>0</v>
      </c>
      <c r="AL194" s="148">
        <f t="shared" si="112"/>
        <v>0</v>
      </c>
      <c r="AM194" s="148">
        <f t="shared" si="112"/>
        <v>0</v>
      </c>
      <c r="AN194" s="148">
        <f t="shared" si="112"/>
        <v>0</v>
      </c>
      <c r="AO194" s="148">
        <f t="shared" si="112"/>
        <v>0</v>
      </c>
      <c r="AP194" s="148">
        <f t="shared" si="112"/>
        <v>0</v>
      </c>
      <c r="AQ194" s="148">
        <f t="shared" si="112"/>
        <v>0</v>
      </c>
      <c r="AR194" s="149">
        <f t="shared" si="112"/>
        <v>0</v>
      </c>
    </row>
    <row r="195" spans="1:44" s="13" customFormat="1">
      <c r="C195" s="138" t="s">
        <v>55</v>
      </c>
      <c r="D195" s="150">
        <f>IF(Year="",,'Other assumptions'!E21)</f>
        <v>75</v>
      </c>
      <c r="E195" s="151">
        <f>IF(Year="",,D195*EXP(Demand_Growth))</f>
        <v>76.515100502006689</v>
      </c>
      <c r="F195" s="151">
        <f t="shared" ref="F195:AR195" si="113">IF(Year="",,E195*EXP(Demand_Growth))</f>
        <v>78.060808064429111</v>
      </c>
      <c r="G195" s="151">
        <f t="shared" si="113"/>
        <v>79.63774099090196</v>
      </c>
      <c r="H195" s="151">
        <f t="shared" si="113"/>
        <v>81.246530075621877</v>
      </c>
      <c r="I195" s="151">
        <f t="shared" si="113"/>
        <v>82.887818855673558</v>
      </c>
      <c r="J195" s="151">
        <f t="shared" si="113"/>
        <v>84.562263868453158</v>
      </c>
      <c r="K195" s="151">
        <f t="shared" si="113"/>
        <v>86.270534914292028</v>
      </c>
      <c r="L195" s="151">
        <f t="shared" si="113"/>
        <v>88.013315324385744</v>
      </c>
      <c r="M195" s="151">
        <f t="shared" si="113"/>
        <v>89.791302234135742</v>
      </c>
      <c r="N195" s="151">
        <f t="shared" si="113"/>
        <v>91.605206862012707</v>
      </c>
      <c r="O195" s="151">
        <f t="shared" si="113"/>
        <v>93.455754794053533</v>
      </c>
      <c r="P195" s="151">
        <f t="shared" si="113"/>
        <v>95.343686274105323</v>
      </c>
      <c r="Q195" s="151">
        <f t="shared" si="113"/>
        <v>97.269756499932853</v>
      </c>
      <c r="R195" s="151">
        <f t="shared" si="113"/>
        <v>99.234735925307731</v>
      </c>
      <c r="S195" s="151">
        <f t="shared" si="113"/>
        <v>101.23941056820019</v>
      </c>
      <c r="T195" s="151">
        <f t="shared" si="113"/>
        <v>103.28458232519672</v>
      </c>
      <c r="U195" s="151">
        <f t="shared" si="113"/>
        <v>105.37106929226947</v>
      </c>
      <c r="V195" s="151">
        <f t="shared" si="113"/>
        <v>107.49970609202545</v>
      </c>
      <c r="W195" s="151">
        <f t="shared" si="113"/>
        <v>109.67134420756676</v>
      </c>
      <c r="X195" s="151">
        <f t="shared" si="113"/>
        <v>111.88685232309518</v>
      </c>
      <c r="Y195" s="151">
        <f t="shared" si="113"/>
        <v>0</v>
      </c>
      <c r="Z195" s="151">
        <f t="shared" si="113"/>
        <v>0</v>
      </c>
      <c r="AA195" s="151">
        <f t="shared" si="113"/>
        <v>0</v>
      </c>
      <c r="AB195" s="151">
        <f t="shared" si="113"/>
        <v>0</v>
      </c>
      <c r="AC195" s="151">
        <f t="shared" si="113"/>
        <v>0</v>
      </c>
      <c r="AD195" s="151">
        <f t="shared" si="113"/>
        <v>0</v>
      </c>
      <c r="AE195" s="151">
        <f t="shared" si="113"/>
        <v>0</v>
      </c>
      <c r="AF195" s="151">
        <f t="shared" si="113"/>
        <v>0</v>
      </c>
      <c r="AG195" s="151">
        <f t="shared" si="113"/>
        <v>0</v>
      </c>
      <c r="AH195" s="151">
        <f t="shared" si="113"/>
        <v>0</v>
      </c>
      <c r="AI195" s="151">
        <f t="shared" si="113"/>
        <v>0</v>
      </c>
      <c r="AJ195" s="151">
        <f t="shared" si="113"/>
        <v>0</v>
      </c>
      <c r="AK195" s="151">
        <f t="shared" si="113"/>
        <v>0</v>
      </c>
      <c r="AL195" s="151">
        <f t="shared" si="113"/>
        <v>0</v>
      </c>
      <c r="AM195" s="151">
        <f t="shared" si="113"/>
        <v>0</v>
      </c>
      <c r="AN195" s="151">
        <f t="shared" si="113"/>
        <v>0</v>
      </c>
      <c r="AO195" s="151">
        <f t="shared" si="113"/>
        <v>0</v>
      </c>
      <c r="AP195" s="151">
        <f t="shared" si="113"/>
        <v>0</v>
      </c>
      <c r="AQ195" s="151">
        <f t="shared" si="113"/>
        <v>0</v>
      </c>
      <c r="AR195" s="152">
        <f t="shared" si="113"/>
        <v>0</v>
      </c>
    </row>
    <row r="196" spans="1:44" s="13" customFormat="1">
      <c r="A196" s="40"/>
      <c r="B196" s="181" t="s">
        <v>157</v>
      </c>
    </row>
    <row r="197" spans="1:44" s="13" customFormat="1">
      <c r="A197" s="40"/>
      <c r="B197" s="40" t="s">
        <v>156</v>
      </c>
    </row>
    <row r="198" spans="1:44" s="13" customFormat="1">
      <c r="C198" s="138" t="str">
        <f>CONCATENATE(Tariff_Period," year reset period")</f>
        <v>5 year reset period</v>
      </c>
      <c r="D198" s="147">
        <f>IF(Year="",,ExistTariff_Connected*D$194)</f>
        <v>4500</v>
      </c>
      <c r="E198" s="148">
        <f t="shared" ref="E198:AR198" si="114">IF(Year="",,(E153+E154)*E$194)</f>
        <v>7481.6957140537852</v>
      </c>
      <c r="F198" s="148">
        <f t="shared" si="114"/>
        <v>8143.9574991680265</v>
      </c>
      <c r="G198" s="148">
        <f t="shared" si="114"/>
        <v>8910.2762906652097</v>
      </c>
      <c r="H198" s="148">
        <f t="shared" si="114"/>
        <v>9783.9735489715458</v>
      </c>
      <c r="I198" s="148">
        <f t="shared" si="114"/>
        <v>10769.306589086531</v>
      </c>
      <c r="J198" s="148">
        <f t="shared" si="114"/>
        <v>12700.90062958534</v>
      </c>
      <c r="K198" s="148">
        <f t="shared" si="114"/>
        <v>14015.330147478293</v>
      </c>
      <c r="L198" s="148">
        <f t="shared" si="114"/>
        <v>15475.060803226528</v>
      </c>
      <c r="M198" s="148">
        <f t="shared" si="114"/>
        <v>17093.07042158394</v>
      </c>
      <c r="N198" s="148">
        <f t="shared" si="114"/>
        <v>18884.433132062924</v>
      </c>
      <c r="O198" s="148">
        <f t="shared" si="114"/>
        <v>25910.882308895412</v>
      </c>
      <c r="P198" s="148">
        <f t="shared" si="114"/>
        <v>28632.485814652366</v>
      </c>
      <c r="Q198" s="148">
        <f t="shared" si="114"/>
        <v>31641.489510106097</v>
      </c>
      <c r="R198" s="148">
        <f t="shared" si="114"/>
        <v>34967.727478578046</v>
      </c>
      <c r="S198" s="148">
        <f t="shared" si="114"/>
        <v>38644.302973602375</v>
      </c>
      <c r="T198" s="148">
        <f t="shared" si="114"/>
        <v>55922.408519421588</v>
      </c>
      <c r="U198" s="148">
        <f t="shared" si="114"/>
        <v>61803.23646315356</v>
      </c>
      <c r="V198" s="148">
        <f t="shared" si="114"/>
        <v>68302.752904696856</v>
      </c>
      <c r="W198" s="148">
        <f t="shared" si="114"/>
        <v>75485.959719536113</v>
      </c>
      <c r="X198" s="148">
        <f t="shared" si="114"/>
        <v>83424.717372071755</v>
      </c>
      <c r="Y198" s="148">
        <f t="shared" si="114"/>
        <v>0</v>
      </c>
      <c r="Z198" s="148">
        <f t="shared" si="114"/>
        <v>0</v>
      </c>
      <c r="AA198" s="148">
        <f t="shared" si="114"/>
        <v>0</v>
      </c>
      <c r="AB198" s="148">
        <f t="shared" si="114"/>
        <v>0</v>
      </c>
      <c r="AC198" s="148">
        <f t="shared" si="114"/>
        <v>0</v>
      </c>
      <c r="AD198" s="148">
        <f t="shared" si="114"/>
        <v>0</v>
      </c>
      <c r="AE198" s="148">
        <f t="shared" si="114"/>
        <v>0</v>
      </c>
      <c r="AF198" s="148">
        <f t="shared" si="114"/>
        <v>0</v>
      </c>
      <c r="AG198" s="148">
        <f t="shared" si="114"/>
        <v>0</v>
      </c>
      <c r="AH198" s="148">
        <f t="shared" si="114"/>
        <v>0</v>
      </c>
      <c r="AI198" s="148">
        <f t="shared" si="114"/>
        <v>0</v>
      </c>
      <c r="AJ198" s="148">
        <f t="shared" si="114"/>
        <v>0</v>
      </c>
      <c r="AK198" s="148">
        <f t="shared" si="114"/>
        <v>0</v>
      </c>
      <c r="AL198" s="148">
        <f t="shared" si="114"/>
        <v>0</v>
      </c>
      <c r="AM198" s="148">
        <f t="shared" si="114"/>
        <v>0</v>
      </c>
      <c r="AN198" s="148">
        <f t="shared" si="114"/>
        <v>0</v>
      </c>
      <c r="AO198" s="148">
        <f t="shared" si="114"/>
        <v>0</v>
      </c>
      <c r="AP198" s="148">
        <f t="shared" si="114"/>
        <v>0</v>
      </c>
      <c r="AQ198" s="148">
        <f t="shared" si="114"/>
        <v>0</v>
      </c>
      <c r="AR198" s="149">
        <f t="shared" si="114"/>
        <v>0</v>
      </c>
    </row>
    <row r="199" spans="1:44" s="13" customFormat="1">
      <c r="C199" s="138" t="s">
        <v>158</v>
      </c>
      <c r="D199" s="150">
        <f>IF(Year="",,ExistTariff_Connected*TariffIndex_Det*D$194)</f>
        <v>4500</v>
      </c>
      <c r="E199" s="151">
        <f>IF(Year="",,ExistTariff_Connected*TariffIndex_Det*E$194)</f>
        <v>4865.4981687856434</v>
      </c>
      <c r="F199" s="151">
        <f t="shared" ref="F199:AR199" si="115">IF(Year="",,ExistTariff_Connected*TariffIndex_Det*F$194)</f>
        <v>5296.1804132770012</v>
      </c>
      <c r="G199" s="151">
        <f t="shared" si="115"/>
        <v>5794.5330353613017</v>
      </c>
      <c r="H199" s="151">
        <f t="shared" si="115"/>
        <v>6362.7160479873555</v>
      </c>
      <c r="I199" s="151">
        <f t="shared" si="115"/>
        <v>7003.4980692767313</v>
      </c>
      <c r="J199" s="151">
        <f t="shared" si="115"/>
        <v>7720.7862544196823</v>
      </c>
      <c r="K199" s="151">
        <f t="shared" si="115"/>
        <v>8519.8185159989716</v>
      </c>
      <c r="L199" s="151">
        <f t="shared" si="115"/>
        <v>9407.1782954939135</v>
      </c>
      <c r="M199" s="151">
        <f t="shared" si="115"/>
        <v>10390.754719344779</v>
      </c>
      <c r="N199" s="151">
        <f t="shared" si="115"/>
        <v>11479.711242595498</v>
      </c>
      <c r="O199" s="151">
        <f t="shared" si="115"/>
        <v>12684.485915118417</v>
      </c>
      <c r="P199" s="151">
        <f t="shared" si="115"/>
        <v>14016.827319928829</v>
      </c>
      <c r="Q199" s="151">
        <f t="shared" si="115"/>
        <v>15489.863418758194</v>
      </c>
      <c r="R199" s="151">
        <f t="shared" si="115"/>
        <v>17118.199272336202</v>
      </c>
      <c r="S199" s="151">
        <f t="shared" si="115"/>
        <v>18918.0403401371</v>
      </c>
      <c r="T199" s="151">
        <f t="shared" si="115"/>
        <v>20907.339283339235</v>
      </c>
      <c r="U199" s="151">
        <f t="shared" si="115"/>
        <v>23105.965350094673</v>
      </c>
      <c r="V199" s="151">
        <f t="shared" si="115"/>
        <v>25535.896374503143</v>
      </c>
      <c r="W199" s="151">
        <f t="shared" si="115"/>
        <v>28221.4341758316</v>
      </c>
      <c r="X199" s="151">
        <f t="shared" si="115"/>
        <v>31189.444748411373</v>
      </c>
      <c r="Y199" s="151">
        <f t="shared" si="115"/>
        <v>0</v>
      </c>
      <c r="Z199" s="151">
        <f t="shared" si="115"/>
        <v>0</v>
      </c>
      <c r="AA199" s="151">
        <f t="shared" si="115"/>
        <v>0</v>
      </c>
      <c r="AB199" s="151">
        <f t="shared" si="115"/>
        <v>0</v>
      </c>
      <c r="AC199" s="151">
        <f t="shared" si="115"/>
        <v>0</v>
      </c>
      <c r="AD199" s="151">
        <f t="shared" si="115"/>
        <v>0</v>
      </c>
      <c r="AE199" s="151">
        <f t="shared" si="115"/>
        <v>0</v>
      </c>
      <c r="AF199" s="151">
        <f t="shared" si="115"/>
        <v>0</v>
      </c>
      <c r="AG199" s="151">
        <f t="shared" si="115"/>
        <v>0</v>
      </c>
      <c r="AH199" s="151">
        <f t="shared" si="115"/>
        <v>0</v>
      </c>
      <c r="AI199" s="151">
        <f t="shared" si="115"/>
        <v>0</v>
      </c>
      <c r="AJ199" s="151">
        <f t="shared" si="115"/>
        <v>0</v>
      </c>
      <c r="AK199" s="151">
        <f t="shared" si="115"/>
        <v>0</v>
      </c>
      <c r="AL199" s="151">
        <f t="shared" si="115"/>
        <v>0</v>
      </c>
      <c r="AM199" s="151">
        <f t="shared" si="115"/>
        <v>0</v>
      </c>
      <c r="AN199" s="151">
        <f t="shared" si="115"/>
        <v>0</v>
      </c>
      <c r="AO199" s="151">
        <f t="shared" si="115"/>
        <v>0</v>
      </c>
      <c r="AP199" s="151">
        <f t="shared" si="115"/>
        <v>0</v>
      </c>
      <c r="AQ199" s="151">
        <f t="shared" si="115"/>
        <v>0</v>
      </c>
      <c r="AR199" s="152">
        <f t="shared" si="115"/>
        <v>0</v>
      </c>
    </row>
    <row r="200" spans="1:44" s="13" customFormat="1">
      <c r="B200" s="40" t="s">
        <v>55</v>
      </c>
      <c r="D200" s="219">
        <f>IF(Year="",,ExistTariff_Other*D195/DeflateFactor_Det)</f>
        <v>3375</v>
      </c>
      <c r="E200" s="252">
        <f t="shared" ref="E200:AR200" si="116">IF(Year="",,ExistTariff_Other*E195/DeflateFactor_Det)</f>
        <v>3649.1236265892326</v>
      </c>
      <c r="F200" s="252">
        <f t="shared" si="116"/>
        <v>3972.1353099577505</v>
      </c>
      <c r="G200" s="252">
        <f t="shared" si="116"/>
        <v>4345.899776520976</v>
      </c>
      <c r="H200" s="252">
        <f t="shared" si="116"/>
        <v>4772.0370359905164</v>
      </c>
      <c r="I200" s="252">
        <f t="shared" si="116"/>
        <v>5252.6235519575484</v>
      </c>
      <c r="J200" s="252">
        <f t="shared" si="116"/>
        <v>5790.5896908147624</v>
      </c>
      <c r="K200" s="252">
        <f t="shared" si="116"/>
        <v>6389.8638869992292</v>
      </c>
      <c r="L200" s="252">
        <f t="shared" si="116"/>
        <v>7055.3837216204356</v>
      </c>
      <c r="M200" s="252">
        <f t="shared" si="116"/>
        <v>7793.0660395085852</v>
      </c>
      <c r="N200" s="252">
        <f t="shared" si="116"/>
        <v>8609.7834319466238</v>
      </c>
      <c r="O200" s="252">
        <f t="shared" si="116"/>
        <v>9513.3644363388121</v>
      </c>
      <c r="P200" s="252">
        <f t="shared" si="116"/>
        <v>10512.620489946623</v>
      </c>
      <c r="Q200" s="252">
        <f t="shared" si="116"/>
        <v>11617.397564068646</v>
      </c>
      <c r="R200" s="252">
        <f t="shared" si="116"/>
        <v>12838.649454252149</v>
      </c>
      <c r="S200" s="252">
        <f t="shared" si="116"/>
        <v>14188.530255102824</v>
      </c>
      <c r="T200" s="252">
        <f t="shared" si="116"/>
        <v>15680.504462504428</v>
      </c>
      <c r="U200" s="252">
        <f t="shared" si="116"/>
        <v>17329.474012571005</v>
      </c>
      <c r="V200" s="252">
        <f t="shared" si="116"/>
        <v>19151.922280877359</v>
      </c>
      <c r="W200" s="252">
        <f t="shared" si="116"/>
        <v>21166.0756318737</v>
      </c>
      <c r="X200" s="252">
        <f t="shared" si="116"/>
        <v>23392.083561308529</v>
      </c>
      <c r="Y200" s="252">
        <f t="shared" si="116"/>
        <v>0</v>
      </c>
      <c r="Z200" s="252">
        <f t="shared" si="116"/>
        <v>0</v>
      </c>
      <c r="AA200" s="252">
        <f t="shared" si="116"/>
        <v>0</v>
      </c>
      <c r="AB200" s="252">
        <f t="shared" si="116"/>
        <v>0</v>
      </c>
      <c r="AC200" s="252">
        <f t="shared" si="116"/>
        <v>0</v>
      </c>
      <c r="AD200" s="252">
        <f t="shared" si="116"/>
        <v>0</v>
      </c>
      <c r="AE200" s="252">
        <f t="shared" si="116"/>
        <v>0</v>
      </c>
      <c r="AF200" s="252">
        <f t="shared" si="116"/>
        <v>0</v>
      </c>
      <c r="AG200" s="252">
        <f t="shared" si="116"/>
        <v>0</v>
      </c>
      <c r="AH200" s="252">
        <f t="shared" si="116"/>
        <v>0</v>
      </c>
      <c r="AI200" s="252">
        <f t="shared" si="116"/>
        <v>0</v>
      </c>
      <c r="AJ200" s="252">
        <f t="shared" si="116"/>
        <v>0</v>
      </c>
      <c r="AK200" s="252">
        <f t="shared" si="116"/>
        <v>0</v>
      </c>
      <c r="AL200" s="252">
        <f t="shared" si="116"/>
        <v>0</v>
      </c>
      <c r="AM200" s="252">
        <f t="shared" si="116"/>
        <v>0</v>
      </c>
      <c r="AN200" s="252">
        <f t="shared" si="116"/>
        <v>0</v>
      </c>
      <c r="AO200" s="252">
        <f t="shared" si="116"/>
        <v>0</v>
      </c>
      <c r="AP200" s="252">
        <f t="shared" si="116"/>
        <v>0</v>
      </c>
      <c r="AQ200" s="252">
        <f t="shared" si="116"/>
        <v>0</v>
      </c>
      <c r="AR200" s="253">
        <f t="shared" si="116"/>
        <v>0</v>
      </c>
    </row>
    <row r="201" spans="1:44" s="13" customFormat="1">
      <c r="A201" s="40"/>
      <c r="B201" s="181" t="s">
        <v>159</v>
      </c>
    </row>
    <row r="202" spans="1:44" s="13" customFormat="1">
      <c r="C202" s="138" t="s">
        <v>55</v>
      </c>
      <c r="D202" s="219">
        <f>IF(Year="",,CopingCost/DeflateFactor_Det)</f>
        <v>1000</v>
      </c>
      <c r="E202" s="252">
        <f t="shared" ref="E202:AR202" si="117">IF(Year="",,CopingCost/DeflateFactor_Det)</f>
        <v>1059.8121888933633</v>
      </c>
      <c r="F202" s="252">
        <f t="shared" si="117"/>
        <v>1130.7809353159844</v>
      </c>
      <c r="G202" s="252">
        <f t="shared" si="117"/>
        <v>1212.6857114190127</v>
      </c>
      <c r="H202" s="252">
        <f t="shared" si="117"/>
        <v>1305.2282647363784</v>
      </c>
      <c r="I202" s="252">
        <f t="shared" si="117"/>
        <v>1408.228246716486</v>
      </c>
      <c r="J202" s="252">
        <f t="shared" si="117"/>
        <v>1521.7162481266073</v>
      </c>
      <c r="K202" s="252">
        <f t="shared" si="117"/>
        <v>1645.9498646637646</v>
      </c>
      <c r="L202" s="252">
        <f t="shared" si="117"/>
        <v>1781.3930124895314</v>
      </c>
      <c r="M202" s="252">
        <f t="shared" si="117"/>
        <v>1928.6861980332865</v>
      </c>
      <c r="N202" s="252">
        <f t="shared" si="117"/>
        <v>2088.6205846151088</v>
      </c>
      <c r="O202" s="252">
        <f t="shared" si="117"/>
        <v>2262.1196420828496</v>
      </c>
      <c r="P202" s="252">
        <f t="shared" si="117"/>
        <v>2450.2281985810773</v>
      </c>
      <c r="Q202" s="252">
        <f t="shared" si="117"/>
        <v>2654.1075006475912</v>
      </c>
      <c r="R202" s="252">
        <f t="shared" si="117"/>
        <v>2875.0348206735412</v>
      </c>
      <c r="S202" s="252">
        <f t="shared" si="117"/>
        <v>3114.4064407922961</v>
      </c>
      <c r="T202" s="252">
        <f t="shared" si="117"/>
        <v>3373.7431751932768</v>
      </c>
      <c r="U202" s="252">
        <f t="shared" si="117"/>
        <v>3654.6978699952388</v>
      </c>
      <c r="V202" s="252">
        <f t="shared" si="117"/>
        <v>3959.064525665317</v>
      </c>
      <c r="W202" s="252">
        <f t="shared" si="117"/>
        <v>4288.7888323284342</v>
      </c>
      <c r="X202" s="252">
        <f t="shared" si="117"/>
        <v>4645.9800087958129</v>
      </c>
      <c r="Y202" s="252">
        <f t="shared" si="117"/>
        <v>0</v>
      </c>
      <c r="Z202" s="252">
        <f t="shared" si="117"/>
        <v>0</v>
      </c>
      <c r="AA202" s="252">
        <f t="shared" si="117"/>
        <v>0</v>
      </c>
      <c r="AB202" s="252">
        <f t="shared" si="117"/>
        <v>0</v>
      </c>
      <c r="AC202" s="252">
        <f t="shared" si="117"/>
        <v>0</v>
      </c>
      <c r="AD202" s="252">
        <f t="shared" si="117"/>
        <v>0</v>
      </c>
      <c r="AE202" s="252">
        <f t="shared" si="117"/>
        <v>0</v>
      </c>
      <c r="AF202" s="252">
        <f t="shared" si="117"/>
        <v>0</v>
      </c>
      <c r="AG202" s="252">
        <f t="shared" si="117"/>
        <v>0</v>
      </c>
      <c r="AH202" s="252">
        <f t="shared" si="117"/>
        <v>0</v>
      </c>
      <c r="AI202" s="252">
        <f t="shared" si="117"/>
        <v>0</v>
      </c>
      <c r="AJ202" s="252">
        <f t="shared" si="117"/>
        <v>0</v>
      </c>
      <c r="AK202" s="252">
        <f t="shared" si="117"/>
        <v>0</v>
      </c>
      <c r="AL202" s="252">
        <f t="shared" si="117"/>
        <v>0</v>
      </c>
      <c r="AM202" s="252">
        <f t="shared" si="117"/>
        <v>0</v>
      </c>
      <c r="AN202" s="252">
        <f t="shared" si="117"/>
        <v>0</v>
      </c>
      <c r="AO202" s="252">
        <f t="shared" si="117"/>
        <v>0</v>
      </c>
      <c r="AP202" s="252">
        <f t="shared" si="117"/>
        <v>0</v>
      </c>
      <c r="AQ202" s="252">
        <f t="shared" si="117"/>
        <v>0</v>
      </c>
      <c r="AR202" s="253">
        <f t="shared" si="117"/>
        <v>0</v>
      </c>
    </row>
    <row r="203" spans="1:44" s="13" customFormat="1">
      <c r="B203" s="181" t="s">
        <v>160</v>
      </c>
    </row>
    <row r="204" spans="1:44" s="13" customFormat="1">
      <c r="C204" s="138" t="s">
        <v>156</v>
      </c>
      <c r="D204" s="219">
        <f t="shared" ref="D204:AR204" si="118">IF(Year="",,WTP_Connection*ExistTariff_Connected*D194/DeflateFactor_Det)</f>
        <v>11250</v>
      </c>
      <c r="E204" s="252">
        <f t="shared" si="118"/>
        <v>12163.745421964109</v>
      </c>
      <c r="F204" s="252">
        <f t="shared" si="118"/>
        <v>13240.451033192503</v>
      </c>
      <c r="G204" s="252">
        <f t="shared" si="118"/>
        <v>14486.332588403253</v>
      </c>
      <c r="H204" s="252">
        <f t="shared" si="118"/>
        <v>15906.790119968387</v>
      </c>
      <c r="I204" s="252">
        <f t="shared" si="118"/>
        <v>17508.745173191826</v>
      </c>
      <c r="J204" s="252">
        <f t="shared" si="118"/>
        <v>19301.965636049204</v>
      </c>
      <c r="K204" s="252">
        <f t="shared" si="118"/>
        <v>21299.54628999743</v>
      </c>
      <c r="L204" s="252">
        <f t="shared" si="118"/>
        <v>23517.945738734783</v>
      </c>
      <c r="M204" s="252">
        <f t="shared" si="118"/>
        <v>25976.886798361949</v>
      </c>
      <c r="N204" s="252">
        <f t="shared" si="118"/>
        <v>28699.278106488746</v>
      </c>
      <c r="O204" s="252">
        <f t="shared" si="118"/>
        <v>31711.214787796041</v>
      </c>
      <c r="P204" s="252">
        <f t="shared" si="118"/>
        <v>35042.068299822073</v>
      </c>
      <c r="Q204" s="252">
        <f t="shared" si="118"/>
        <v>38724.658546895487</v>
      </c>
      <c r="R204" s="252">
        <f t="shared" si="118"/>
        <v>42795.498180840499</v>
      </c>
      <c r="S204" s="252">
        <f t="shared" si="118"/>
        <v>47295.100850342744</v>
      </c>
      <c r="T204" s="252">
        <f t="shared" si="118"/>
        <v>52268.348208348092</v>
      </c>
      <c r="U204" s="252">
        <f t="shared" si="118"/>
        <v>57764.913375236691</v>
      </c>
      <c r="V204" s="252">
        <f t="shared" si="118"/>
        <v>63839.740936257855</v>
      </c>
      <c r="W204" s="252">
        <f t="shared" si="118"/>
        <v>70553.585439578994</v>
      </c>
      <c r="X204" s="252">
        <f t="shared" si="118"/>
        <v>77973.611871028435</v>
      </c>
      <c r="Y204" s="252">
        <f t="shared" si="118"/>
        <v>0</v>
      </c>
      <c r="Z204" s="252">
        <f t="shared" si="118"/>
        <v>0</v>
      </c>
      <c r="AA204" s="252">
        <f t="shared" si="118"/>
        <v>0</v>
      </c>
      <c r="AB204" s="252">
        <f t="shared" si="118"/>
        <v>0</v>
      </c>
      <c r="AC204" s="252">
        <f t="shared" si="118"/>
        <v>0</v>
      </c>
      <c r="AD204" s="252">
        <f t="shared" si="118"/>
        <v>0</v>
      </c>
      <c r="AE204" s="252">
        <f t="shared" si="118"/>
        <v>0</v>
      </c>
      <c r="AF204" s="252">
        <f t="shared" si="118"/>
        <v>0</v>
      </c>
      <c r="AG204" s="252">
        <f t="shared" si="118"/>
        <v>0</v>
      </c>
      <c r="AH204" s="252">
        <f t="shared" si="118"/>
        <v>0</v>
      </c>
      <c r="AI204" s="252">
        <f t="shared" si="118"/>
        <v>0</v>
      </c>
      <c r="AJ204" s="252">
        <f t="shared" si="118"/>
        <v>0</v>
      </c>
      <c r="AK204" s="252">
        <f t="shared" si="118"/>
        <v>0</v>
      </c>
      <c r="AL204" s="252">
        <f t="shared" si="118"/>
        <v>0</v>
      </c>
      <c r="AM204" s="252">
        <f t="shared" si="118"/>
        <v>0</v>
      </c>
      <c r="AN204" s="252">
        <f t="shared" si="118"/>
        <v>0</v>
      </c>
      <c r="AO204" s="252">
        <f t="shared" si="118"/>
        <v>0</v>
      </c>
      <c r="AP204" s="252">
        <f t="shared" si="118"/>
        <v>0</v>
      </c>
      <c r="AQ204" s="252">
        <f t="shared" si="118"/>
        <v>0</v>
      </c>
      <c r="AR204" s="253">
        <f t="shared" si="118"/>
        <v>0</v>
      </c>
    </row>
    <row r="205" spans="1:44" s="13" customFormat="1">
      <c r="C205" s="138" t="s">
        <v>55</v>
      </c>
    </row>
    <row r="206" spans="1:44" s="13" customFormat="1">
      <c r="C206" s="254" t="s">
        <v>157</v>
      </c>
      <c r="D206" s="147">
        <f t="shared" ref="D206:AR206" si="119">IF(Year="",,WTP_Other*ExistTariff_Other*D195/DeflateFactor_Det)</f>
        <v>5062.5</v>
      </c>
      <c r="E206" s="148">
        <f t="shared" si="119"/>
        <v>5473.6854398838495</v>
      </c>
      <c r="F206" s="148">
        <f t="shared" si="119"/>
        <v>5958.2029649366259</v>
      </c>
      <c r="G206" s="148">
        <f t="shared" si="119"/>
        <v>6518.8496647814636</v>
      </c>
      <c r="H206" s="148">
        <f t="shared" si="119"/>
        <v>7158.0555539857751</v>
      </c>
      <c r="I206" s="148">
        <f t="shared" si="119"/>
        <v>7878.935327936324</v>
      </c>
      <c r="J206" s="148">
        <f t="shared" si="119"/>
        <v>8685.8845362221437</v>
      </c>
      <c r="K206" s="148">
        <f t="shared" si="119"/>
        <v>9584.7958304988442</v>
      </c>
      <c r="L206" s="148">
        <f t="shared" si="119"/>
        <v>10583.075582430653</v>
      </c>
      <c r="M206" s="148">
        <f t="shared" si="119"/>
        <v>11689.599059262877</v>
      </c>
      <c r="N206" s="148">
        <f t="shared" si="119"/>
        <v>12914.675147919936</v>
      </c>
      <c r="O206" s="148">
        <f t="shared" si="119"/>
        <v>14270.046654508218</v>
      </c>
      <c r="P206" s="148">
        <f t="shared" si="119"/>
        <v>15768.930734919932</v>
      </c>
      <c r="Q206" s="148">
        <f t="shared" si="119"/>
        <v>17426.096346102968</v>
      </c>
      <c r="R206" s="148">
        <f t="shared" si="119"/>
        <v>19257.974181378224</v>
      </c>
      <c r="S206" s="148">
        <f t="shared" si="119"/>
        <v>21282.795382654236</v>
      </c>
      <c r="T206" s="148">
        <f t="shared" si="119"/>
        <v>23520.756693756641</v>
      </c>
      <c r="U206" s="148">
        <f t="shared" si="119"/>
        <v>25994.211018856509</v>
      </c>
      <c r="V206" s="148">
        <f t="shared" si="119"/>
        <v>28727.883421316037</v>
      </c>
      <c r="W206" s="148">
        <f t="shared" si="119"/>
        <v>31749.113447810549</v>
      </c>
      <c r="X206" s="148">
        <f t="shared" si="119"/>
        <v>35088.125341962797</v>
      </c>
      <c r="Y206" s="148">
        <f t="shared" si="119"/>
        <v>0</v>
      </c>
      <c r="Z206" s="148">
        <f t="shared" si="119"/>
        <v>0</v>
      </c>
      <c r="AA206" s="148">
        <f t="shared" si="119"/>
        <v>0</v>
      </c>
      <c r="AB206" s="148">
        <f t="shared" si="119"/>
        <v>0</v>
      </c>
      <c r="AC206" s="148">
        <f t="shared" si="119"/>
        <v>0</v>
      </c>
      <c r="AD206" s="148">
        <f t="shared" si="119"/>
        <v>0</v>
      </c>
      <c r="AE206" s="148">
        <f t="shared" si="119"/>
        <v>0</v>
      </c>
      <c r="AF206" s="148">
        <f t="shared" si="119"/>
        <v>0</v>
      </c>
      <c r="AG206" s="148">
        <f t="shared" si="119"/>
        <v>0</v>
      </c>
      <c r="AH206" s="148">
        <f t="shared" si="119"/>
        <v>0</v>
      </c>
      <c r="AI206" s="148">
        <f t="shared" si="119"/>
        <v>0</v>
      </c>
      <c r="AJ206" s="148">
        <f t="shared" si="119"/>
        <v>0</v>
      </c>
      <c r="AK206" s="148">
        <f t="shared" si="119"/>
        <v>0</v>
      </c>
      <c r="AL206" s="148">
        <f t="shared" si="119"/>
        <v>0</v>
      </c>
      <c r="AM206" s="148">
        <f t="shared" si="119"/>
        <v>0</v>
      </c>
      <c r="AN206" s="148">
        <f t="shared" si="119"/>
        <v>0</v>
      </c>
      <c r="AO206" s="148">
        <f t="shared" si="119"/>
        <v>0</v>
      </c>
      <c r="AP206" s="148">
        <f t="shared" si="119"/>
        <v>0</v>
      </c>
      <c r="AQ206" s="148">
        <f t="shared" si="119"/>
        <v>0</v>
      </c>
      <c r="AR206" s="149">
        <f t="shared" si="119"/>
        <v>0</v>
      </c>
    </row>
    <row r="207" spans="1:44" s="13" customFormat="1">
      <c r="C207" s="193" t="s">
        <v>159</v>
      </c>
      <c r="D207" s="150">
        <f t="shared" ref="D207:AR207" si="120">IF(Year="",,(WTP_Cope*CopingCost)/DeflateFactor_Det)</f>
        <v>1300</v>
      </c>
      <c r="E207" s="151">
        <f t="shared" si="120"/>
        <v>1377.7558455613723</v>
      </c>
      <c r="F207" s="151">
        <f t="shared" si="120"/>
        <v>1470.0152159107797</v>
      </c>
      <c r="G207" s="151">
        <f t="shared" si="120"/>
        <v>1576.4914248447167</v>
      </c>
      <c r="H207" s="151">
        <f t="shared" si="120"/>
        <v>1696.7967441572919</v>
      </c>
      <c r="I207" s="151">
        <f t="shared" si="120"/>
        <v>1830.6967207314317</v>
      </c>
      <c r="J207" s="151">
        <f t="shared" si="120"/>
        <v>1978.2311225645897</v>
      </c>
      <c r="K207" s="151">
        <f t="shared" si="120"/>
        <v>2139.7348240628939</v>
      </c>
      <c r="L207" s="151">
        <f t="shared" si="120"/>
        <v>2315.8109162363908</v>
      </c>
      <c r="M207" s="151">
        <f t="shared" si="120"/>
        <v>2507.2920574432724</v>
      </c>
      <c r="N207" s="151">
        <f t="shared" si="120"/>
        <v>2715.2067599996417</v>
      </c>
      <c r="O207" s="151">
        <f t="shared" si="120"/>
        <v>2940.7555347077046</v>
      </c>
      <c r="P207" s="151">
        <f t="shared" si="120"/>
        <v>3185.2966581554006</v>
      </c>
      <c r="Q207" s="151">
        <f t="shared" si="120"/>
        <v>3450.3397508418684</v>
      </c>
      <c r="R207" s="151">
        <f t="shared" si="120"/>
        <v>3737.5452668756038</v>
      </c>
      <c r="S207" s="151">
        <f t="shared" si="120"/>
        <v>4048.7283730299851</v>
      </c>
      <c r="T207" s="151">
        <f t="shared" si="120"/>
        <v>4385.8661277512601</v>
      </c>
      <c r="U207" s="151">
        <f t="shared" si="120"/>
        <v>4751.1072309938099</v>
      </c>
      <c r="V207" s="151">
        <f t="shared" si="120"/>
        <v>5146.7838833649121</v>
      </c>
      <c r="W207" s="151">
        <f t="shared" si="120"/>
        <v>5575.4254820269643</v>
      </c>
      <c r="X207" s="151">
        <f t="shared" si="120"/>
        <v>6039.774011434557</v>
      </c>
      <c r="Y207" s="151">
        <f t="shared" si="120"/>
        <v>0</v>
      </c>
      <c r="Z207" s="151">
        <f t="shared" si="120"/>
        <v>0</v>
      </c>
      <c r="AA207" s="151">
        <f t="shared" si="120"/>
        <v>0</v>
      </c>
      <c r="AB207" s="151">
        <f t="shared" si="120"/>
        <v>0</v>
      </c>
      <c r="AC207" s="151">
        <f t="shared" si="120"/>
        <v>0</v>
      </c>
      <c r="AD207" s="151">
        <f t="shared" si="120"/>
        <v>0</v>
      </c>
      <c r="AE207" s="151">
        <f t="shared" si="120"/>
        <v>0</v>
      </c>
      <c r="AF207" s="151">
        <f t="shared" si="120"/>
        <v>0</v>
      </c>
      <c r="AG207" s="151">
        <f t="shared" si="120"/>
        <v>0</v>
      </c>
      <c r="AH207" s="151">
        <f t="shared" si="120"/>
        <v>0</v>
      </c>
      <c r="AI207" s="151">
        <f t="shared" si="120"/>
        <v>0</v>
      </c>
      <c r="AJ207" s="151">
        <f t="shared" si="120"/>
        <v>0</v>
      </c>
      <c r="AK207" s="151">
        <f t="shared" si="120"/>
        <v>0</v>
      </c>
      <c r="AL207" s="151">
        <f t="shared" si="120"/>
        <v>0</v>
      </c>
      <c r="AM207" s="151">
        <f t="shared" si="120"/>
        <v>0</v>
      </c>
      <c r="AN207" s="151">
        <f t="shared" si="120"/>
        <v>0</v>
      </c>
      <c r="AO207" s="151">
        <f t="shared" si="120"/>
        <v>0</v>
      </c>
      <c r="AP207" s="151">
        <f t="shared" si="120"/>
        <v>0</v>
      </c>
      <c r="AQ207" s="151">
        <f t="shared" si="120"/>
        <v>0</v>
      </c>
      <c r="AR207" s="152">
        <f t="shared" si="120"/>
        <v>0</v>
      </c>
    </row>
    <row r="208" spans="1:44" s="13" customFormat="1">
      <c r="B208" s="181" t="s">
        <v>161</v>
      </c>
    </row>
    <row r="209" spans="2:44" s="13" customFormat="1">
      <c r="C209" s="138" t="s">
        <v>156</v>
      </c>
      <c r="D209" s="147">
        <f t="shared" ref="D209:AR209" si="121">IF(Year="",,IF(Year="",,(D$199-D198)*$D$17*DeflateFactor_Det*DiscountFactor/MonDenValue))</f>
        <v>0</v>
      </c>
      <c r="E209" s="148">
        <f t="shared" si="121"/>
        <v>-57.541478773900216</v>
      </c>
      <c r="F209" s="148">
        <f t="shared" si="121"/>
        <v>-54.73514773901713</v>
      </c>
      <c r="G209" s="148">
        <f t="shared" si="121"/>
        <v>-52.065683083746819</v>
      </c>
      <c r="H209" s="148">
        <f t="shared" si="121"/>
        <v>-49.526409755989043</v>
      </c>
      <c r="I209" s="148">
        <f t="shared" si="121"/>
        <v>-47.110978249776025</v>
      </c>
      <c r="J209" s="148">
        <f t="shared" si="121"/>
        <v>-53.757859202499603</v>
      </c>
      <c r="K209" s="148">
        <f t="shared" si="121"/>
        <v>-51.136057471584124</v>
      </c>
      <c r="L209" s="148">
        <f t="shared" si="121"/>
        <v>-48.642122519930382</v>
      </c>
      <c r="M209" s="148">
        <f t="shared" si="121"/>
        <v>-46.269818211126598</v>
      </c>
      <c r="N209" s="148">
        <f t="shared" si="121"/>
        <v>-44.013212548722628</v>
      </c>
      <c r="O209" s="148">
        <f t="shared" si="121"/>
        <v>-67.679824080221678</v>
      </c>
      <c r="P209" s="148">
        <f t="shared" si="121"/>
        <v>-64.379040110138831</v>
      </c>
      <c r="Q209" s="148">
        <f t="shared" si="121"/>
        <v>-61.239237273875759</v>
      </c>
      <c r="R209" s="148">
        <f t="shared" si="121"/>
        <v>-58.25256442889151</v>
      </c>
      <c r="S209" s="148">
        <f t="shared" si="121"/>
        <v>-55.4115533373852</v>
      </c>
      <c r="T209" s="148">
        <f t="shared" si="121"/>
        <v>-84.659004893029248</v>
      </c>
      <c r="U209" s="148">
        <f t="shared" si="121"/>
        <v>-80.530136503199316</v>
      </c>
      <c r="V209" s="148">
        <f t="shared" si="121"/>
        <v>-76.602635400902258</v>
      </c>
      <c r="W209" s="148">
        <f t="shared" si="121"/>
        <v>-72.866680787638245</v>
      </c>
      <c r="X209" s="148">
        <f t="shared" si="121"/>
        <v>-69.312930830902332</v>
      </c>
      <c r="Y209" s="148">
        <f t="shared" si="121"/>
        <v>0</v>
      </c>
      <c r="Z209" s="148">
        <f t="shared" si="121"/>
        <v>0</v>
      </c>
      <c r="AA209" s="148">
        <f t="shared" si="121"/>
        <v>0</v>
      </c>
      <c r="AB209" s="148">
        <f t="shared" si="121"/>
        <v>0</v>
      </c>
      <c r="AC209" s="148">
        <f t="shared" si="121"/>
        <v>0</v>
      </c>
      <c r="AD209" s="148">
        <f t="shared" si="121"/>
        <v>0</v>
      </c>
      <c r="AE209" s="148">
        <f t="shared" si="121"/>
        <v>0</v>
      </c>
      <c r="AF209" s="148">
        <f t="shared" si="121"/>
        <v>0</v>
      </c>
      <c r="AG209" s="148">
        <f t="shared" si="121"/>
        <v>0</v>
      </c>
      <c r="AH209" s="148">
        <f t="shared" si="121"/>
        <v>0</v>
      </c>
      <c r="AI209" s="148">
        <f t="shared" si="121"/>
        <v>0</v>
      </c>
      <c r="AJ209" s="148">
        <f t="shared" si="121"/>
        <v>0</v>
      </c>
      <c r="AK209" s="148">
        <f t="shared" si="121"/>
        <v>0</v>
      </c>
      <c r="AL209" s="148">
        <f t="shared" si="121"/>
        <v>0</v>
      </c>
      <c r="AM209" s="148">
        <f t="shared" si="121"/>
        <v>0</v>
      </c>
      <c r="AN209" s="148">
        <f t="shared" si="121"/>
        <v>0</v>
      </c>
      <c r="AO209" s="148">
        <f t="shared" si="121"/>
        <v>0</v>
      </c>
      <c r="AP209" s="148">
        <f t="shared" si="121"/>
        <v>0</v>
      </c>
      <c r="AQ209" s="148">
        <f t="shared" si="121"/>
        <v>0</v>
      </c>
      <c r="AR209" s="149">
        <f t="shared" si="121"/>
        <v>0</v>
      </c>
    </row>
    <row r="210" spans="2:44" s="13" customFormat="1">
      <c r="C210" s="138" t="s">
        <v>55</v>
      </c>
      <c r="D210" s="150">
        <f>IF(Year="",,(D$206+D$207-D$200-D$202+D$204-D198)*Connections_New*DeflateFactor_Det*DiscountFactor/MonDenValue)</f>
        <v>0</v>
      </c>
      <c r="E210" s="151">
        <f>IF(Year="",,(E$206+E$207-E$200-E$202+E$204-E198)*Connections_New*DeflateFactor_Det*DiscountFactor/MonDenValue)</f>
        <v>1.645111690401911</v>
      </c>
      <c r="F210" s="151">
        <f t="shared" ref="F210:AR210" si="122">IF(Year="",,IF(Year="",,E210+(F$206+F$207-F$200-F$202+F$204-F198)*Connections_New*DeflateFactor_Det*DiscountFactor/MonDenValue))</f>
        <v>4.2584447026896237</v>
      </c>
      <c r="G210" s="151">
        <f t="shared" si="122"/>
        <v>10.57055073046776</v>
      </c>
      <c r="H210" s="151">
        <f t="shared" si="122"/>
        <v>24.300059375351317</v>
      </c>
      <c r="I210" s="151">
        <f t="shared" si="122"/>
        <v>48.192985829500145</v>
      </c>
      <c r="J210" s="151">
        <f t="shared" si="122"/>
        <v>74.506293088605432</v>
      </c>
      <c r="K210" s="151">
        <f t="shared" si="122"/>
        <v>94.428783502653431</v>
      </c>
      <c r="L210" s="151">
        <f t="shared" si="122"/>
        <v>104.76910804552371</v>
      </c>
      <c r="M210" s="151">
        <f t="shared" si="122"/>
        <v>109.0630718506406</v>
      </c>
      <c r="N210" s="151">
        <f t="shared" si="122"/>
        <v>111.63300615650726</v>
      </c>
      <c r="O210" s="151">
        <f t="shared" si="122"/>
        <v>111.63300615650726</v>
      </c>
      <c r="P210" s="151">
        <f t="shared" si="122"/>
        <v>111.63300615650726</v>
      </c>
      <c r="Q210" s="151">
        <f t="shared" si="122"/>
        <v>111.63300615650726</v>
      </c>
      <c r="R210" s="151">
        <f t="shared" si="122"/>
        <v>111.63300615650726</v>
      </c>
      <c r="S210" s="151">
        <f t="shared" si="122"/>
        <v>111.63300615650726</v>
      </c>
      <c r="T210" s="151">
        <f t="shared" si="122"/>
        <v>111.63300615650726</v>
      </c>
      <c r="U210" s="151">
        <f t="shared" si="122"/>
        <v>111.63300615650726</v>
      </c>
      <c r="V210" s="151">
        <f t="shared" si="122"/>
        <v>111.63300615650726</v>
      </c>
      <c r="W210" s="151">
        <f t="shared" si="122"/>
        <v>111.63300615650726</v>
      </c>
      <c r="X210" s="151">
        <f t="shared" si="122"/>
        <v>111.63300615650726</v>
      </c>
      <c r="Y210" s="151">
        <f t="shared" si="122"/>
        <v>0</v>
      </c>
      <c r="Z210" s="151">
        <f t="shared" si="122"/>
        <v>0</v>
      </c>
      <c r="AA210" s="151">
        <f t="shared" si="122"/>
        <v>0</v>
      </c>
      <c r="AB210" s="151">
        <f t="shared" si="122"/>
        <v>0</v>
      </c>
      <c r="AC210" s="151">
        <f t="shared" si="122"/>
        <v>0</v>
      </c>
      <c r="AD210" s="151">
        <f t="shared" si="122"/>
        <v>0</v>
      </c>
      <c r="AE210" s="151">
        <f t="shared" si="122"/>
        <v>0</v>
      </c>
      <c r="AF210" s="151">
        <f t="shared" si="122"/>
        <v>0</v>
      </c>
      <c r="AG210" s="151">
        <f t="shared" si="122"/>
        <v>0</v>
      </c>
      <c r="AH210" s="151">
        <f t="shared" si="122"/>
        <v>0</v>
      </c>
      <c r="AI210" s="151">
        <f t="shared" si="122"/>
        <v>0</v>
      </c>
      <c r="AJ210" s="151">
        <f t="shared" si="122"/>
        <v>0</v>
      </c>
      <c r="AK210" s="151">
        <f t="shared" si="122"/>
        <v>0</v>
      </c>
      <c r="AL210" s="151">
        <f t="shared" si="122"/>
        <v>0</v>
      </c>
      <c r="AM210" s="151">
        <f t="shared" si="122"/>
        <v>0</v>
      </c>
      <c r="AN210" s="151">
        <f t="shared" si="122"/>
        <v>0</v>
      </c>
      <c r="AO210" s="151">
        <f t="shared" si="122"/>
        <v>0</v>
      </c>
      <c r="AP210" s="151">
        <f t="shared" si="122"/>
        <v>0</v>
      </c>
      <c r="AQ210" s="151">
        <f t="shared" si="122"/>
        <v>0</v>
      </c>
      <c r="AR210" s="152">
        <f t="shared" si="122"/>
        <v>0</v>
      </c>
    </row>
    <row r="211" spans="2:44" s="3" customFormat="1">
      <c r="B211" s="40"/>
    </row>
    <row r="212" spans="2:44" s="3" customFormat="1" ht="13.8" thickBot="1">
      <c r="B212" s="40"/>
    </row>
    <row r="213" spans="2:44" s="78" customFormat="1"/>
  </sheetData>
  <sheetProtection sheet="1" objects="1" scenarios="1"/>
  <conditionalFormatting sqref="D33:AR34 D15:AR18 D20:AR21 D23:AR24 D30:AR31 E38:AR39 E84:AR86 E90:AR92 E94:AR96 D100:AR103 D105:AR108 E179:AR180 D209:AR210 E162:AR167 E140:AR141 D135:AR136 D110:AR112 E188:AR189 E153:AR154 D128 D206:AR207 D202:AR202 D204:AR204 D194:AR195 D198:AR200 D8:AR9 E114:AR115 E158:AR159 D11:AR11 D4:AR6 E117:AR122 E130:AR132 D132 E126:AR128 D148:AR148 E170:AR171 E150:AR151 E176:AR177 E185:AR186 E143:AR144">
    <cfRule type="expression" dxfId="13" priority="1" stopIfTrue="1">
      <formula>D$2=""</formula>
    </cfRule>
    <cfRule type="expression" dxfId="12" priority="2" stopIfTrue="1">
      <formula>D$2=Contract_Length</formula>
    </cfRule>
  </conditionalFormatting>
  <conditionalFormatting sqref="E42:AR82">
    <cfRule type="expression" dxfId="11" priority="3" stopIfTrue="1">
      <formula>E$2=""</formula>
    </cfRule>
    <cfRule type="expression" dxfId="10" priority="4" stopIfTrue="1">
      <formula>E42=0</formula>
    </cfRule>
  </conditionalFormatting>
  <conditionalFormatting sqref="D42:D82">
    <cfRule type="cellIs" dxfId="9" priority="5" stopIfTrue="1" operator="equal">
      <formula>0</formula>
    </cfRule>
  </conditionalFormatting>
  <pageMargins left="0.75" right="0.75" top="1" bottom="1" header="0.5" footer="0.5"/>
  <pageSetup paperSize="9" scale="50" fitToHeight="2" orientation="portrait"/>
  <headerFooter>
    <oddHeader>&amp;LPAGE &amp;P OF  &amp;N&amp;C&amp;F</oddHeader>
    <oddFooter>&amp;L&amp;A&amp;R&amp;D &amp;T</oddFooter>
  </headerFooter>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tRisk">
    <pageSetUpPr autoPageBreaks="0" fitToPage="1"/>
  </sheetPr>
  <dimension ref="A1:BL228"/>
  <sheetViews>
    <sheetView zoomScale="85" zoomScaleNormal="75" zoomScalePageLayoutView="75" workbookViewId="0">
      <pane xSplit="3" ySplit="2" topLeftCell="D207" activePane="bottomRight" state="frozen"/>
      <selection activeCell="A1003" sqref="A1003:XFD1003"/>
      <selection pane="topRight" activeCell="A1003" sqref="A1003:XFD1003"/>
      <selection pane="bottomLeft" activeCell="A1003" sqref="A1003:XFD1003"/>
      <selection pane="bottomRight" activeCell="D223" sqref="D223"/>
    </sheetView>
  </sheetViews>
  <sheetFormatPr defaultColWidth="9.109375" defaultRowHeight="13.2"/>
  <cols>
    <col min="1" max="1" width="2.6640625" style="114" customWidth="1"/>
    <col min="2" max="2" width="2.88671875" style="114" customWidth="1"/>
    <col min="3" max="3" width="31.44140625" style="114" customWidth="1"/>
    <col min="4" max="23" width="12.6640625" style="114" customWidth="1"/>
    <col min="24" max="24" width="14.44140625" style="114" customWidth="1"/>
    <col min="25" max="44" width="12.6640625" style="114" customWidth="1"/>
    <col min="45" max="16384" width="9.109375" style="114"/>
  </cols>
  <sheetData>
    <row r="1" spans="1:58" s="2" customFormat="1" ht="37.5" customHeight="1" thickBot="1">
      <c r="B1" s="1" t="s">
        <v>162</v>
      </c>
      <c r="E1" s="1"/>
      <c r="G1" s="1"/>
    </row>
    <row r="2" spans="1:58" s="130" customFormat="1" ht="21" customHeight="1">
      <c r="A2" s="128"/>
      <c r="B2" s="129" t="s">
        <v>101</v>
      </c>
      <c r="D2" s="131">
        <v>0</v>
      </c>
      <c r="E2" s="131">
        <f t="shared" ref="E2:AR2" si="0">IF(COLUMN()-4&gt;Contract_Length,"",D2+1)</f>
        <v>1</v>
      </c>
      <c r="F2" s="131">
        <f t="shared" si="0"/>
        <v>2</v>
      </c>
      <c r="G2" s="131">
        <f t="shared" si="0"/>
        <v>3</v>
      </c>
      <c r="H2" s="131">
        <f t="shared" si="0"/>
        <v>4</v>
      </c>
      <c r="I2" s="131">
        <f t="shared" si="0"/>
        <v>5</v>
      </c>
      <c r="J2" s="131">
        <f t="shared" si="0"/>
        <v>6</v>
      </c>
      <c r="K2" s="131">
        <f t="shared" si="0"/>
        <v>7</v>
      </c>
      <c r="L2" s="131">
        <f t="shared" si="0"/>
        <v>8</v>
      </c>
      <c r="M2" s="131">
        <f t="shared" si="0"/>
        <v>9</v>
      </c>
      <c r="N2" s="131">
        <f t="shared" si="0"/>
        <v>10</v>
      </c>
      <c r="O2" s="131">
        <f t="shared" si="0"/>
        <v>11</v>
      </c>
      <c r="P2" s="131">
        <f t="shared" si="0"/>
        <v>12</v>
      </c>
      <c r="Q2" s="131">
        <f t="shared" si="0"/>
        <v>13</v>
      </c>
      <c r="R2" s="131">
        <f t="shared" si="0"/>
        <v>14</v>
      </c>
      <c r="S2" s="131">
        <f t="shared" si="0"/>
        <v>15</v>
      </c>
      <c r="T2" s="131">
        <f t="shared" si="0"/>
        <v>16</v>
      </c>
      <c r="U2" s="131">
        <f t="shared" si="0"/>
        <v>17</v>
      </c>
      <c r="V2" s="131">
        <f t="shared" si="0"/>
        <v>18</v>
      </c>
      <c r="W2" s="131">
        <f t="shared" si="0"/>
        <v>19</v>
      </c>
      <c r="X2" s="131">
        <f t="shared" si="0"/>
        <v>20</v>
      </c>
      <c r="Y2" s="131" t="str">
        <f>IF(COLUMN()-4&gt;Contract_Length,"",X2+1)</f>
        <v/>
      </c>
      <c r="Z2" s="131" t="str">
        <f t="shared" si="0"/>
        <v/>
      </c>
      <c r="AA2" s="131" t="str">
        <f t="shared" si="0"/>
        <v/>
      </c>
      <c r="AB2" s="131" t="str">
        <f t="shared" si="0"/>
        <v/>
      </c>
      <c r="AC2" s="131" t="str">
        <f t="shared" si="0"/>
        <v/>
      </c>
      <c r="AD2" s="131" t="str">
        <f t="shared" si="0"/>
        <v/>
      </c>
      <c r="AE2" s="131" t="str">
        <f t="shared" si="0"/>
        <v/>
      </c>
      <c r="AF2" s="131" t="str">
        <f t="shared" si="0"/>
        <v/>
      </c>
      <c r="AG2" s="131" t="str">
        <f t="shared" si="0"/>
        <v/>
      </c>
      <c r="AH2" s="131" t="str">
        <f t="shared" si="0"/>
        <v/>
      </c>
      <c r="AI2" s="131" t="str">
        <f t="shared" si="0"/>
        <v/>
      </c>
      <c r="AJ2" s="131" t="str">
        <f t="shared" si="0"/>
        <v/>
      </c>
      <c r="AK2" s="131" t="str">
        <f t="shared" si="0"/>
        <v/>
      </c>
      <c r="AL2" s="131" t="str">
        <f t="shared" si="0"/>
        <v/>
      </c>
      <c r="AM2" s="131" t="str">
        <f t="shared" si="0"/>
        <v/>
      </c>
      <c r="AN2" s="131" t="str">
        <f t="shared" si="0"/>
        <v/>
      </c>
      <c r="AO2" s="131" t="str">
        <f t="shared" si="0"/>
        <v/>
      </c>
      <c r="AP2" s="131" t="str">
        <f t="shared" si="0"/>
        <v/>
      </c>
      <c r="AQ2" s="131" t="str">
        <f t="shared" si="0"/>
        <v/>
      </c>
      <c r="AR2" s="131" t="str">
        <f t="shared" si="0"/>
        <v/>
      </c>
      <c r="AS2" s="131"/>
    </row>
    <row r="3" spans="1:58" s="45" customFormat="1" ht="17.399999999999999">
      <c r="A3" s="43" t="s">
        <v>39</v>
      </c>
      <c r="B3" s="44"/>
      <c r="C3" s="44"/>
      <c r="E3" s="255"/>
      <c r="F3" s="255"/>
      <c r="G3" s="255"/>
      <c r="H3" s="255"/>
      <c r="I3" s="255"/>
      <c r="J3" s="255"/>
      <c r="K3" s="255"/>
      <c r="L3" s="255"/>
      <c r="M3" s="255"/>
      <c r="N3" s="255"/>
      <c r="O3" s="255"/>
    </row>
    <row r="4" spans="1:58" s="74" customFormat="1" ht="12" customHeight="1">
      <c r="B4" s="12" t="s">
        <v>42</v>
      </c>
      <c r="C4" s="132"/>
      <c r="D4" s="133">
        <f>Inflation_Cur</f>
        <v>0.05</v>
      </c>
      <c r="E4" s="134">
        <f ca="1">D4*EXP(Inflation_Speed*(Inflation_LT-D4)-Inflation_Vol*Inflation_Vol/2+Inflation_Vol*NORMSINV(RAND()))</f>
        <v>5.8062380620419053E-2</v>
      </c>
      <c r="F4" s="134">
        <f t="shared" ref="F4:AR4" ca="1" si="1">E4*EXP(Inflation_Speed*(Inflation_LT-E4)-Inflation_Vol*Inflation_Vol/2+Inflation_Vol*NORMSINV(RAND()))</f>
        <v>6.5206959906419573E-2</v>
      </c>
      <c r="G4" s="134">
        <f t="shared" ca="1" si="1"/>
        <v>7.0015593622106853E-2</v>
      </c>
      <c r="H4" s="134">
        <f t="shared" ca="1" si="1"/>
        <v>7.3888188425965756E-2</v>
      </c>
      <c r="I4" s="134">
        <f t="shared" ca="1" si="1"/>
        <v>7.7816887244429922E-2</v>
      </c>
      <c r="J4" s="134">
        <f t="shared" ca="1" si="1"/>
        <v>7.9098516926643561E-2</v>
      </c>
      <c r="K4" s="134">
        <f t="shared" ca="1" si="1"/>
        <v>7.8060453474032024E-2</v>
      </c>
      <c r="L4" s="134">
        <f t="shared" ca="1" si="1"/>
        <v>7.8393443503435231E-2</v>
      </c>
      <c r="M4" s="134">
        <f t="shared" ca="1" si="1"/>
        <v>7.7039820899016204E-2</v>
      </c>
      <c r="N4" s="134">
        <f t="shared" ca="1" si="1"/>
        <v>7.7138621588835263E-2</v>
      </c>
      <c r="O4" s="135">
        <f t="shared" ca="1" si="1"/>
        <v>7.8186789952475841E-2</v>
      </c>
      <c r="P4" s="135">
        <f t="shared" ca="1" si="1"/>
        <v>7.8661362962463108E-2</v>
      </c>
      <c r="Q4" s="135">
        <f t="shared" ca="1" si="1"/>
        <v>8.0179013038944272E-2</v>
      </c>
      <c r="R4" s="135">
        <f t="shared" ca="1" si="1"/>
        <v>8.1485452194043503E-2</v>
      </c>
      <c r="S4" s="135">
        <f t="shared" ca="1" si="1"/>
        <v>8.1639725760576487E-2</v>
      </c>
      <c r="T4" s="135">
        <f t="shared" ca="1" si="1"/>
        <v>7.9958575832113035E-2</v>
      </c>
      <c r="U4" s="135">
        <f t="shared" ca="1" si="1"/>
        <v>7.6320756725442043E-2</v>
      </c>
      <c r="V4" s="135">
        <f t="shared" ca="1" si="1"/>
        <v>7.6315381242437974E-2</v>
      </c>
      <c r="W4" s="135">
        <f t="shared" ca="1" si="1"/>
        <v>7.6926158553218632E-2</v>
      </c>
      <c r="X4" s="135">
        <f t="shared" ca="1" si="1"/>
        <v>7.6240751804830614E-2</v>
      </c>
      <c r="Y4" s="135">
        <f t="shared" ca="1" si="1"/>
        <v>7.6010347530552053E-2</v>
      </c>
      <c r="Z4" s="135">
        <f t="shared" ca="1" si="1"/>
        <v>7.9610249675459363E-2</v>
      </c>
      <c r="AA4" s="135">
        <f t="shared" ca="1" si="1"/>
        <v>8.0139480008624475E-2</v>
      </c>
      <c r="AB4" s="135">
        <f t="shared" ca="1" si="1"/>
        <v>8.1026448608845628E-2</v>
      </c>
      <c r="AC4" s="135">
        <f t="shared" ca="1" si="1"/>
        <v>7.8481770666585612E-2</v>
      </c>
      <c r="AD4" s="135">
        <f t="shared" ca="1" si="1"/>
        <v>7.8712133494757475E-2</v>
      </c>
      <c r="AE4" s="135">
        <f t="shared" ca="1" si="1"/>
        <v>7.9429196560054691E-2</v>
      </c>
      <c r="AF4" s="135">
        <f t="shared" ca="1" si="1"/>
        <v>8.1774713452786627E-2</v>
      </c>
      <c r="AG4" s="135">
        <f t="shared" ca="1" si="1"/>
        <v>8.0260744571418269E-2</v>
      </c>
      <c r="AH4" s="135">
        <f t="shared" ca="1" si="1"/>
        <v>8.1228133584697701E-2</v>
      </c>
      <c r="AI4" s="135">
        <f t="shared" ca="1" si="1"/>
        <v>8.2914779612728168E-2</v>
      </c>
      <c r="AJ4" s="135">
        <f t="shared" ca="1" si="1"/>
        <v>7.7909759387992147E-2</v>
      </c>
      <c r="AK4" s="135">
        <f t="shared" ca="1" si="1"/>
        <v>7.6273213390943839E-2</v>
      </c>
      <c r="AL4" s="135">
        <f t="shared" ca="1" si="1"/>
        <v>7.8480301992638668E-2</v>
      </c>
      <c r="AM4" s="135">
        <f t="shared" ca="1" si="1"/>
        <v>7.7500557713208337E-2</v>
      </c>
      <c r="AN4" s="135">
        <f t="shared" ca="1" si="1"/>
        <v>7.8959510860053428E-2</v>
      </c>
      <c r="AO4" s="135">
        <f t="shared" ca="1" si="1"/>
        <v>7.9631961351180808E-2</v>
      </c>
      <c r="AP4" s="135">
        <f t="shared" ca="1" si="1"/>
        <v>7.9851495446006088E-2</v>
      </c>
      <c r="AQ4" s="135">
        <f t="shared" ca="1" si="1"/>
        <v>8.3030651425410537E-2</v>
      </c>
      <c r="AR4" s="136">
        <f t="shared" ca="1" si="1"/>
        <v>8.2693614886024669E-2</v>
      </c>
    </row>
    <row r="5" spans="1:58" s="137" customFormat="1" ht="12" customHeight="1">
      <c r="B5" s="138"/>
      <c r="C5" s="139" t="s">
        <v>102</v>
      </c>
      <c r="D5" s="140">
        <v>100</v>
      </c>
      <c r="E5" s="141">
        <f ca="1">D5*EXP(E4)</f>
        <v>105.97811034510869</v>
      </c>
      <c r="F5" s="141">
        <f t="shared" ref="F5:AR5" ca="1" si="2">E5*EXP(F4)</f>
        <v>113.11890549765242</v>
      </c>
      <c r="G5" s="141">
        <f t="shared" ca="1" si="2"/>
        <v>121.32284344857803</v>
      </c>
      <c r="H5" s="141">
        <f t="shared" ca="1" si="2"/>
        <v>130.62665709887381</v>
      </c>
      <c r="I5" s="141">
        <f t="shared" ca="1" si="2"/>
        <v>141.19758137037337</v>
      </c>
      <c r="J5" s="141">
        <f t="shared" ca="1" si="2"/>
        <v>152.81968740924935</v>
      </c>
      <c r="K5" s="141">
        <f t="shared" ca="1" si="2"/>
        <v>165.22681498207288</v>
      </c>
      <c r="L5" s="141">
        <f t="shared" ca="1" si="2"/>
        <v>178.70074831606578</v>
      </c>
      <c r="M5" s="141">
        <f t="shared" ca="1" si="2"/>
        <v>193.01201302304673</v>
      </c>
      <c r="N5" s="141">
        <f t="shared" ca="1" si="2"/>
        <v>208.4899945253508</v>
      </c>
      <c r="O5" s="141">
        <f t="shared" ca="1" si="2"/>
        <v>225.44536418351575</v>
      </c>
      <c r="P5" s="141">
        <f t="shared" ca="1" si="2"/>
        <v>243.89534152825962</v>
      </c>
      <c r="Q5" s="141">
        <f t="shared" ca="1" si="2"/>
        <v>264.25597037416981</v>
      </c>
      <c r="R5" s="141">
        <f t="shared" ca="1" si="2"/>
        <v>286.69062433451279</v>
      </c>
      <c r="S5" s="141">
        <f t="shared" ca="1" si="2"/>
        <v>311.07791025904106</v>
      </c>
      <c r="T5" s="141">
        <f t="shared" ca="1" si="2"/>
        <v>336.97271811940163</v>
      </c>
      <c r="U5" s="141">
        <f t="shared" ca="1" si="2"/>
        <v>363.6975911037693</v>
      </c>
      <c r="V5" s="141">
        <f t="shared" ca="1" si="2"/>
        <v>392.53986930381234</v>
      </c>
      <c r="W5" s="141">
        <f t="shared" ca="1" si="2"/>
        <v>423.9282708771409</v>
      </c>
      <c r="X5" s="141">
        <f t="shared" ca="1" si="2"/>
        <v>457.51287219537409</v>
      </c>
      <c r="Y5" s="141">
        <f t="shared" ca="1" si="2"/>
        <v>493.6443742678303</v>
      </c>
      <c r="Z5" s="141">
        <f t="shared" ca="1" si="2"/>
        <v>534.55018496098342</v>
      </c>
      <c r="AA5" s="141">
        <f t="shared" ca="1" si="2"/>
        <v>579.15207689482554</v>
      </c>
      <c r="AB5" s="141">
        <f t="shared" ca="1" si="2"/>
        <v>628.03226723106036</v>
      </c>
      <c r="AC5" s="141">
        <f t="shared" ca="1" si="2"/>
        <v>679.30710589472574</v>
      </c>
      <c r="AD5" s="141">
        <f t="shared" ca="1" si="2"/>
        <v>734.93749167104954</v>
      </c>
      <c r="AE5" s="141">
        <f t="shared" ca="1" si="2"/>
        <v>795.69396577410771</v>
      </c>
      <c r="AF5" s="141">
        <f t="shared" ca="1" si="2"/>
        <v>863.49608203036871</v>
      </c>
      <c r="AG5" s="141">
        <f t="shared" ca="1" si="2"/>
        <v>935.65807461128145</v>
      </c>
      <c r="AH5" s="141">
        <f t="shared" ca="1" si="2"/>
        <v>1014.8318760734981</v>
      </c>
      <c r="AI5" s="141">
        <f t="shared" ca="1" si="2"/>
        <v>1102.5632971263224</v>
      </c>
      <c r="AJ5" s="141">
        <f t="shared" ca="1" si="2"/>
        <v>1191.8986006289099</v>
      </c>
      <c r="AK5" s="141">
        <f t="shared" ca="1" si="2"/>
        <v>1286.3653865119163</v>
      </c>
      <c r="AL5" s="141">
        <f t="shared" ca="1" si="2"/>
        <v>1391.3868921199162</v>
      </c>
      <c r="AM5" s="141">
        <f t="shared" ca="1" si="2"/>
        <v>1503.508792626995</v>
      </c>
      <c r="AN5" s="141">
        <f t="shared" ca="1" si="2"/>
        <v>1627.03783495538</v>
      </c>
      <c r="AO5" s="141">
        <f t="shared" ca="1" si="2"/>
        <v>1761.9004784120921</v>
      </c>
      <c r="AP5" s="141">
        <f t="shared" ca="1" si="2"/>
        <v>1908.3605815129699</v>
      </c>
      <c r="AQ5" s="141">
        <f t="shared" ca="1" si="2"/>
        <v>2073.5771147194714</v>
      </c>
      <c r="AR5" s="142">
        <f t="shared" ca="1" si="2"/>
        <v>2252.338039818138</v>
      </c>
    </row>
    <row r="6" spans="1:58" s="74" customFormat="1">
      <c r="C6" s="132" t="s">
        <v>103</v>
      </c>
      <c r="D6" s="143">
        <v>1</v>
      </c>
      <c r="E6" s="144">
        <f ca="1">IF(Year="",,D6*EXP(-E4))</f>
        <v>0.94359108380361312</v>
      </c>
      <c r="F6" s="144">
        <f t="shared" ref="F6:AR6" ca="1" si="3">E6*EXP(-F4)</f>
        <v>0.88402552659135591</v>
      </c>
      <c r="G6" s="144">
        <f t="shared" ca="1" si="3"/>
        <v>0.82424708453510986</v>
      </c>
      <c r="H6" s="144">
        <f t="shared" ca="1" si="3"/>
        <v>0.76554052764519642</v>
      </c>
      <c r="I6" s="144">
        <f t="shared" ca="1" si="3"/>
        <v>0.70822742875241895</v>
      </c>
      <c r="J6" s="144">
        <f t="shared" ca="1" si="3"/>
        <v>0.6543659504563778</v>
      </c>
      <c r="K6" s="144">
        <f t="shared" ca="1" si="3"/>
        <v>0.60522863683385786</v>
      </c>
      <c r="L6" s="144">
        <f t="shared" ca="1" si="3"/>
        <v>0.55959474676139154</v>
      </c>
      <c r="M6" s="144">
        <f t="shared" ca="1" si="3"/>
        <v>0.51810246644108837</v>
      </c>
      <c r="N6" s="144">
        <f t="shared" ca="1" si="3"/>
        <v>0.47963932383259156</v>
      </c>
      <c r="O6" s="144">
        <f t="shared" ca="1" si="3"/>
        <v>0.44356645062170608</v>
      </c>
      <c r="P6" s="144">
        <f t="shared" ca="1" si="3"/>
        <v>0.41001193123819141</v>
      </c>
      <c r="Q6" s="144">
        <f t="shared" ca="1" si="3"/>
        <v>0.3784209675883814</v>
      </c>
      <c r="R6" s="144">
        <f t="shared" ca="1" si="3"/>
        <v>0.34880805827580624</v>
      </c>
      <c r="S6" s="144">
        <f t="shared" ca="1" si="3"/>
        <v>0.32146287699029458</v>
      </c>
      <c r="T6" s="144">
        <f t="shared" ca="1" si="3"/>
        <v>0.29675992928473927</v>
      </c>
      <c r="U6" s="144">
        <f t="shared" ca="1" si="3"/>
        <v>0.27495370452280021</v>
      </c>
      <c r="V6" s="144">
        <f t="shared" ca="1" si="3"/>
        <v>0.25475119298672677</v>
      </c>
      <c r="W6" s="144">
        <f t="shared" ca="1" si="3"/>
        <v>0.23588896251974928</v>
      </c>
      <c r="X6" s="144">
        <f t="shared" ca="1" si="3"/>
        <v>0.21857308521211727</v>
      </c>
      <c r="Y6" s="144">
        <f t="shared" ca="1" si="3"/>
        <v>0.20257498153061962</v>
      </c>
      <c r="Z6" s="144">
        <f t="shared" ca="1" si="3"/>
        <v>0.18707317444347898</v>
      </c>
      <c r="AA6" s="144">
        <f t="shared" ca="1" si="3"/>
        <v>0.17266622013368019</v>
      </c>
      <c r="AB6" s="144">
        <f t="shared" ca="1" si="3"/>
        <v>0.15922748753163804</v>
      </c>
      <c r="AC6" s="144">
        <f t="shared" ca="1" si="3"/>
        <v>0.14720882371499489</v>
      </c>
      <c r="AD6" s="144">
        <f t="shared" ca="1" si="3"/>
        <v>0.13606599354814111</v>
      </c>
      <c r="AE6" s="144">
        <f t="shared" ca="1" si="3"/>
        <v>0.12567645891685619</v>
      </c>
      <c r="AF6" s="144">
        <f t="shared" ca="1" si="3"/>
        <v>0.11580828457827685</v>
      </c>
      <c r="AG6" s="144">
        <f t="shared" ca="1" si="3"/>
        <v>0.10687664940159361</v>
      </c>
      <c r="AH6" s="144">
        <f t="shared" ca="1" si="3"/>
        <v>9.8538489337673951E-2</v>
      </c>
      <c r="AI6" s="144">
        <f t="shared" ca="1" si="3"/>
        <v>9.0697740674513749E-2</v>
      </c>
      <c r="AJ6" s="144">
        <f t="shared" ca="1" si="3"/>
        <v>8.3899754515388003E-2</v>
      </c>
      <c r="AK6" s="144">
        <f t="shared" ca="1" si="3"/>
        <v>7.7738410134898059E-2</v>
      </c>
      <c r="AL6" s="144">
        <f t="shared" ca="1" si="3"/>
        <v>7.1870736001860766E-2</v>
      </c>
      <c r="AM6" s="144">
        <f t="shared" ca="1" si="3"/>
        <v>6.6511084265277715E-2</v>
      </c>
      <c r="AN6" s="144">
        <f t="shared" ca="1" si="3"/>
        <v>6.1461385747518554E-2</v>
      </c>
      <c r="AO6" s="144">
        <f t="shared" ca="1" si="3"/>
        <v>5.6756894742502569E-2</v>
      </c>
      <c r="AP6" s="144">
        <f t="shared" ca="1" si="3"/>
        <v>5.2400998516076498E-2</v>
      </c>
      <c r="AQ6" s="144">
        <f t="shared" ca="1" si="3"/>
        <v>4.8225840886331708E-2</v>
      </c>
      <c r="AR6" s="145">
        <f t="shared" ca="1" si="3"/>
        <v>4.4398308882655287E-2</v>
      </c>
    </row>
    <row r="7" spans="1:58" s="3" customFormat="1"/>
    <row r="8" spans="1:58" s="256" customFormat="1" ht="12" customHeight="1">
      <c r="B8" s="257" t="s">
        <v>104</v>
      </c>
      <c r="C8" s="258"/>
      <c r="D8" s="259">
        <f>ExRate_Cur</f>
        <v>100</v>
      </c>
      <c r="E8" s="260">
        <f t="shared" ref="E8:AR8" ca="1" si="4">D8*EXP(ExRate_Growth-ExRate_Vol*ExRate_Vol/2 + ExRate_Vol*NORMSINV(RAND()))</f>
        <v>101.9370508645363</v>
      </c>
      <c r="F8" s="260">
        <f t="shared" ca="1" si="4"/>
        <v>106.31428945734736</v>
      </c>
      <c r="G8" s="260">
        <f t="shared" ca="1" si="4"/>
        <v>114.56656654919429</v>
      </c>
      <c r="H8" s="260">
        <f t="shared" ca="1" si="4"/>
        <v>121.76722213093306</v>
      </c>
      <c r="I8" s="260">
        <f t="shared" ca="1" si="4"/>
        <v>134.8930214018099</v>
      </c>
      <c r="J8" s="260">
        <f t="shared" ca="1" si="4"/>
        <v>128.87104264092991</v>
      </c>
      <c r="K8" s="260">
        <f t="shared" ca="1" si="4"/>
        <v>147.89699749736812</v>
      </c>
      <c r="L8" s="260">
        <f t="shared" ca="1" si="4"/>
        <v>154.80797735894654</v>
      </c>
      <c r="M8" s="260">
        <f t="shared" ca="1" si="4"/>
        <v>157.29763195188582</v>
      </c>
      <c r="N8" s="260">
        <f t="shared" ca="1" si="4"/>
        <v>159.66412514946373</v>
      </c>
      <c r="O8" s="260">
        <f t="shared" ca="1" si="4"/>
        <v>158.54402664997841</v>
      </c>
      <c r="P8" s="260">
        <f t="shared" ca="1" si="4"/>
        <v>177.09731202696861</v>
      </c>
      <c r="Q8" s="260">
        <f t="shared" ca="1" si="4"/>
        <v>179.91544598336168</v>
      </c>
      <c r="R8" s="260">
        <f t="shared" ca="1" si="4"/>
        <v>180.65560692774756</v>
      </c>
      <c r="S8" s="260">
        <f t="shared" ca="1" si="4"/>
        <v>180.97986352715384</v>
      </c>
      <c r="T8" s="260">
        <f t="shared" ca="1" si="4"/>
        <v>203.7838404003202</v>
      </c>
      <c r="U8" s="260">
        <f t="shared" ca="1" si="4"/>
        <v>217.88276333272339</v>
      </c>
      <c r="V8" s="260">
        <f t="shared" ca="1" si="4"/>
        <v>232.61770705098468</v>
      </c>
      <c r="W8" s="260">
        <f t="shared" ca="1" si="4"/>
        <v>253.62683707167244</v>
      </c>
      <c r="X8" s="260">
        <f t="shared" ca="1" si="4"/>
        <v>278.8099923098564</v>
      </c>
      <c r="Y8" s="260">
        <f t="shared" ca="1" si="4"/>
        <v>312.69891105437955</v>
      </c>
      <c r="Z8" s="260">
        <f t="shared" ca="1" si="4"/>
        <v>337.99470702762824</v>
      </c>
      <c r="AA8" s="260">
        <f t="shared" ca="1" si="4"/>
        <v>367.75549121294881</v>
      </c>
      <c r="AB8" s="260">
        <f t="shared" ca="1" si="4"/>
        <v>382.17570811893933</v>
      </c>
      <c r="AC8" s="260">
        <f t="shared" ca="1" si="4"/>
        <v>391.85877461960445</v>
      </c>
      <c r="AD8" s="260">
        <f t="shared" ca="1" si="4"/>
        <v>394.06391311038868</v>
      </c>
      <c r="AE8" s="260">
        <f t="shared" ca="1" si="4"/>
        <v>411.39714809253968</v>
      </c>
      <c r="AF8" s="260">
        <f t="shared" ca="1" si="4"/>
        <v>425.89301996626892</v>
      </c>
      <c r="AG8" s="260">
        <f t="shared" ca="1" si="4"/>
        <v>473.45761995361619</v>
      </c>
      <c r="AH8" s="260">
        <f t="shared" ca="1" si="4"/>
        <v>549.78716194496019</v>
      </c>
      <c r="AI8" s="260">
        <f t="shared" ca="1" si="4"/>
        <v>537.8235119886906</v>
      </c>
      <c r="AJ8" s="260">
        <f t="shared" ca="1" si="4"/>
        <v>525.21769367631737</v>
      </c>
      <c r="AK8" s="260">
        <f t="shared" ca="1" si="4"/>
        <v>528.93011721023049</v>
      </c>
      <c r="AL8" s="260">
        <f t="shared" ca="1" si="4"/>
        <v>556.62199321186381</v>
      </c>
      <c r="AM8" s="260">
        <f t="shared" ca="1" si="4"/>
        <v>579.20535222610511</v>
      </c>
      <c r="AN8" s="260">
        <f t="shared" ca="1" si="4"/>
        <v>626.74657694134146</v>
      </c>
      <c r="AO8" s="260">
        <f t="shared" ca="1" si="4"/>
        <v>636.79073812036086</v>
      </c>
      <c r="AP8" s="260">
        <f t="shared" ca="1" si="4"/>
        <v>567.12355936439872</v>
      </c>
      <c r="AQ8" s="260">
        <f t="shared" ca="1" si="4"/>
        <v>619.34966811666663</v>
      </c>
      <c r="AR8" s="261">
        <f t="shared" ca="1" si="4"/>
        <v>718.31972175883914</v>
      </c>
    </row>
    <row r="9" spans="1:58" s="256" customFormat="1">
      <c r="B9" s="256" t="s">
        <v>105</v>
      </c>
      <c r="C9" s="258"/>
      <c r="D9" s="262">
        <f t="shared" ref="D9:AR9" si="5">RealExRate_Risk*(1+Inflation_Risk)</f>
        <v>105</v>
      </c>
      <c r="E9" s="263">
        <f t="shared" ca="1" si="5"/>
        <v>107.85575871115603</v>
      </c>
      <c r="F9" s="263">
        <f t="shared" ca="1" si="5"/>
        <v>113.24672106747209</v>
      </c>
      <c r="G9" s="263">
        <f t="shared" ca="1" si="5"/>
        <v>122.58801271538273</v>
      </c>
      <c r="H9" s="263">
        <f t="shared" ca="1" si="5"/>
        <v>130.76438158384985</v>
      </c>
      <c r="I9" s="263">
        <f t="shared" ca="1" si="5"/>
        <v>145.38997643829501</v>
      </c>
      <c r="J9" s="263">
        <f t="shared" ca="1" si="5"/>
        <v>139.06455098861773</v>
      </c>
      <c r="K9" s="263">
        <f t="shared" ca="1" si="5"/>
        <v>159.44190418946047</v>
      </c>
      <c r="L9" s="263">
        <f t="shared" ca="1" si="5"/>
        <v>166.9439077859162</v>
      </c>
      <c r="M9" s="263">
        <f t="shared" ca="1" si="5"/>
        <v>169.41581334529846</v>
      </c>
      <c r="N9" s="263">
        <f t="shared" ca="1" si="5"/>
        <v>171.98039568068063</v>
      </c>
      <c r="O9" s="263">
        <f t="shared" ca="1" si="5"/>
        <v>170.94007515988</v>
      </c>
      <c r="P9" s="263">
        <f t="shared" ca="1" si="5"/>
        <v>191.02802796799855</v>
      </c>
      <c r="Q9" s="263">
        <f t="shared" ca="1" si="5"/>
        <v>194.34088887276911</v>
      </c>
      <c r="R9" s="263">
        <f t="shared" ca="1" si="5"/>
        <v>195.37641074964446</v>
      </c>
      <c r="S9" s="263">
        <f t="shared" ca="1" si="5"/>
        <v>195.75500995369725</v>
      </c>
      <c r="T9" s="263">
        <f t="shared" ca="1" si="5"/>
        <v>220.07810605632844</v>
      </c>
      <c r="U9" s="263">
        <f t="shared" ca="1" si="5"/>
        <v>234.51174070770722</v>
      </c>
      <c r="V9" s="263">
        <f t="shared" ca="1" si="5"/>
        <v>250.37001604832233</v>
      </c>
      <c r="W9" s="263">
        <f t="shared" ca="1" si="5"/>
        <v>273.13737535359928</v>
      </c>
      <c r="X9" s="263">
        <f t="shared" ca="1" si="5"/>
        <v>300.06667573425892</v>
      </c>
      <c r="Y9" s="263">
        <f t="shared" ca="1" si="5"/>
        <v>336.4672639560481</v>
      </c>
      <c r="Z9" s="263">
        <f t="shared" ca="1" si="5"/>
        <v>364.90255004308148</v>
      </c>
      <c r="AA9" s="263">
        <f t="shared" ca="1" si="5"/>
        <v>397.22722504907074</v>
      </c>
      <c r="AB9" s="263">
        <f t="shared" ca="1" si="5"/>
        <v>413.14204849238774</v>
      </c>
      <c r="AC9" s="263">
        <f t="shared" ca="1" si="5"/>
        <v>422.61254510298954</v>
      </c>
      <c r="AD9" s="263">
        <f t="shared" ca="1" si="5"/>
        <v>425.08152444460006</v>
      </c>
      <c r="AE9" s="263">
        <f t="shared" ca="1" si="5"/>
        <v>444.0740930326279</v>
      </c>
      <c r="AF9" s="263">
        <f t="shared" ca="1" si="5"/>
        <v>460.72029963555252</v>
      </c>
      <c r="AG9" s="263">
        <f t="shared" ca="1" si="5"/>
        <v>511.45768105410502</v>
      </c>
      <c r="AH9" s="263">
        <f t="shared" ca="1" si="5"/>
        <v>594.44534697857716</v>
      </c>
      <c r="AI9" s="263">
        <f t="shared" ca="1" si="5"/>
        <v>582.41702995577634</v>
      </c>
      <c r="AJ9" s="263">
        <f t="shared" ca="1" si="5"/>
        <v>566.13727781695536</v>
      </c>
      <c r="AK9" s="263">
        <f t="shared" ca="1" si="5"/>
        <v>569.2733169091033</v>
      </c>
      <c r="AL9" s="263">
        <f t="shared" ca="1" si="5"/>
        <v>600.30585533487545</v>
      </c>
      <c r="AM9" s="263">
        <f t="shared" ca="1" si="5"/>
        <v>624.09409005410362</v>
      </c>
      <c r="AN9" s="263">
        <f t="shared" ca="1" si="5"/>
        <v>676.23418008984254</v>
      </c>
      <c r="AO9" s="263">
        <f t="shared" ca="1" si="5"/>
        <v>687.49963356715136</v>
      </c>
      <c r="AP9" s="263">
        <f t="shared" ca="1" si="5"/>
        <v>612.40922368230781</v>
      </c>
      <c r="AQ9" s="263">
        <f t="shared" ca="1" si="5"/>
        <v>670.77467452050519</v>
      </c>
      <c r="AR9" s="264">
        <f t="shared" ca="1" si="5"/>
        <v>777.72017619500093</v>
      </c>
    </row>
    <row r="10" spans="1:58" s="153" customFormat="1">
      <c r="E10" s="154"/>
      <c r="F10" s="154"/>
      <c r="G10" s="154"/>
      <c r="H10" s="154"/>
      <c r="I10" s="154"/>
      <c r="J10" s="154"/>
      <c r="K10" s="154"/>
      <c r="L10" s="154"/>
      <c r="M10" s="154"/>
      <c r="N10" s="154"/>
      <c r="O10" s="154"/>
      <c r="P10" s="154"/>
      <c r="Q10" s="154"/>
      <c r="R10" s="154"/>
      <c r="S10" s="154"/>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54"/>
      <c r="AR10" s="154"/>
    </row>
    <row r="11" spans="1:58" s="155" customFormat="1">
      <c r="B11" s="155" t="s">
        <v>106</v>
      </c>
      <c r="C11" s="156"/>
      <c r="D11" s="157">
        <f t="shared" ref="D11:AR11" si="6">DiscountFactor</f>
        <v>1</v>
      </c>
      <c r="E11" s="158">
        <f t="shared" si="6"/>
        <v>0.93239381990594827</v>
      </c>
      <c r="F11" s="158">
        <f t="shared" si="6"/>
        <v>0.86935823539880586</v>
      </c>
      <c r="G11" s="158">
        <f t="shared" si="6"/>
        <v>0.81058424597018719</v>
      </c>
      <c r="H11" s="158">
        <f t="shared" si="6"/>
        <v>0.75578374145572558</v>
      </c>
      <c r="I11" s="158">
        <f t="shared" si="6"/>
        <v>0.70468808971871355</v>
      </c>
      <c r="J11" s="158">
        <f t="shared" si="6"/>
        <v>0.65704681981505697</v>
      </c>
      <c r="K11" s="158">
        <f t="shared" si="6"/>
        <v>0.61262639418441622</v>
      </c>
      <c r="L11" s="158">
        <f t="shared" si="6"/>
        <v>0.57120906384881509</v>
      </c>
      <c r="M11" s="158">
        <f t="shared" si="6"/>
        <v>0.5325918010068974</v>
      </c>
      <c r="N11" s="158">
        <f t="shared" si="6"/>
        <v>0.49658530379140975</v>
      </c>
      <c r="O11" s="158">
        <f t="shared" si="6"/>
        <v>0.46301306831122829</v>
      </c>
      <c r="P11" s="158">
        <f t="shared" si="6"/>
        <v>0.4317105234290799</v>
      </c>
      <c r="Q11" s="158">
        <f t="shared" si="6"/>
        <v>0.40252422403363619</v>
      </c>
      <c r="R11" s="158">
        <f t="shared" si="6"/>
        <v>0.37531109885139974</v>
      </c>
      <c r="S11" s="158">
        <f t="shared" si="6"/>
        <v>0.34993774911115555</v>
      </c>
      <c r="T11" s="158">
        <f t="shared" si="6"/>
        <v>0.32627979462303969</v>
      </c>
      <c r="U11" s="158">
        <f t="shared" si="6"/>
        <v>0.30422126406670424</v>
      </c>
      <c r="V11" s="158">
        <f t="shared" si="6"/>
        <v>0.28365402649977056</v>
      </c>
      <c r="W11" s="158">
        <f t="shared" si="6"/>
        <v>0.26447726129982413</v>
      </c>
      <c r="X11" s="158">
        <f t="shared" si="6"/>
        <v>0.24659696394160663</v>
      </c>
      <c r="Y11" s="158">
        <f t="shared" si="6"/>
        <v>0.22992548518672398</v>
      </c>
      <c r="Z11" s="158">
        <f t="shared" si="6"/>
        <v>0.21438110142697811</v>
      </c>
      <c r="AA11" s="158">
        <f t="shared" si="6"/>
        <v>0.19988761407514466</v>
      </c>
      <c r="AB11" s="158">
        <f t="shared" si="6"/>
        <v>0.18637397603941011</v>
      </c>
      <c r="AC11" s="158">
        <f t="shared" si="6"/>
        <v>0.17377394345044528</v>
      </c>
      <c r="AD11" s="158">
        <f t="shared" si="6"/>
        <v>0.16202575093388091</v>
      </c>
      <c r="AE11" s="158">
        <f t="shared" si="6"/>
        <v>0.151071808836371</v>
      </c>
      <c r="AF11" s="158">
        <f t="shared" si="6"/>
        <v>0.14085842092104514</v>
      </c>
      <c r="AG11" s="158">
        <f t="shared" si="6"/>
        <v>0.13133552114849323</v>
      </c>
      <c r="AH11" s="158">
        <f t="shared" si="6"/>
        <v>0.12245642825298206</v>
      </c>
      <c r="AI11" s="158">
        <f t="shared" si="6"/>
        <v>0.11417761691083662</v>
      </c>
      <c r="AJ11" s="158">
        <f t="shared" si="6"/>
        <v>0.10645850437925296</v>
      </c>
      <c r="AK11" s="158">
        <f t="shared" si="6"/>
        <v>9.9261251559645783E-2</v>
      </c>
      <c r="AL11" s="158">
        <f t="shared" si="6"/>
        <v>9.2550577510343401E-2</v>
      </c>
      <c r="AM11" s="158">
        <f t="shared" si="6"/>
        <v>8.6293586499370634E-2</v>
      </c>
      <c r="AN11" s="158">
        <f t="shared" si="6"/>
        <v>8.045960674953255E-2</v>
      </c>
      <c r="AO11" s="158">
        <f t="shared" si="6"/>
        <v>7.5020040085327075E-2</v>
      </c>
      <c r="AP11" s="158">
        <f t="shared" si="6"/>
        <v>6.9948221744655467E-2</v>
      </c>
      <c r="AQ11" s="158">
        <f t="shared" si="6"/>
        <v>6.5219289668127622E-2</v>
      </c>
      <c r="AR11" s="159">
        <f t="shared" si="6"/>
        <v>6.0810062625218056E-2</v>
      </c>
    </row>
    <row r="12" spans="1:58" s="3" customFormat="1"/>
    <row r="13" spans="1:58" s="45" customFormat="1" ht="17.399999999999999">
      <c r="A13" s="43" t="s">
        <v>107</v>
      </c>
      <c r="B13" s="44"/>
      <c r="C13" s="44"/>
    </row>
    <row r="14" spans="1:58" s="13" customFormat="1">
      <c r="B14" s="12" t="s">
        <v>112</v>
      </c>
      <c r="C14" s="12"/>
      <c r="D14" s="147">
        <f>Demand</f>
        <v>150</v>
      </c>
      <c r="E14" s="148">
        <f t="shared" ref="E14:AR14" ca="1" si="7">D14*EXP(Demand_Growth-Demand_Vol*Demand_Vol/2 + Demand_Vol*NORMSINV(RAND()))</f>
        <v>157.29863565071415</v>
      </c>
      <c r="F14" s="148">
        <f t="shared" ca="1" si="7"/>
        <v>168.3374663656478</v>
      </c>
      <c r="G14" s="148">
        <f t="shared" ca="1" si="7"/>
        <v>174.52808763424761</v>
      </c>
      <c r="H14" s="148">
        <f t="shared" ca="1" si="7"/>
        <v>176.7043678916198</v>
      </c>
      <c r="I14" s="148">
        <f t="shared" ca="1" si="7"/>
        <v>181.12962726649604</v>
      </c>
      <c r="J14" s="148">
        <f t="shared" ca="1" si="7"/>
        <v>183.75169552660296</v>
      </c>
      <c r="K14" s="148">
        <f t="shared" ca="1" si="7"/>
        <v>177.01094436696519</v>
      </c>
      <c r="L14" s="148">
        <f t="shared" ca="1" si="7"/>
        <v>180.01384249347939</v>
      </c>
      <c r="M14" s="148">
        <f t="shared" ca="1" si="7"/>
        <v>185.52165506058225</v>
      </c>
      <c r="N14" s="148">
        <f t="shared" ca="1" si="7"/>
        <v>184.9088075235872</v>
      </c>
      <c r="O14" s="148">
        <f t="shared" ca="1" si="7"/>
        <v>181.26018886628336</v>
      </c>
      <c r="P14" s="148">
        <f t="shared" ca="1" si="7"/>
        <v>180.20968087893351</v>
      </c>
      <c r="Q14" s="148">
        <f t="shared" ca="1" si="7"/>
        <v>184.31629587460577</v>
      </c>
      <c r="R14" s="148">
        <f t="shared" ca="1" si="7"/>
        <v>193.8860896766769</v>
      </c>
      <c r="S14" s="148">
        <f t="shared" ca="1" si="7"/>
        <v>199.2204492654738</v>
      </c>
      <c r="T14" s="148">
        <f t="shared" ca="1" si="7"/>
        <v>206.09547086926153</v>
      </c>
      <c r="U14" s="148">
        <f t="shared" ca="1" si="7"/>
        <v>197.30828408625683</v>
      </c>
      <c r="V14" s="148">
        <f t="shared" ca="1" si="7"/>
        <v>197.79601008738501</v>
      </c>
      <c r="W14" s="148">
        <f t="shared" ca="1" si="7"/>
        <v>199.38104487542475</v>
      </c>
      <c r="X14" s="148">
        <f t="shared" ca="1" si="7"/>
        <v>213.23377931589599</v>
      </c>
      <c r="Y14" s="148">
        <f t="shared" ca="1" si="7"/>
        <v>221.87219508610119</v>
      </c>
      <c r="Z14" s="148">
        <f t="shared" ca="1" si="7"/>
        <v>227.36722392762411</v>
      </c>
      <c r="AA14" s="148">
        <f t="shared" ca="1" si="7"/>
        <v>241.79106274234292</v>
      </c>
      <c r="AB14" s="148">
        <f t="shared" ca="1" si="7"/>
        <v>250.75353409842216</v>
      </c>
      <c r="AC14" s="148">
        <f t="shared" ca="1" si="7"/>
        <v>250.99541392655325</v>
      </c>
      <c r="AD14" s="148">
        <f t="shared" ca="1" si="7"/>
        <v>263.15779217886239</v>
      </c>
      <c r="AE14" s="148">
        <f t="shared" ca="1" si="7"/>
        <v>253.10392620427959</v>
      </c>
      <c r="AF14" s="148">
        <f t="shared" ca="1" si="7"/>
        <v>260.26098749918992</v>
      </c>
      <c r="AG14" s="148">
        <f t="shared" ca="1" si="7"/>
        <v>258.0823404562957</v>
      </c>
      <c r="AH14" s="148">
        <f t="shared" ca="1" si="7"/>
        <v>264.53706975147134</v>
      </c>
      <c r="AI14" s="148">
        <f t="shared" ca="1" si="7"/>
        <v>274.62442127135211</v>
      </c>
      <c r="AJ14" s="148">
        <f t="shared" ca="1" si="7"/>
        <v>281.63740030046284</v>
      </c>
      <c r="AK14" s="148">
        <f t="shared" ca="1" si="7"/>
        <v>296.27090568821126</v>
      </c>
      <c r="AL14" s="148">
        <f t="shared" ca="1" si="7"/>
        <v>279.06119739184493</v>
      </c>
      <c r="AM14" s="148">
        <f t="shared" ca="1" si="7"/>
        <v>284.89023154121054</v>
      </c>
      <c r="AN14" s="148">
        <f t="shared" ca="1" si="7"/>
        <v>294.4032109731375</v>
      </c>
      <c r="AO14" s="148">
        <f t="shared" ca="1" si="7"/>
        <v>298.23312815097506</v>
      </c>
      <c r="AP14" s="148">
        <f t="shared" ca="1" si="7"/>
        <v>308.72428594553094</v>
      </c>
      <c r="AQ14" s="148">
        <f t="shared" ca="1" si="7"/>
        <v>311.87875761927563</v>
      </c>
      <c r="AR14" s="149">
        <f t="shared" ca="1" si="7"/>
        <v>297.17721533170658</v>
      </c>
    </row>
    <row r="15" spans="1:58" s="13" customFormat="1">
      <c r="B15" s="12" t="str">
        <f>CONCATENATE("Total demand (",WaterDenomination," m3)")</f>
        <v>Total demand (Millions m3)</v>
      </c>
      <c r="C15" s="3"/>
      <c r="D15" s="171">
        <f t="shared" ref="D15:AR15" si="8">D14*Connections*365/1000/WaterDenValue</f>
        <v>1.3687499999999999</v>
      </c>
      <c r="E15" s="172">
        <f t="shared" ca="1" si="8"/>
        <v>1.4510814868641946</v>
      </c>
      <c r="F15" s="172">
        <f t="shared" ca="1" si="8"/>
        <v>1.5810557848501099</v>
      </c>
      <c r="G15" s="172">
        <f t="shared" ca="1" si="8"/>
        <v>1.713349217428914</v>
      </c>
      <c r="H15" s="172">
        <f t="shared" ca="1" si="8"/>
        <v>1.9065341069298427</v>
      </c>
      <c r="I15" s="172">
        <f t="shared" ca="1" si="8"/>
        <v>2.2767758678883103</v>
      </c>
      <c r="J15" s="172">
        <f t="shared" ca="1" si="8"/>
        <v>2.720400670622908</v>
      </c>
      <c r="K15" s="172">
        <f t="shared" ca="1" si="8"/>
        <v>2.9357681098980439</v>
      </c>
      <c r="L15" s="172">
        <f t="shared" ca="1" si="8"/>
        <v>3.1606101408943013</v>
      </c>
      <c r="M15" s="172">
        <f t="shared" ca="1" si="8"/>
        <v>3.3361348136524422</v>
      </c>
      <c r="N15" s="172">
        <f t="shared" ca="1" si="8"/>
        <v>3.3745857373054662</v>
      </c>
      <c r="O15" s="172">
        <f t="shared" ca="1" si="8"/>
        <v>3.3079984468096715</v>
      </c>
      <c r="P15" s="172">
        <f t="shared" ca="1" si="8"/>
        <v>3.2888266760405367</v>
      </c>
      <c r="Q15" s="172">
        <f t="shared" ca="1" si="8"/>
        <v>3.3637723997115554</v>
      </c>
      <c r="R15" s="172">
        <f t="shared" ca="1" si="8"/>
        <v>3.5384211365993541</v>
      </c>
      <c r="S15" s="172">
        <f t="shared" ca="1" si="8"/>
        <v>3.6357731990948969</v>
      </c>
      <c r="T15" s="172">
        <f t="shared" ca="1" si="8"/>
        <v>3.7612423433640232</v>
      </c>
      <c r="U15" s="172">
        <f t="shared" ca="1" si="8"/>
        <v>3.6008761845741875</v>
      </c>
      <c r="V15" s="172">
        <f t="shared" ca="1" si="8"/>
        <v>3.6097771840947765</v>
      </c>
      <c r="W15" s="172">
        <f t="shared" ca="1" si="8"/>
        <v>3.638704068976502</v>
      </c>
      <c r="X15" s="172">
        <f t="shared" ca="1" si="8"/>
        <v>3.8915164725151019</v>
      </c>
      <c r="Y15" s="172">
        <f t="shared" ca="1" si="8"/>
        <v>4.0491675603213473</v>
      </c>
      <c r="Z15" s="172">
        <f t="shared" ca="1" si="8"/>
        <v>4.1494518366791402</v>
      </c>
      <c r="AA15" s="172">
        <f t="shared" ca="1" si="8"/>
        <v>4.4126868950477576</v>
      </c>
      <c r="AB15" s="172">
        <f t="shared" ca="1" si="8"/>
        <v>4.5762519972962048</v>
      </c>
      <c r="AC15" s="172">
        <f t="shared" ca="1" si="8"/>
        <v>4.580666304159597</v>
      </c>
      <c r="AD15" s="172">
        <f t="shared" ca="1" si="8"/>
        <v>4.8026297072642379</v>
      </c>
      <c r="AE15" s="172">
        <f t="shared" ca="1" si="8"/>
        <v>4.6191466532281025</v>
      </c>
      <c r="AF15" s="172">
        <f t="shared" ca="1" si="8"/>
        <v>4.7497630218602156</v>
      </c>
      <c r="AG15" s="172">
        <f t="shared" ca="1" si="8"/>
        <v>4.7100027133273965</v>
      </c>
      <c r="AH15" s="172">
        <f t="shared" ca="1" si="8"/>
        <v>4.8278015229643518</v>
      </c>
      <c r="AI15" s="172">
        <f t="shared" ca="1" si="8"/>
        <v>5.0118956882021761</v>
      </c>
      <c r="AJ15" s="172">
        <f t="shared" ca="1" si="8"/>
        <v>5.1398825554834477</v>
      </c>
      <c r="AK15" s="172">
        <f t="shared" ca="1" si="8"/>
        <v>5.406944028809856</v>
      </c>
      <c r="AL15" s="172">
        <f t="shared" ca="1" si="8"/>
        <v>5.09286685240117</v>
      </c>
      <c r="AM15" s="172">
        <f t="shared" ca="1" si="8"/>
        <v>5.1992467256270922</v>
      </c>
      <c r="AN15" s="172">
        <f t="shared" ca="1" si="8"/>
        <v>5.3728586002597591</v>
      </c>
      <c r="AO15" s="172">
        <f t="shared" ca="1" si="8"/>
        <v>5.4427545887552951</v>
      </c>
      <c r="AP15" s="172">
        <f t="shared" ca="1" si="8"/>
        <v>5.6342182185059393</v>
      </c>
      <c r="AQ15" s="172">
        <f t="shared" ca="1" si="8"/>
        <v>5.6917873265517809</v>
      </c>
      <c r="AR15" s="173">
        <f t="shared" ca="1" si="8"/>
        <v>5.4234841798036451</v>
      </c>
      <c r="AS15" s="174"/>
      <c r="AT15" s="174"/>
      <c r="AU15" s="174"/>
      <c r="AV15" s="174"/>
      <c r="AW15" s="174"/>
      <c r="AX15" s="174"/>
      <c r="AY15" s="174"/>
      <c r="AZ15" s="174"/>
      <c r="BA15" s="174"/>
      <c r="BB15" s="174"/>
      <c r="BC15" s="174"/>
      <c r="BD15" s="174"/>
      <c r="BE15" s="174"/>
      <c r="BF15" s="174"/>
    </row>
    <row r="16" spans="1:58" s="3" customFormat="1">
      <c r="B16" s="6"/>
    </row>
    <row r="17" spans="1:44" s="3" customFormat="1">
      <c r="C17" s="12"/>
      <c r="D17" s="155"/>
    </row>
    <row r="18" spans="1:44" s="45" customFormat="1" ht="17.399999999999999">
      <c r="A18" s="43" t="str">
        <f>CONCATENATE("Costs &amp; subsidies (",MonDenomination,")")</f>
        <v>Costs &amp; subsidies (Millions)</v>
      </c>
      <c r="B18" s="44"/>
      <c r="C18" s="44"/>
    </row>
    <row r="19" spans="1:44" s="13" customFormat="1">
      <c r="B19" s="4" t="s">
        <v>114</v>
      </c>
      <c r="C19" s="138"/>
    </row>
    <row r="20" spans="1:44" s="13" customFormat="1">
      <c r="B20" s="4"/>
      <c r="C20" s="40" t="s">
        <v>14</v>
      </c>
      <c r="D20" s="175"/>
      <c r="E20" s="175"/>
      <c r="F20" s="175"/>
      <c r="G20" s="175"/>
      <c r="H20" s="175"/>
      <c r="I20" s="175"/>
      <c r="J20" s="175"/>
      <c r="K20" s="175"/>
      <c r="L20" s="175"/>
      <c r="M20" s="175"/>
      <c r="N20" s="175"/>
    </row>
    <row r="21" spans="1:44" s="13" customFormat="1">
      <c r="C21" s="138" t="s">
        <v>115</v>
      </c>
      <c r="D21" s="147">
        <f>(Opex_Fixed/MonDenValue)*(1-Opex_FixedForeign)</f>
        <v>10</v>
      </c>
      <c r="E21" s="148">
        <f t="shared" ref="E21:AR21" si="9">D21*EXP(Opex_FixedGrowth)</f>
        <v>10.304545339535169</v>
      </c>
      <c r="F21" s="148">
        <f t="shared" si="9"/>
        <v>10.618365465453598</v>
      </c>
      <c r="G21" s="148">
        <f t="shared" si="9"/>
        <v>10.941742837052107</v>
      </c>
      <c r="H21" s="148">
        <f t="shared" si="9"/>
        <v>11.274968515793761</v>
      </c>
      <c r="I21" s="148">
        <f t="shared" si="9"/>
        <v>11.618342427282837</v>
      </c>
      <c r="J21" s="148">
        <f t="shared" si="9"/>
        <v>11.972173631218109</v>
      </c>
      <c r="K21" s="148">
        <f t="shared" si="9"/>
        <v>12.33678059956744</v>
      </c>
      <c r="L21" s="148">
        <f t="shared" si="9"/>
        <v>12.712491503214055</v>
      </c>
      <c r="M21" s="148">
        <f t="shared" si="9"/>
        <v>13.099644507332483</v>
      </c>
      <c r="N21" s="148">
        <f t="shared" si="9"/>
        <v>13.498588075760042</v>
      </c>
      <c r="O21" s="148">
        <f t="shared" si="9"/>
        <v>13.909681284637815</v>
      </c>
      <c r="P21" s="148">
        <f t="shared" si="9"/>
        <v>14.333294145603416</v>
      </c>
      <c r="Q21" s="148">
        <f t="shared" si="9"/>
        <v>14.769807938826441</v>
      </c>
      <c r="R21" s="148">
        <f t="shared" si="9"/>
        <v>15.219615556186355</v>
      </c>
      <c r="S21" s="148">
        <f t="shared" si="9"/>
        <v>15.683121854901707</v>
      </c>
      <c r="T21" s="148">
        <f t="shared" si="9"/>
        <v>16.160744021928956</v>
      </c>
      <c r="U21" s="148">
        <f t="shared" si="9"/>
        <v>16.652911949458886</v>
      </c>
      <c r="V21" s="148">
        <f t="shared" si="9"/>
        <v>17.160068621848609</v>
      </c>
      <c r="W21" s="148">
        <f t="shared" si="9"/>
        <v>17.682670514337378</v>
      </c>
      <c r="X21" s="148">
        <f t="shared" si="9"/>
        <v>18.22118800390512</v>
      </c>
      <c r="Y21" s="148">
        <f t="shared" si="9"/>
        <v>18.776105792643463</v>
      </c>
      <c r="Z21" s="148">
        <f t="shared" si="9"/>
        <v>19.347923344020348</v>
      </c>
      <c r="AA21" s="148">
        <f t="shared" si="9"/>
        <v>19.937155332430859</v>
      </c>
      <c r="AB21" s="148">
        <f t="shared" si="9"/>
        <v>20.544332106438915</v>
      </c>
      <c r="AC21" s="148">
        <f t="shared" si="9"/>
        <v>21.170000166126787</v>
      </c>
      <c r="AD21" s="148">
        <f t="shared" si="9"/>
        <v>21.814722654982056</v>
      </c>
      <c r="AE21" s="148">
        <f t="shared" si="9"/>
        <v>22.479079866764764</v>
      </c>
      <c r="AF21" s="148">
        <f t="shared" si="9"/>
        <v>23.163669767810969</v>
      </c>
      <c r="AG21" s="148">
        <f t="shared" si="9"/>
        <v>23.869108535242823</v>
      </c>
      <c r="AH21" s="148">
        <f t="shared" si="9"/>
        <v>24.596031111569555</v>
      </c>
      <c r="AI21" s="148">
        <f t="shared" si="9"/>
        <v>25.345091776178609</v>
      </c>
      <c r="AJ21" s="148">
        <f t="shared" si="9"/>
        <v>26.116964734231242</v>
      </c>
      <c r="AK21" s="148">
        <f t="shared" si="9"/>
        <v>26.912344723492691</v>
      </c>
      <c r="AL21" s="148">
        <f t="shared" si="9"/>
        <v>27.73194763964305</v>
      </c>
      <c r="AM21" s="148">
        <f t="shared" si="9"/>
        <v>28.576511180631712</v>
      </c>
      <c r="AN21" s="148">
        <f t="shared" si="9"/>
        <v>29.446795510655317</v>
      </c>
      <c r="AO21" s="148">
        <f t="shared" si="9"/>
        <v>30.34358394435684</v>
      </c>
      <c r="AP21" s="148">
        <f t="shared" si="9"/>
        <v>31.267683651861649</v>
      </c>
      <c r="AQ21" s="148">
        <f t="shared" si="9"/>
        <v>32.219926385285099</v>
      </c>
      <c r="AR21" s="149">
        <f t="shared" si="9"/>
        <v>33.201169227365583</v>
      </c>
    </row>
    <row r="22" spans="1:44" s="13" customFormat="1">
      <c r="C22" s="138" t="s">
        <v>116</v>
      </c>
      <c r="D22" s="150">
        <f>(Opex_Fixed/MonDenValue)*Opex_FixedForeign/ExRate_Cur</f>
        <v>0.1</v>
      </c>
      <c r="E22" s="151">
        <f t="shared" ref="E22:AR22" si="10">D22*EXP(Opex_FixedGrowth)</f>
        <v>0.1030454533953517</v>
      </c>
      <c r="F22" s="151">
        <f t="shared" si="10"/>
        <v>0.106183654654536</v>
      </c>
      <c r="G22" s="151">
        <f t="shared" si="10"/>
        <v>0.10941742837052108</v>
      </c>
      <c r="H22" s="151">
        <f t="shared" si="10"/>
        <v>0.11274968515793762</v>
      </c>
      <c r="I22" s="151">
        <f t="shared" si="10"/>
        <v>0.11618342427282838</v>
      </c>
      <c r="J22" s="151">
        <f t="shared" si="10"/>
        <v>0.1197217363121811</v>
      </c>
      <c r="K22" s="151">
        <f t="shared" si="10"/>
        <v>0.12336780599567441</v>
      </c>
      <c r="L22" s="151">
        <f t="shared" si="10"/>
        <v>0.12712491503214057</v>
      </c>
      <c r="M22" s="151">
        <f t="shared" si="10"/>
        <v>0.13099644507332486</v>
      </c>
      <c r="N22" s="151">
        <f t="shared" si="10"/>
        <v>0.13498588075760046</v>
      </c>
      <c r="O22" s="151">
        <f t="shared" si="10"/>
        <v>0.13909681284637818</v>
      </c>
      <c r="P22" s="151">
        <f t="shared" si="10"/>
        <v>0.1433329414560342</v>
      </c>
      <c r="Q22" s="151">
        <f t="shared" si="10"/>
        <v>0.14769807938826446</v>
      </c>
      <c r="R22" s="151">
        <f t="shared" si="10"/>
        <v>0.15219615556186361</v>
      </c>
      <c r="S22" s="151">
        <f t="shared" si="10"/>
        <v>0.15683121854901713</v>
      </c>
      <c r="T22" s="151">
        <f t="shared" si="10"/>
        <v>0.16160744021928961</v>
      </c>
      <c r="U22" s="151">
        <f t="shared" si="10"/>
        <v>0.16652911949458893</v>
      </c>
      <c r="V22" s="151">
        <f t="shared" si="10"/>
        <v>0.17160068621848618</v>
      </c>
      <c r="W22" s="151">
        <f t="shared" si="10"/>
        <v>0.17682670514337387</v>
      </c>
      <c r="X22" s="151">
        <f t="shared" si="10"/>
        <v>0.18221188003905128</v>
      </c>
      <c r="Y22" s="151">
        <f t="shared" si="10"/>
        <v>0.18776105792643472</v>
      </c>
      <c r="Z22" s="151">
        <f t="shared" si="10"/>
        <v>0.19347923344020357</v>
      </c>
      <c r="AA22" s="151">
        <f t="shared" si="10"/>
        <v>0.19937155332430867</v>
      </c>
      <c r="AB22" s="151">
        <f t="shared" si="10"/>
        <v>0.20544332106438923</v>
      </c>
      <c r="AC22" s="151">
        <f t="shared" si="10"/>
        <v>0.21170000166126796</v>
      </c>
      <c r="AD22" s="151">
        <f t="shared" si="10"/>
        <v>0.21814722654982063</v>
      </c>
      <c r="AE22" s="151">
        <f t="shared" si="10"/>
        <v>0.2247907986676477</v>
      </c>
      <c r="AF22" s="151">
        <f t="shared" si="10"/>
        <v>0.23163669767810977</v>
      </c>
      <c r="AG22" s="151">
        <f t="shared" si="10"/>
        <v>0.23869108535242831</v>
      </c>
      <c r="AH22" s="151">
        <f t="shared" si="10"/>
        <v>0.24596031111569563</v>
      </c>
      <c r="AI22" s="151">
        <f t="shared" si="10"/>
        <v>0.25345091776178619</v>
      </c>
      <c r="AJ22" s="151">
        <f t="shared" si="10"/>
        <v>0.26116964734231252</v>
      </c>
      <c r="AK22" s="151">
        <f t="shared" si="10"/>
        <v>0.26912344723492704</v>
      </c>
      <c r="AL22" s="151">
        <f t="shared" si="10"/>
        <v>0.27731947639643062</v>
      </c>
      <c r="AM22" s="151">
        <f t="shared" si="10"/>
        <v>0.28576511180631725</v>
      </c>
      <c r="AN22" s="151">
        <f t="shared" si="10"/>
        <v>0.29446795510655333</v>
      </c>
      <c r="AO22" s="151">
        <f t="shared" si="10"/>
        <v>0.30343583944356856</v>
      </c>
      <c r="AP22" s="151">
        <f t="shared" si="10"/>
        <v>0.31267683651861661</v>
      </c>
      <c r="AQ22" s="151">
        <f t="shared" si="10"/>
        <v>0.32219926385285108</v>
      </c>
      <c r="AR22" s="152">
        <f t="shared" si="10"/>
        <v>0.3320116922736559</v>
      </c>
    </row>
    <row r="23" spans="1:44" s="13" customFormat="1">
      <c r="B23" s="181"/>
      <c r="C23" s="40" t="s">
        <v>17</v>
      </c>
      <c r="E23" s="182"/>
    </row>
    <row r="24" spans="1:44" s="13" customFormat="1">
      <c r="C24" s="138" t="s">
        <v>115</v>
      </c>
      <c r="D24" s="147">
        <f>Opex_Var*(1-Opex_VarForeign)</f>
        <v>10</v>
      </c>
      <c r="E24" s="148">
        <f t="shared" ref="E24:AR24" si="11">D24*EXP(Opex_VarGrowth)</f>
        <v>10.304545339535169</v>
      </c>
      <c r="F24" s="148">
        <f t="shared" si="11"/>
        <v>10.618365465453598</v>
      </c>
      <c r="G24" s="148">
        <f t="shared" si="11"/>
        <v>10.941742837052107</v>
      </c>
      <c r="H24" s="148">
        <f t="shared" si="11"/>
        <v>11.274968515793761</v>
      </c>
      <c r="I24" s="148">
        <f t="shared" si="11"/>
        <v>11.618342427282837</v>
      </c>
      <c r="J24" s="148">
        <f t="shared" si="11"/>
        <v>11.972173631218109</v>
      </c>
      <c r="K24" s="148">
        <f t="shared" si="11"/>
        <v>12.33678059956744</v>
      </c>
      <c r="L24" s="148">
        <f t="shared" si="11"/>
        <v>12.712491503214055</v>
      </c>
      <c r="M24" s="148">
        <f t="shared" si="11"/>
        <v>13.099644507332483</v>
      </c>
      <c r="N24" s="148">
        <f t="shared" si="11"/>
        <v>13.498588075760042</v>
      </c>
      <c r="O24" s="148">
        <f t="shared" si="11"/>
        <v>13.909681284637815</v>
      </c>
      <c r="P24" s="148">
        <f t="shared" si="11"/>
        <v>14.333294145603416</v>
      </c>
      <c r="Q24" s="148">
        <f t="shared" si="11"/>
        <v>14.769807938826441</v>
      </c>
      <c r="R24" s="148">
        <f t="shared" si="11"/>
        <v>15.219615556186355</v>
      </c>
      <c r="S24" s="148">
        <f t="shared" si="11"/>
        <v>15.683121854901707</v>
      </c>
      <c r="T24" s="148">
        <f t="shared" si="11"/>
        <v>16.160744021928956</v>
      </c>
      <c r="U24" s="148">
        <f t="shared" si="11"/>
        <v>16.652911949458886</v>
      </c>
      <c r="V24" s="148">
        <f t="shared" si="11"/>
        <v>17.160068621848609</v>
      </c>
      <c r="W24" s="148">
        <f t="shared" si="11"/>
        <v>17.682670514337378</v>
      </c>
      <c r="X24" s="148">
        <f t="shared" si="11"/>
        <v>18.22118800390512</v>
      </c>
      <c r="Y24" s="148">
        <f t="shared" si="11"/>
        <v>18.776105792643463</v>
      </c>
      <c r="Z24" s="148">
        <f t="shared" si="11"/>
        <v>19.347923344020348</v>
      </c>
      <c r="AA24" s="148">
        <f t="shared" si="11"/>
        <v>19.937155332430859</v>
      </c>
      <c r="AB24" s="148">
        <f t="shared" si="11"/>
        <v>20.544332106438915</v>
      </c>
      <c r="AC24" s="148">
        <f t="shared" si="11"/>
        <v>21.170000166126787</v>
      </c>
      <c r="AD24" s="148">
        <f t="shared" si="11"/>
        <v>21.814722654982056</v>
      </c>
      <c r="AE24" s="148">
        <f t="shared" si="11"/>
        <v>22.479079866764764</v>
      </c>
      <c r="AF24" s="148">
        <f t="shared" si="11"/>
        <v>23.163669767810969</v>
      </c>
      <c r="AG24" s="148">
        <f t="shared" si="11"/>
        <v>23.869108535242823</v>
      </c>
      <c r="AH24" s="148">
        <f t="shared" si="11"/>
        <v>24.596031111569555</v>
      </c>
      <c r="AI24" s="148">
        <f t="shared" si="11"/>
        <v>25.345091776178609</v>
      </c>
      <c r="AJ24" s="148">
        <f t="shared" si="11"/>
        <v>26.116964734231242</v>
      </c>
      <c r="AK24" s="148">
        <f t="shared" si="11"/>
        <v>26.912344723492691</v>
      </c>
      <c r="AL24" s="148">
        <f t="shared" si="11"/>
        <v>27.73194763964305</v>
      </c>
      <c r="AM24" s="148">
        <f t="shared" si="11"/>
        <v>28.576511180631712</v>
      </c>
      <c r="AN24" s="148">
        <f t="shared" si="11"/>
        <v>29.446795510655317</v>
      </c>
      <c r="AO24" s="148">
        <f t="shared" si="11"/>
        <v>30.34358394435684</v>
      </c>
      <c r="AP24" s="148">
        <f t="shared" si="11"/>
        <v>31.267683651861649</v>
      </c>
      <c r="AQ24" s="148">
        <f t="shared" si="11"/>
        <v>32.219926385285099</v>
      </c>
      <c r="AR24" s="149">
        <f t="shared" si="11"/>
        <v>33.201169227365583</v>
      </c>
    </row>
    <row r="25" spans="1:44" s="13" customFormat="1">
      <c r="C25" s="138" t="s">
        <v>116</v>
      </c>
      <c r="D25" s="150">
        <f>Opex_Var*Opex_VarForeign/ExRate_Cur</f>
        <v>0.1</v>
      </c>
      <c r="E25" s="151">
        <f t="shared" ref="E25:AR25" si="12">D25*EXP(Opex_VarGrowth)</f>
        <v>0.1030454533953517</v>
      </c>
      <c r="F25" s="151">
        <f t="shared" si="12"/>
        <v>0.106183654654536</v>
      </c>
      <c r="G25" s="151">
        <f t="shared" si="12"/>
        <v>0.10941742837052108</v>
      </c>
      <c r="H25" s="151">
        <f t="shared" si="12"/>
        <v>0.11274968515793762</v>
      </c>
      <c r="I25" s="151">
        <f t="shared" si="12"/>
        <v>0.11618342427282838</v>
      </c>
      <c r="J25" s="151">
        <f t="shared" si="12"/>
        <v>0.1197217363121811</v>
      </c>
      <c r="K25" s="151">
        <f t="shared" si="12"/>
        <v>0.12336780599567441</v>
      </c>
      <c r="L25" s="151">
        <f t="shared" si="12"/>
        <v>0.12712491503214057</v>
      </c>
      <c r="M25" s="151">
        <f t="shared" si="12"/>
        <v>0.13099644507332486</v>
      </c>
      <c r="N25" s="151">
        <f t="shared" si="12"/>
        <v>0.13498588075760046</v>
      </c>
      <c r="O25" s="151">
        <f t="shared" si="12"/>
        <v>0.13909681284637818</v>
      </c>
      <c r="P25" s="151">
        <f t="shared" si="12"/>
        <v>0.1433329414560342</v>
      </c>
      <c r="Q25" s="151">
        <f t="shared" si="12"/>
        <v>0.14769807938826446</v>
      </c>
      <c r="R25" s="151">
        <f t="shared" si="12"/>
        <v>0.15219615556186361</v>
      </c>
      <c r="S25" s="151">
        <f t="shared" si="12"/>
        <v>0.15683121854901713</v>
      </c>
      <c r="T25" s="151">
        <f t="shared" si="12"/>
        <v>0.16160744021928961</v>
      </c>
      <c r="U25" s="151">
        <f t="shared" si="12"/>
        <v>0.16652911949458893</v>
      </c>
      <c r="V25" s="151">
        <f t="shared" si="12"/>
        <v>0.17160068621848618</v>
      </c>
      <c r="W25" s="151">
        <f t="shared" si="12"/>
        <v>0.17682670514337387</v>
      </c>
      <c r="X25" s="151">
        <f t="shared" si="12"/>
        <v>0.18221188003905128</v>
      </c>
      <c r="Y25" s="151">
        <f t="shared" si="12"/>
        <v>0.18776105792643472</v>
      </c>
      <c r="Z25" s="151">
        <f t="shared" si="12"/>
        <v>0.19347923344020357</v>
      </c>
      <c r="AA25" s="151">
        <f t="shared" si="12"/>
        <v>0.19937155332430867</v>
      </c>
      <c r="AB25" s="151">
        <f t="shared" si="12"/>
        <v>0.20544332106438923</v>
      </c>
      <c r="AC25" s="151">
        <f t="shared" si="12"/>
        <v>0.21170000166126796</v>
      </c>
      <c r="AD25" s="151">
        <f t="shared" si="12"/>
        <v>0.21814722654982063</v>
      </c>
      <c r="AE25" s="151">
        <f t="shared" si="12"/>
        <v>0.2247907986676477</v>
      </c>
      <c r="AF25" s="151">
        <f t="shared" si="12"/>
        <v>0.23163669767810977</v>
      </c>
      <c r="AG25" s="151">
        <f t="shared" si="12"/>
        <v>0.23869108535242831</v>
      </c>
      <c r="AH25" s="151">
        <f t="shared" si="12"/>
        <v>0.24596031111569563</v>
      </c>
      <c r="AI25" s="151">
        <f t="shared" si="12"/>
        <v>0.25345091776178619</v>
      </c>
      <c r="AJ25" s="151">
        <f t="shared" si="12"/>
        <v>0.26116964734231252</v>
      </c>
      <c r="AK25" s="151">
        <f t="shared" si="12"/>
        <v>0.26912344723492704</v>
      </c>
      <c r="AL25" s="151">
        <f t="shared" si="12"/>
        <v>0.27731947639643062</v>
      </c>
      <c r="AM25" s="151">
        <f t="shared" si="12"/>
        <v>0.28576511180631725</v>
      </c>
      <c r="AN25" s="151">
        <f t="shared" si="12"/>
        <v>0.29446795510655333</v>
      </c>
      <c r="AO25" s="151">
        <f t="shared" si="12"/>
        <v>0.30343583944356856</v>
      </c>
      <c r="AP25" s="151">
        <f t="shared" si="12"/>
        <v>0.31267683651861661</v>
      </c>
      <c r="AQ25" s="151">
        <f t="shared" si="12"/>
        <v>0.32219926385285108</v>
      </c>
      <c r="AR25" s="152">
        <f t="shared" si="12"/>
        <v>0.3320116922736559</v>
      </c>
    </row>
    <row r="26" spans="1:44" s="175" customFormat="1">
      <c r="C26" s="265"/>
      <c r="D26" s="211"/>
      <c r="E26" s="211"/>
      <c r="F26" s="211"/>
      <c r="G26" s="211"/>
      <c r="H26" s="211"/>
      <c r="I26" s="211"/>
      <c r="J26" s="211"/>
      <c r="K26" s="211"/>
      <c r="L26" s="211"/>
      <c r="M26" s="211"/>
      <c r="N26" s="211"/>
    </row>
    <row r="27" spans="1:44" s="3" customFormat="1"/>
    <row r="28" spans="1:44" s="45" customFormat="1" ht="17.399999999999999">
      <c r="A28" s="43" t="str">
        <f>CONCATENATE("Financing Costs (",MonDenomination,")")</f>
        <v>Financing Costs (Millions)</v>
      </c>
      <c r="B28" s="44"/>
      <c r="C28" s="44"/>
    </row>
    <row r="29" spans="1:44" s="13" customFormat="1">
      <c r="B29" s="4" t="s">
        <v>117</v>
      </c>
      <c r="E29" s="183">
        <f t="shared" ref="E29:AR29" ca="1" si="13">Connections_New*InvestPerConnection/(DeflateFactor_Risk*MonDenValue)</f>
        <v>0.58076004469119558</v>
      </c>
      <c r="F29" s="184">
        <f t="shared" ca="1" si="13"/>
        <v>1.0361691743584962</v>
      </c>
      <c r="G29" s="184">
        <f t="shared" ca="1" si="13"/>
        <v>2.8243957954828969</v>
      </c>
      <c r="H29" s="184">
        <f t="shared" ca="1" si="13"/>
        <v>6.9597882902279968</v>
      </c>
      <c r="I29" s="184">
        <f t="shared" ca="1" si="13"/>
        <v>13.775236038493627</v>
      </c>
      <c r="J29" s="184">
        <f t="shared" ca="1" si="13"/>
        <v>18.714298920136674</v>
      </c>
      <c r="K29" s="184">
        <f t="shared" ca="1" si="13"/>
        <v>16.119528069651029</v>
      </c>
      <c r="L29" s="184">
        <f t="shared" ca="1" si="13"/>
        <v>9.5211758702799862</v>
      </c>
      <c r="M29" s="184">
        <f t="shared" ca="1" si="13"/>
        <v>4.4933196631765293</v>
      </c>
      <c r="N29" s="184">
        <f t="shared" ca="1" si="13"/>
        <v>3.0564633197416438</v>
      </c>
      <c r="O29" s="184">
        <f t="shared" ca="1" si="13"/>
        <v>0</v>
      </c>
      <c r="P29" s="184">
        <f t="shared" ca="1" si="13"/>
        <v>0</v>
      </c>
      <c r="Q29" s="184">
        <f t="shared" ca="1" si="13"/>
        <v>0</v>
      </c>
      <c r="R29" s="184">
        <f t="shared" ca="1" si="13"/>
        <v>0</v>
      </c>
      <c r="S29" s="184">
        <f t="shared" ca="1" si="13"/>
        <v>0</v>
      </c>
      <c r="T29" s="184">
        <f t="shared" ca="1" si="13"/>
        <v>0</v>
      </c>
      <c r="U29" s="184">
        <f t="shared" ca="1" si="13"/>
        <v>0</v>
      </c>
      <c r="V29" s="184">
        <f t="shared" ca="1" si="13"/>
        <v>0</v>
      </c>
      <c r="W29" s="184">
        <f t="shared" ca="1" si="13"/>
        <v>0</v>
      </c>
      <c r="X29" s="184">
        <f t="shared" ca="1" si="13"/>
        <v>0</v>
      </c>
      <c r="Y29" s="184">
        <f t="shared" ca="1" si="13"/>
        <v>0</v>
      </c>
      <c r="Z29" s="184">
        <f t="shared" ca="1" si="13"/>
        <v>0</v>
      </c>
      <c r="AA29" s="184">
        <f t="shared" ca="1" si="13"/>
        <v>0</v>
      </c>
      <c r="AB29" s="184">
        <f t="shared" ca="1" si="13"/>
        <v>0</v>
      </c>
      <c r="AC29" s="184">
        <f t="shared" ca="1" si="13"/>
        <v>0</v>
      </c>
      <c r="AD29" s="184">
        <f t="shared" ca="1" si="13"/>
        <v>0</v>
      </c>
      <c r="AE29" s="184">
        <f t="shared" ca="1" si="13"/>
        <v>0</v>
      </c>
      <c r="AF29" s="184">
        <f t="shared" ca="1" si="13"/>
        <v>0</v>
      </c>
      <c r="AG29" s="184">
        <f t="shared" ca="1" si="13"/>
        <v>0</v>
      </c>
      <c r="AH29" s="184">
        <f t="shared" ca="1" si="13"/>
        <v>0</v>
      </c>
      <c r="AI29" s="184">
        <f t="shared" ca="1" si="13"/>
        <v>0</v>
      </c>
      <c r="AJ29" s="184">
        <f t="shared" ca="1" si="13"/>
        <v>0</v>
      </c>
      <c r="AK29" s="184">
        <f t="shared" ca="1" si="13"/>
        <v>0</v>
      </c>
      <c r="AL29" s="184">
        <f t="shared" ca="1" si="13"/>
        <v>0</v>
      </c>
      <c r="AM29" s="184">
        <f t="shared" ca="1" si="13"/>
        <v>0</v>
      </c>
      <c r="AN29" s="184">
        <f t="shared" ca="1" si="13"/>
        <v>0</v>
      </c>
      <c r="AO29" s="184">
        <f t="shared" ca="1" si="13"/>
        <v>0</v>
      </c>
      <c r="AP29" s="184">
        <f t="shared" ca="1" si="13"/>
        <v>0</v>
      </c>
      <c r="AQ29" s="184">
        <f t="shared" ca="1" si="13"/>
        <v>0</v>
      </c>
      <c r="AR29" s="185">
        <f t="shared" ca="1" si="13"/>
        <v>0</v>
      </c>
    </row>
    <row r="30" spans="1:44" s="13" customFormat="1">
      <c r="B30" s="186"/>
      <c r="C30" s="13" t="s">
        <v>118</v>
      </c>
      <c r="E30" s="187">
        <f ca="1">E29*ServExt_Debt</f>
        <v>0.29038002234559779</v>
      </c>
      <c r="F30" s="188">
        <f t="shared" ref="F30:AR30" ca="1" si="14">F29*ServExt_Debt</f>
        <v>0.5180845871792481</v>
      </c>
      <c r="G30" s="188">
        <f t="shared" ca="1" si="14"/>
        <v>1.4121978977414484</v>
      </c>
      <c r="H30" s="188">
        <f t="shared" ca="1" si="14"/>
        <v>3.4798941451139984</v>
      </c>
      <c r="I30" s="188">
        <f t="shared" ca="1" si="14"/>
        <v>6.8876180192468137</v>
      </c>
      <c r="J30" s="188">
        <f t="shared" ca="1" si="14"/>
        <v>9.3571494600683369</v>
      </c>
      <c r="K30" s="188">
        <f t="shared" ca="1" si="14"/>
        <v>8.0597640348255144</v>
      </c>
      <c r="L30" s="188">
        <f t="shared" ca="1" si="14"/>
        <v>4.7605879351399931</v>
      </c>
      <c r="M30" s="188">
        <f t="shared" ca="1" si="14"/>
        <v>2.2466598315882647</v>
      </c>
      <c r="N30" s="188">
        <f t="shared" ca="1" si="14"/>
        <v>1.5282316598708219</v>
      </c>
      <c r="O30" s="188">
        <f t="shared" ca="1" si="14"/>
        <v>0</v>
      </c>
      <c r="P30" s="188">
        <f t="shared" ca="1" si="14"/>
        <v>0</v>
      </c>
      <c r="Q30" s="188">
        <f t="shared" ca="1" si="14"/>
        <v>0</v>
      </c>
      <c r="R30" s="188">
        <f t="shared" ca="1" si="14"/>
        <v>0</v>
      </c>
      <c r="S30" s="188">
        <f t="shared" ca="1" si="14"/>
        <v>0</v>
      </c>
      <c r="T30" s="188">
        <f t="shared" ca="1" si="14"/>
        <v>0</v>
      </c>
      <c r="U30" s="188">
        <f t="shared" ca="1" si="14"/>
        <v>0</v>
      </c>
      <c r="V30" s="188">
        <f t="shared" ca="1" si="14"/>
        <v>0</v>
      </c>
      <c r="W30" s="188">
        <f t="shared" ca="1" si="14"/>
        <v>0</v>
      </c>
      <c r="X30" s="188">
        <f t="shared" ca="1" si="14"/>
        <v>0</v>
      </c>
      <c r="Y30" s="188">
        <f t="shared" ca="1" si="14"/>
        <v>0</v>
      </c>
      <c r="Z30" s="188">
        <f t="shared" ca="1" si="14"/>
        <v>0</v>
      </c>
      <c r="AA30" s="188">
        <f t="shared" ca="1" si="14"/>
        <v>0</v>
      </c>
      <c r="AB30" s="188">
        <f t="shared" ca="1" si="14"/>
        <v>0</v>
      </c>
      <c r="AC30" s="188">
        <f t="shared" ca="1" si="14"/>
        <v>0</v>
      </c>
      <c r="AD30" s="188">
        <f t="shared" ca="1" si="14"/>
        <v>0</v>
      </c>
      <c r="AE30" s="188">
        <f t="shared" ca="1" si="14"/>
        <v>0</v>
      </c>
      <c r="AF30" s="188">
        <f t="shared" ca="1" si="14"/>
        <v>0</v>
      </c>
      <c r="AG30" s="188">
        <f t="shared" ca="1" si="14"/>
        <v>0</v>
      </c>
      <c r="AH30" s="188">
        <f t="shared" ca="1" si="14"/>
        <v>0</v>
      </c>
      <c r="AI30" s="188">
        <f t="shared" ca="1" si="14"/>
        <v>0</v>
      </c>
      <c r="AJ30" s="188">
        <f t="shared" ca="1" si="14"/>
        <v>0</v>
      </c>
      <c r="AK30" s="188">
        <f t="shared" ca="1" si="14"/>
        <v>0</v>
      </c>
      <c r="AL30" s="188">
        <f t="shared" ca="1" si="14"/>
        <v>0</v>
      </c>
      <c r="AM30" s="188">
        <f t="shared" ca="1" si="14"/>
        <v>0</v>
      </c>
      <c r="AN30" s="188">
        <f t="shared" ca="1" si="14"/>
        <v>0</v>
      </c>
      <c r="AO30" s="188">
        <f t="shared" ca="1" si="14"/>
        <v>0</v>
      </c>
      <c r="AP30" s="188">
        <f t="shared" ca="1" si="14"/>
        <v>0</v>
      </c>
      <c r="AQ30" s="188">
        <f t="shared" ca="1" si="14"/>
        <v>0</v>
      </c>
      <c r="AR30" s="189">
        <f t="shared" ca="1" si="14"/>
        <v>0</v>
      </c>
    </row>
    <row r="31" spans="1:44" s="13" customFormat="1">
      <c r="B31" s="40" t="str">
        <f>"Debt financing (" &amp; LOWER(ServExt_LoanIntDen) &amp; " currency)"</f>
        <v>Debt financing (foreign currency)</v>
      </c>
    </row>
    <row r="32" spans="1:44" s="13" customFormat="1">
      <c r="C32" s="40" t="s">
        <v>119</v>
      </c>
      <c r="D32" s="190" t="s">
        <v>120</v>
      </c>
      <c r="O32" s="191"/>
      <c r="P32" s="191"/>
      <c r="Q32" s="191"/>
      <c r="R32" s="191"/>
      <c r="S32" s="191"/>
      <c r="T32" s="191"/>
      <c r="U32" s="191"/>
      <c r="V32" s="191"/>
      <c r="W32" s="191"/>
      <c r="X32" s="191"/>
      <c r="Y32" s="191"/>
      <c r="Z32" s="191"/>
      <c r="AA32" s="191"/>
      <c r="AB32" s="191"/>
      <c r="AC32" s="191"/>
      <c r="AD32" s="191"/>
      <c r="AE32" s="191"/>
      <c r="AF32" s="191"/>
      <c r="AG32" s="191"/>
      <c r="AH32" s="191"/>
      <c r="AI32" s="191"/>
      <c r="AJ32" s="191"/>
      <c r="AK32" s="191"/>
      <c r="AL32" s="191"/>
      <c r="AM32" s="191"/>
      <c r="AN32" s="191"/>
      <c r="AO32" s="191"/>
      <c r="AP32" s="191"/>
      <c r="AQ32" s="191"/>
      <c r="AR32" s="191"/>
    </row>
    <row r="33" spans="2:44" s="13" customFormat="1">
      <c r="B33" s="138"/>
      <c r="C33" s="193" t="str">
        <f t="shared" ref="C33:C72" si="15">IF(INDEX(Year,1,5+ROW()-ROW($A$33))="","","Investment in Year "&amp;INDEX(Year,1,5+ROW()-ROW($A$33)))</f>
        <v>Investment in Year 1</v>
      </c>
      <c r="D33" s="194">
        <f t="shared" ref="D33:D72" ca="1" si="16">INDEX($30:$30,1,5+ROW()-ROW($A$33))/IF(ServExt_LoanIntDen=lbl_Dom,1,INDEX(RealExRate_Risk,1,5+ROW()-ROW($A$33)))</f>
        <v>2.8486209860189354E-3</v>
      </c>
      <c r="E33" s="195">
        <f t="shared" ref="E33:N42" ca="1" si="17">IF(OR($C33="",Year&gt;Contract_Length),,IF(Year&lt;INDEX(Year,1,5+ROW()-ROW($A$33)),,IF(Year&gt;INDEX(Year,1,5+ROW()-ROW($A$33))+Invest_Period-1,,$D33/Invest_Period)))</f>
        <v>1.4243104930094678E-4</v>
      </c>
      <c r="F33" s="196">
        <f t="shared" ca="1" si="17"/>
        <v>1.4243104930094678E-4</v>
      </c>
      <c r="G33" s="196">
        <f t="shared" ca="1" si="17"/>
        <v>1.4243104930094678E-4</v>
      </c>
      <c r="H33" s="196">
        <f t="shared" ca="1" si="17"/>
        <v>1.4243104930094678E-4</v>
      </c>
      <c r="I33" s="196">
        <f t="shared" ca="1" si="17"/>
        <v>1.4243104930094678E-4</v>
      </c>
      <c r="J33" s="196">
        <f t="shared" ca="1" si="17"/>
        <v>1.4243104930094678E-4</v>
      </c>
      <c r="K33" s="196">
        <f t="shared" ca="1" si="17"/>
        <v>1.4243104930094678E-4</v>
      </c>
      <c r="L33" s="196">
        <f t="shared" ca="1" si="17"/>
        <v>1.4243104930094678E-4</v>
      </c>
      <c r="M33" s="196">
        <f t="shared" ca="1" si="17"/>
        <v>1.4243104930094678E-4</v>
      </c>
      <c r="N33" s="196">
        <f t="shared" ca="1" si="17"/>
        <v>1.4243104930094678E-4</v>
      </c>
      <c r="O33" s="196">
        <f t="shared" ref="O33:X42" ca="1" si="18">IF(OR($C33="",Year&gt;Contract_Length),,IF(Year&lt;INDEX(Year,1,5+ROW()-ROW($A$33)),,IF(Year&gt;INDEX(Year,1,5+ROW()-ROW($A$33))+Invest_Period-1,,$D33/Invest_Period)))</f>
        <v>1.4243104930094678E-4</v>
      </c>
      <c r="P33" s="196">
        <f t="shared" ca="1" si="18"/>
        <v>1.4243104930094678E-4</v>
      </c>
      <c r="Q33" s="196">
        <f t="shared" ca="1" si="18"/>
        <v>1.4243104930094678E-4</v>
      </c>
      <c r="R33" s="196">
        <f t="shared" ca="1" si="18"/>
        <v>1.4243104930094678E-4</v>
      </c>
      <c r="S33" s="196">
        <f t="shared" ca="1" si="18"/>
        <v>1.4243104930094678E-4</v>
      </c>
      <c r="T33" s="196">
        <f t="shared" ca="1" si="18"/>
        <v>1.4243104930094678E-4</v>
      </c>
      <c r="U33" s="196">
        <f t="shared" ca="1" si="18"/>
        <v>1.4243104930094678E-4</v>
      </c>
      <c r="V33" s="196">
        <f t="shared" ca="1" si="18"/>
        <v>1.4243104930094678E-4</v>
      </c>
      <c r="W33" s="196">
        <f t="shared" ca="1" si="18"/>
        <v>1.4243104930094678E-4</v>
      </c>
      <c r="X33" s="196">
        <f t="shared" ca="1" si="18"/>
        <v>1.4243104930094678E-4</v>
      </c>
      <c r="Y33" s="196">
        <f t="shared" ref="Y33:AH42" si="19">IF(OR($C33="",Year&gt;Contract_Length),,IF(Year&lt;INDEX(Year,1,5+ROW()-ROW($A$33)),,IF(Year&gt;INDEX(Year,1,5+ROW()-ROW($A$33))+Invest_Period-1,,$D33/Invest_Period)))</f>
        <v>0</v>
      </c>
      <c r="Z33" s="196">
        <f t="shared" si="19"/>
        <v>0</v>
      </c>
      <c r="AA33" s="196">
        <f t="shared" si="19"/>
        <v>0</v>
      </c>
      <c r="AB33" s="196">
        <f t="shared" si="19"/>
        <v>0</v>
      </c>
      <c r="AC33" s="196">
        <f t="shared" si="19"/>
        <v>0</v>
      </c>
      <c r="AD33" s="196">
        <f t="shared" si="19"/>
        <v>0</v>
      </c>
      <c r="AE33" s="196">
        <f t="shared" si="19"/>
        <v>0</v>
      </c>
      <c r="AF33" s="196">
        <f t="shared" si="19"/>
        <v>0</v>
      </c>
      <c r="AG33" s="196">
        <f t="shared" si="19"/>
        <v>0</v>
      </c>
      <c r="AH33" s="196">
        <f t="shared" si="19"/>
        <v>0</v>
      </c>
      <c r="AI33" s="196">
        <f t="shared" ref="AI33:AR42" si="20">IF(OR($C33="",Year&gt;Contract_Length),,IF(Year&lt;INDEX(Year,1,5+ROW()-ROW($A$33)),,IF(Year&gt;INDEX(Year,1,5+ROW()-ROW($A$33))+Invest_Period-1,,$D33/Invest_Period)))</f>
        <v>0</v>
      </c>
      <c r="AJ33" s="196">
        <f t="shared" si="20"/>
        <v>0</v>
      </c>
      <c r="AK33" s="196">
        <f t="shared" si="20"/>
        <v>0</v>
      </c>
      <c r="AL33" s="196">
        <f t="shared" si="20"/>
        <v>0</v>
      </c>
      <c r="AM33" s="196">
        <f t="shared" si="20"/>
        <v>0</v>
      </c>
      <c r="AN33" s="196">
        <f t="shared" si="20"/>
        <v>0</v>
      </c>
      <c r="AO33" s="196">
        <f t="shared" si="20"/>
        <v>0</v>
      </c>
      <c r="AP33" s="196">
        <f t="shared" si="20"/>
        <v>0</v>
      </c>
      <c r="AQ33" s="196">
        <f t="shared" si="20"/>
        <v>0</v>
      </c>
      <c r="AR33" s="197">
        <f t="shared" si="20"/>
        <v>0</v>
      </c>
    </row>
    <row r="34" spans="2:44" s="13" customFormat="1">
      <c r="B34" s="138"/>
      <c r="C34" s="193" t="str">
        <f t="shared" si="15"/>
        <v>Investment in Year 2</v>
      </c>
      <c r="D34" s="198">
        <f t="shared" ca="1" si="16"/>
        <v>4.8731416051752902E-3</v>
      </c>
      <c r="E34" s="199">
        <f t="shared" si="17"/>
        <v>0</v>
      </c>
      <c r="F34" s="200">
        <f t="shared" ca="1" si="17"/>
        <v>2.4365708025876452E-4</v>
      </c>
      <c r="G34" s="200">
        <f t="shared" ca="1" si="17"/>
        <v>2.4365708025876452E-4</v>
      </c>
      <c r="H34" s="200">
        <f t="shared" ca="1" si="17"/>
        <v>2.4365708025876452E-4</v>
      </c>
      <c r="I34" s="200">
        <f t="shared" ca="1" si="17"/>
        <v>2.4365708025876452E-4</v>
      </c>
      <c r="J34" s="200">
        <f t="shared" ca="1" si="17"/>
        <v>2.4365708025876452E-4</v>
      </c>
      <c r="K34" s="200">
        <f t="shared" ca="1" si="17"/>
        <v>2.4365708025876452E-4</v>
      </c>
      <c r="L34" s="200">
        <f t="shared" ca="1" si="17"/>
        <v>2.4365708025876452E-4</v>
      </c>
      <c r="M34" s="200">
        <f t="shared" ca="1" si="17"/>
        <v>2.4365708025876452E-4</v>
      </c>
      <c r="N34" s="200">
        <f t="shared" ca="1" si="17"/>
        <v>2.4365708025876452E-4</v>
      </c>
      <c r="O34" s="200">
        <f t="shared" ca="1" si="18"/>
        <v>2.4365708025876452E-4</v>
      </c>
      <c r="P34" s="200">
        <f t="shared" ca="1" si="18"/>
        <v>2.4365708025876452E-4</v>
      </c>
      <c r="Q34" s="200">
        <f t="shared" ca="1" si="18"/>
        <v>2.4365708025876452E-4</v>
      </c>
      <c r="R34" s="200">
        <f t="shared" ca="1" si="18"/>
        <v>2.4365708025876452E-4</v>
      </c>
      <c r="S34" s="200">
        <f t="shared" ca="1" si="18"/>
        <v>2.4365708025876452E-4</v>
      </c>
      <c r="T34" s="200">
        <f t="shared" ca="1" si="18"/>
        <v>2.4365708025876452E-4</v>
      </c>
      <c r="U34" s="200">
        <f t="shared" ca="1" si="18"/>
        <v>2.4365708025876452E-4</v>
      </c>
      <c r="V34" s="200">
        <f t="shared" ca="1" si="18"/>
        <v>2.4365708025876452E-4</v>
      </c>
      <c r="W34" s="200">
        <f t="shared" ca="1" si="18"/>
        <v>2.4365708025876452E-4</v>
      </c>
      <c r="X34" s="200">
        <f t="shared" ca="1" si="18"/>
        <v>2.4365708025876452E-4</v>
      </c>
      <c r="Y34" s="200">
        <f t="shared" si="19"/>
        <v>0</v>
      </c>
      <c r="Z34" s="200">
        <f t="shared" si="19"/>
        <v>0</v>
      </c>
      <c r="AA34" s="200">
        <f t="shared" si="19"/>
        <v>0</v>
      </c>
      <c r="AB34" s="200">
        <f t="shared" si="19"/>
        <v>0</v>
      </c>
      <c r="AC34" s="200">
        <f t="shared" si="19"/>
        <v>0</v>
      </c>
      <c r="AD34" s="200">
        <f t="shared" si="19"/>
        <v>0</v>
      </c>
      <c r="AE34" s="200">
        <f t="shared" si="19"/>
        <v>0</v>
      </c>
      <c r="AF34" s="200">
        <f t="shared" si="19"/>
        <v>0</v>
      </c>
      <c r="AG34" s="200">
        <f t="shared" si="19"/>
        <v>0</v>
      </c>
      <c r="AH34" s="200">
        <f t="shared" si="19"/>
        <v>0</v>
      </c>
      <c r="AI34" s="200">
        <f t="shared" si="20"/>
        <v>0</v>
      </c>
      <c r="AJ34" s="200">
        <f t="shared" si="20"/>
        <v>0</v>
      </c>
      <c r="AK34" s="200">
        <f t="shared" si="20"/>
        <v>0</v>
      </c>
      <c r="AL34" s="200">
        <f t="shared" si="20"/>
        <v>0</v>
      </c>
      <c r="AM34" s="200">
        <f t="shared" si="20"/>
        <v>0</v>
      </c>
      <c r="AN34" s="200">
        <f t="shared" si="20"/>
        <v>0</v>
      </c>
      <c r="AO34" s="200">
        <f t="shared" si="20"/>
        <v>0</v>
      </c>
      <c r="AP34" s="200">
        <f t="shared" si="20"/>
        <v>0</v>
      </c>
      <c r="AQ34" s="200">
        <f t="shared" si="20"/>
        <v>0</v>
      </c>
      <c r="AR34" s="201">
        <f t="shared" si="20"/>
        <v>0</v>
      </c>
    </row>
    <row r="35" spans="2:44" s="13" customFormat="1">
      <c r="B35" s="138"/>
      <c r="C35" s="193" t="str">
        <f t="shared" si="15"/>
        <v>Investment in Year 3</v>
      </c>
      <c r="D35" s="198">
        <f t="shared" ca="1" si="16"/>
        <v>1.2326439905441855E-2</v>
      </c>
      <c r="E35" s="199">
        <f t="shared" si="17"/>
        <v>0</v>
      </c>
      <c r="F35" s="200">
        <f t="shared" si="17"/>
        <v>0</v>
      </c>
      <c r="G35" s="200">
        <f t="shared" ca="1" si="17"/>
        <v>6.1632199527209279E-4</v>
      </c>
      <c r="H35" s="200">
        <f t="shared" ca="1" si="17"/>
        <v>6.1632199527209279E-4</v>
      </c>
      <c r="I35" s="200">
        <f t="shared" ca="1" si="17"/>
        <v>6.1632199527209279E-4</v>
      </c>
      <c r="J35" s="200">
        <f t="shared" ca="1" si="17"/>
        <v>6.1632199527209279E-4</v>
      </c>
      <c r="K35" s="200">
        <f t="shared" ca="1" si="17"/>
        <v>6.1632199527209279E-4</v>
      </c>
      <c r="L35" s="200">
        <f t="shared" ca="1" si="17"/>
        <v>6.1632199527209279E-4</v>
      </c>
      <c r="M35" s="200">
        <f t="shared" ca="1" si="17"/>
        <v>6.1632199527209279E-4</v>
      </c>
      <c r="N35" s="200">
        <f t="shared" ca="1" si="17"/>
        <v>6.1632199527209279E-4</v>
      </c>
      <c r="O35" s="200">
        <f t="shared" ca="1" si="18"/>
        <v>6.1632199527209279E-4</v>
      </c>
      <c r="P35" s="200">
        <f t="shared" ca="1" si="18"/>
        <v>6.1632199527209279E-4</v>
      </c>
      <c r="Q35" s="200">
        <f t="shared" ca="1" si="18"/>
        <v>6.1632199527209279E-4</v>
      </c>
      <c r="R35" s="200">
        <f t="shared" ca="1" si="18"/>
        <v>6.1632199527209279E-4</v>
      </c>
      <c r="S35" s="200">
        <f t="shared" ca="1" si="18"/>
        <v>6.1632199527209279E-4</v>
      </c>
      <c r="T35" s="200">
        <f t="shared" ca="1" si="18"/>
        <v>6.1632199527209279E-4</v>
      </c>
      <c r="U35" s="200">
        <f t="shared" ca="1" si="18"/>
        <v>6.1632199527209279E-4</v>
      </c>
      <c r="V35" s="200">
        <f t="shared" ca="1" si="18"/>
        <v>6.1632199527209279E-4</v>
      </c>
      <c r="W35" s="200">
        <f t="shared" ca="1" si="18"/>
        <v>6.1632199527209279E-4</v>
      </c>
      <c r="X35" s="200">
        <f t="shared" ca="1" si="18"/>
        <v>6.1632199527209279E-4</v>
      </c>
      <c r="Y35" s="200">
        <f t="shared" si="19"/>
        <v>0</v>
      </c>
      <c r="Z35" s="200">
        <f t="shared" si="19"/>
        <v>0</v>
      </c>
      <c r="AA35" s="200">
        <f t="shared" si="19"/>
        <v>0</v>
      </c>
      <c r="AB35" s="200">
        <f t="shared" si="19"/>
        <v>0</v>
      </c>
      <c r="AC35" s="200">
        <f t="shared" si="19"/>
        <v>0</v>
      </c>
      <c r="AD35" s="200">
        <f t="shared" si="19"/>
        <v>0</v>
      </c>
      <c r="AE35" s="200">
        <f t="shared" si="19"/>
        <v>0</v>
      </c>
      <c r="AF35" s="200">
        <f t="shared" si="19"/>
        <v>0</v>
      </c>
      <c r="AG35" s="200">
        <f t="shared" si="19"/>
        <v>0</v>
      </c>
      <c r="AH35" s="200">
        <f t="shared" si="19"/>
        <v>0</v>
      </c>
      <c r="AI35" s="200">
        <f t="shared" si="20"/>
        <v>0</v>
      </c>
      <c r="AJ35" s="200">
        <f t="shared" si="20"/>
        <v>0</v>
      </c>
      <c r="AK35" s="200">
        <f t="shared" si="20"/>
        <v>0</v>
      </c>
      <c r="AL35" s="200">
        <f t="shared" si="20"/>
        <v>0</v>
      </c>
      <c r="AM35" s="200">
        <f t="shared" si="20"/>
        <v>0</v>
      </c>
      <c r="AN35" s="200">
        <f t="shared" si="20"/>
        <v>0</v>
      </c>
      <c r="AO35" s="200">
        <f t="shared" si="20"/>
        <v>0</v>
      </c>
      <c r="AP35" s="200">
        <f t="shared" si="20"/>
        <v>0</v>
      </c>
      <c r="AQ35" s="200">
        <f t="shared" si="20"/>
        <v>0</v>
      </c>
      <c r="AR35" s="201">
        <f t="shared" si="20"/>
        <v>0</v>
      </c>
    </row>
    <row r="36" spans="2:44" s="13" customFormat="1">
      <c r="B36" s="138"/>
      <c r="C36" s="193" t="str">
        <f t="shared" si="15"/>
        <v>Investment in Year 4</v>
      </c>
      <c r="D36" s="198">
        <f t="shared" ca="1" si="16"/>
        <v>2.8578250240217852E-2</v>
      </c>
      <c r="E36" s="199">
        <f t="shared" si="17"/>
        <v>0</v>
      </c>
      <c r="F36" s="200">
        <f t="shared" si="17"/>
        <v>0</v>
      </c>
      <c r="G36" s="200">
        <f t="shared" si="17"/>
        <v>0</v>
      </c>
      <c r="H36" s="200">
        <f t="shared" ca="1" si="17"/>
        <v>1.4289125120108925E-3</v>
      </c>
      <c r="I36" s="200">
        <f t="shared" ca="1" si="17"/>
        <v>1.4289125120108925E-3</v>
      </c>
      <c r="J36" s="200">
        <f t="shared" ca="1" si="17"/>
        <v>1.4289125120108925E-3</v>
      </c>
      <c r="K36" s="200">
        <f t="shared" ca="1" si="17"/>
        <v>1.4289125120108925E-3</v>
      </c>
      <c r="L36" s="200">
        <f t="shared" ca="1" si="17"/>
        <v>1.4289125120108925E-3</v>
      </c>
      <c r="M36" s="200">
        <f t="shared" ca="1" si="17"/>
        <v>1.4289125120108925E-3</v>
      </c>
      <c r="N36" s="200">
        <f t="shared" ca="1" si="17"/>
        <v>1.4289125120108925E-3</v>
      </c>
      <c r="O36" s="200">
        <f t="shared" ca="1" si="18"/>
        <v>1.4289125120108925E-3</v>
      </c>
      <c r="P36" s="200">
        <f t="shared" ca="1" si="18"/>
        <v>1.4289125120108925E-3</v>
      </c>
      <c r="Q36" s="200">
        <f t="shared" ca="1" si="18"/>
        <v>1.4289125120108925E-3</v>
      </c>
      <c r="R36" s="200">
        <f t="shared" ca="1" si="18"/>
        <v>1.4289125120108925E-3</v>
      </c>
      <c r="S36" s="200">
        <f t="shared" ca="1" si="18"/>
        <v>1.4289125120108925E-3</v>
      </c>
      <c r="T36" s="200">
        <f t="shared" ca="1" si="18"/>
        <v>1.4289125120108925E-3</v>
      </c>
      <c r="U36" s="200">
        <f t="shared" ca="1" si="18"/>
        <v>1.4289125120108925E-3</v>
      </c>
      <c r="V36" s="200">
        <f t="shared" ca="1" si="18"/>
        <v>1.4289125120108925E-3</v>
      </c>
      <c r="W36" s="200">
        <f t="shared" ca="1" si="18"/>
        <v>1.4289125120108925E-3</v>
      </c>
      <c r="X36" s="200">
        <f t="shared" ca="1" si="18"/>
        <v>1.4289125120108925E-3</v>
      </c>
      <c r="Y36" s="200">
        <f t="shared" si="19"/>
        <v>0</v>
      </c>
      <c r="Z36" s="200">
        <f t="shared" si="19"/>
        <v>0</v>
      </c>
      <c r="AA36" s="200">
        <f t="shared" si="19"/>
        <v>0</v>
      </c>
      <c r="AB36" s="200">
        <f t="shared" si="19"/>
        <v>0</v>
      </c>
      <c r="AC36" s="200">
        <f t="shared" si="19"/>
        <v>0</v>
      </c>
      <c r="AD36" s="200">
        <f t="shared" si="19"/>
        <v>0</v>
      </c>
      <c r="AE36" s="200">
        <f t="shared" si="19"/>
        <v>0</v>
      </c>
      <c r="AF36" s="200">
        <f t="shared" si="19"/>
        <v>0</v>
      </c>
      <c r="AG36" s="200">
        <f t="shared" si="19"/>
        <v>0</v>
      </c>
      <c r="AH36" s="200">
        <f t="shared" si="19"/>
        <v>0</v>
      </c>
      <c r="AI36" s="200">
        <f t="shared" si="20"/>
        <v>0</v>
      </c>
      <c r="AJ36" s="200">
        <f t="shared" si="20"/>
        <v>0</v>
      </c>
      <c r="AK36" s="200">
        <f t="shared" si="20"/>
        <v>0</v>
      </c>
      <c r="AL36" s="200">
        <f t="shared" si="20"/>
        <v>0</v>
      </c>
      <c r="AM36" s="200">
        <f t="shared" si="20"/>
        <v>0</v>
      </c>
      <c r="AN36" s="200">
        <f t="shared" si="20"/>
        <v>0</v>
      </c>
      <c r="AO36" s="200">
        <f t="shared" si="20"/>
        <v>0</v>
      </c>
      <c r="AP36" s="200">
        <f t="shared" si="20"/>
        <v>0</v>
      </c>
      <c r="AQ36" s="200">
        <f t="shared" si="20"/>
        <v>0</v>
      </c>
      <c r="AR36" s="201">
        <f t="shared" si="20"/>
        <v>0</v>
      </c>
    </row>
    <row r="37" spans="2:44" s="13" customFormat="1">
      <c r="B37" s="138"/>
      <c r="C37" s="193" t="str">
        <f t="shared" si="15"/>
        <v>Investment in Year 5</v>
      </c>
      <c r="D37" s="198">
        <f t="shared" ca="1" si="16"/>
        <v>5.105985430284387E-2</v>
      </c>
      <c r="E37" s="199">
        <f t="shared" si="17"/>
        <v>0</v>
      </c>
      <c r="F37" s="200">
        <f t="shared" si="17"/>
        <v>0</v>
      </c>
      <c r="G37" s="200">
        <f t="shared" si="17"/>
        <v>0</v>
      </c>
      <c r="H37" s="200">
        <f t="shared" si="17"/>
        <v>0</v>
      </c>
      <c r="I37" s="200">
        <f t="shared" ca="1" si="17"/>
        <v>2.5529927151421933E-3</v>
      </c>
      <c r="J37" s="200">
        <f t="shared" ca="1" si="17"/>
        <v>2.5529927151421933E-3</v>
      </c>
      <c r="K37" s="200">
        <f t="shared" ca="1" si="17"/>
        <v>2.5529927151421933E-3</v>
      </c>
      <c r="L37" s="200">
        <f t="shared" ca="1" si="17"/>
        <v>2.5529927151421933E-3</v>
      </c>
      <c r="M37" s="200">
        <f t="shared" ca="1" si="17"/>
        <v>2.5529927151421933E-3</v>
      </c>
      <c r="N37" s="200">
        <f t="shared" ca="1" si="17"/>
        <v>2.5529927151421933E-3</v>
      </c>
      <c r="O37" s="200">
        <f t="shared" ca="1" si="18"/>
        <v>2.5529927151421933E-3</v>
      </c>
      <c r="P37" s="200">
        <f t="shared" ca="1" si="18"/>
        <v>2.5529927151421933E-3</v>
      </c>
      <c r="Q37" s="200">
        <f t="shared" ca="1" si="18"/>
        <v>2.5529927151421933E-3</v>
      </c>
      <c r="R37" s="200">
        <f t="shared" ca="1" si="18"/>
        <v>2.5529927151421933E-3</v>
      </c>
      <c r="S37" s="200">
        <f t="shared" ca="1" si="18"/>
        <v>2.5529927151421933E-3</v>
      </c>
      <c r="T37" s="200">
        <f t="shared" ca="1" si="18"/>
        <v>2.5529927151421933E-3</v>
      </c>
      <c r="U37" s="200">
        <f t="shared" ca="1" si="18"/>
        <v>2.5529927151421933E-3</v>
      </c>
      <c r="V37" s="200">
        <f t="shared" ca="1" si="18"/>
        <v>2.5529927151421933E-3</v>
      </c>
      <c r="W37" s="200">
        <f t="shared" ca="1" si="18"/>
        <v>2.5529927151421933E-3</v>
      </c>
      <c r="X37" s="200">
        <f t="shared" ca="1" si="18"/>
        <v>2.5529927151421933E-3</v>
      </c>
      <c r="Y37" s="200">
        <f t="shared" si="19"/>
        <v>0</v>
      </c>
      <c r="Z37" s="200">
        <f t="shared" si="19"/>
        <v>0</v>
      </c>
      <c r="AA37" s="200">
        <f t="shared" si="19"/>
        <v>0</v>
      </c>
      <c r="AB37" s="200">
        <f t="shared" si="19"/>
        <v>0</v>
      </c>
      <c r="AC37" s="200">
        <f t="shared" si="19"/>
        <v>0</v>
      </c>
      <c r="AD37" s="200">
        <f t="shared" si="19"/>
        <v>0</v>
      </c>
      <c r="AE37" s="200">
        <f t="shared" si="19"/>
        <v>0</v>
      </c>
      <c r="AF37" s="200">
        <f t="shared" si="19"/>
        <v>0</v>
      </c>
      <c r="AG37" s="200">
        <f t="shared" si="19"/>
        <v>0</v>
      </c>
      <c r="AH37" s="200">
        <f t="shared" si="19"/>
        <v>0</v>
      </c>
      <c r="AI37" s="200">
        <f t="shared" si="20"/>
        <v>0</v>
      </c>
      <c r="AJ37" s="200">
        <f t="shared" si="20"/>
        <v>0</v>
      </c>
      <c r="AK37" s="200">
        <f t="shared" si="20"/>
        <v>0</v>
      </c>
      <c r="AL37" s="200">
        <f t="shared" si="20"/>
        <v>0</v>
      </c>
      <c r="AM37" s="200">
        <f t="shared" si="20"/>
        <v>0</v>
      </c>
      <c r="AN37" s="200">
        <f t="shared" si="20"/>
        <v>0</v>
      </c>
      <c r="AO37" s="200">
        <f t="shared" si="20"/>
        <v>0</v>
      </c>
      <c r="AP37" s="200">
        <f t="shared" si="20"/>
        <v>0</v>
      </c>
      <c r="AQ37" s="200">
        <f t="shared" si="20"/>
        <v>0</v>
      </c>
      <c r="AR37" s="201">
        <f t="shared" si="20"/>
        <v>0</v>
      </c>
    </row>
    <row r="38" spans="2:44" s="13" customFormat="1">
      <c r="B38" s="138"/>
      <c r="C38" s="193" t="str">
        <f t="shared" si="15"/>
        <v>Investment in Year 6</v>
      </c>
      <c r="D38" s="266">
        <f t="shared" ca="1" si="16"/>
        <v>7.2608626952293101E-2</v>
      </c>
      <c r="E38" s="199">
        <f t="shared" si="17"/>
        <v>0</v>
      </c>
      <c r="F38" s="200">
        <f t="shared" si="17"/>
        <v>0</v>
      </c>
      <c r="G38" s="200">
        <f t="shared" si="17"/>
        <v>0</v>
      </c>
      <c r="H38" s="200">
        <f t="shared" si="17"/>
        <v>0</v>
      </c>
      <c r="I38" s="200">
        <f t="shared" si="17"/>
        <v>0</v>
      </c>
      <c r="J38" s="200">
        <f t="shared" ca="1" si="17"/>
        <v>3.6304313476146549E-3</v>
      </c>
      <c r="K38" s="200">
        <f t="shared" ca="1" si="17"/>
        <v>3.6304313476146549E-3</v>
      </c>
      <c r="L38" s="200">
        <f t="shared" ca="1" si="17"/>
        <v>3.6304313476146549E-3</v>
      </c>
      <c r="M38" s="200">
        <f t="shared" ca="1" si="17"/>
        <v>3.6304313476146549E-3</v>
      </c>
      <c r="N38" s="200">
        <f t="shared" ca="1" si="17"/>
        <v>3.6304313476146549E-3</v>
      </c>
      <c r="O38" s="200">
        <f t="shared" ca="1" si="18"/>
        <v>3.6304313476146549E-3</v>
      </c>
      <c r="P38" s="200">
        <f t="shared" ca="1" si="18"/>
        <v>3.6304313476146549E-3</v>
      </c>
      <c r="Q38" s="200">
        <f t="shared" ca="1" si="18"/>
        <v>3.6304313476146549E-3</v>
      </c>
      <c r="R38" s="200">
        <f t="shared" ca="1" si="18"/>
        <v>3.6304313476146549E-3</v>
      </c>
      <c r="S38" s="200">
        <f t="shared" ca="1" si="18"/>
        <v>3.6304313476146549E-3</v>
      </c>
      <c r="T38" s="200">
        <f t="shared" ca="1" si="18"/>
        <v>3.6304313476146549E-3</v>
      </c>
      <c r="U38" s="200">
        <f t="shared" ca="1" si="18"/>
        <v>3.6304313476146549E-3</v>
      </c>
      <c r="V38" s="200">
        <f t="shared" ca="1" si="18"/>
        <v>3.6304313476146549E-3</v>
      </c>
      <c r="W38" s="200">
        <f t="shared" ca="1" si="18"/>
        <v>3.6304313476146549E-3</v>
      </c>
      <c r="X38" s="200">
        <f t="shared" ca="1" si="18"/>
        <v>3.6304313476146549E-3</v>
      </c>
      <c r="Y38" s="200">
        <f t="shared" si="19"/>
        <v>0</v>
      </c>
      <c r="Z38" s="200">
        <f t="shared" si="19"/>
        <v>0</v>
      </c>
      <c r="AA38" s="200">
        <f t="shared" si="19"/>
        <v>0</v>
      </c>
      <c r="AB38" s="200">
        <f t="shared" si="19"/>
        <v>0</v>
      </c>
      <c r="AC38" s="200">
        <f t="shared" si="19"/>
        <v>0</v>
      </c>
      <c r="AD38" s="200">
        <f t="shared" si="19"/>
        <v>0</v>
      </c>
      <c r="AE38" s="200">
        <f t="shared" si="19"/>
        <v>0</v>
      </c>
      <c r="AF38" s="200">
        <f t="shared" si="19"/>
        <v>0</v>
      </c>
      <c r="AG38" s="200">
        <f t="shared" si="19"/>
        <v>0</v>
      </c>
      <c r="AH38" s="200">
        <f t="shared" si="19"/>
        <v>0</v>
      </c>
      <c r="AI38" s="200">
        <f t="shared" si="20"/>
        <v>0</v>
      </c>
      <c r="AJ38" s="200">
        <f t="shared" si="20"/>
        <v>0</v>
      </c>
      <c r="AK38" s="200">
        <f t="shared" si="20"/>
        <v>0</v>
      </c>
      <c r="AL38" s="200">
        <f t="shared" si="20"/>
        <v>0</v>
      </c>
      <c r="AM38" s="200">
        <f t="shared" si="20"/>
        <v>0</v>
      </c>
      <c r="AN38" s="200">
        <f t="shared" si="20"/>
        <v>0</v>
      </c>
      <c r="AO38" s="200">
        <f t="shared" si="20"/>
        <v>0</v>
      </c>
      <c r="AP38" s="200">
        <f t="shared" si="20"/>
        <v>0</v>
      </c>
      <c r="AQ38" s="200">
        <f t="shared" si="20"/>
        <v>0</v>
      </c>
      <c r="AR38" s="201">
        <f t="shared" si="20"/>
        <v>0</v>
      </c>
    </row>
    <row r="39" spans="2:44" s="13" customFormat="1">
      <c r="B39" s="138"/>
      <c r="C39" s="193" t="str">
        <f t="shared" si="15"/>
        <v>Investment in Year 7</v>
      </c>
      <c r="D39" s="266">
        <f t="shared" ca="1" si="16"/>
        <v>5.4495792147294546E-2</v>
      </c>
      <c r="E39" s="199">
        <f t="shared" si="17"/>
        <v>0</v>
      </c>
      <c r="F39" s="200">
        <f t="shared" si="17"/>
        <v>0</v>
      </c>
      <c r="G39" s="200">
        <f t="shared" si="17"/>
        <v>0</v>
      </c>
      <c r="H39" s="200">
        <f t="shared" si="17"/>
        <v>0</v>
      </c>
      <c r="I39" s="200">
        <f t="shared" si="17"/>
        <v>0</v>
      </c>
      <c r="J39" s="200">
        <f t="shared" si="17"/>
        <v>0</v>
      </c>
      <c r="K39" s="200">
        <f t="shared" ca="1" si="17"/>
        <v>2.7247896073647271E-3</v>
      </c>
      <c r="L39" s="200">
        <f t="shared" ca="1" si="17"/>
        <v>2.7247896073647271E-3</v>
      </c>
      <c r="M39" s="200">
        <f t="shared" ca="1" si="17"/>
        <v>2.7247896073647271E-3</v>
      </c>
      <c r="N39" s="200">
        <f t="shared" ca="1" si="17"/>
        <v>2.7247896073647271E-3</v>
      </c>
      <c r="O39" s="200">
        <f t="shared" ca="1" si="18"/>
        <v>2.7247896073647271E-3</v>
      </c>
      <c r="P39" s="200">
        <f t="shared" ca="1" si="18"/>
        <v>2.7247896073647271E-3</v>
      </c>
      <c r="Q39" s="200">
        <f t="shared" ca="1" si="18"/>
        <v>2.7247896073647271E-3</v>
      </c>
      <c r="R39" s="200">
        <f t="shared" ca="1" si="18"/>
        <v>2.7247896073647271E-3</v>
      </c>
      <c r="S39" s="200">
        <f t="shared" ca="1" si="18"/>
        <v>2.7247896073647271E-3</v>
      </c>
      <c r="T39" s="200">
        <f t="shared" ca="1" si="18"/>
        <v>2.7247896073647271E-3</v>
      </c>
      <c r="U39" s="200">
        <f t="shared" ca="1" si="18"/>
        <v>2.7247896073647271E-3</v>
      </c>
      <c r="V39" s="200">
        <f t="shared" ca="1" si="18"/>
        <v>2.7247896073647271E-3</v>
      </c>
      <c r="W39" s="200">
        <f t="shared" ca="1" si="18"/>
        <v>2.7247896073647271E-3</v>
      </c>
      <c r="X39" s="200">
        <f t="shared" ca="1" si="18"/>
        <v>2.7247896073647271E-3</v>
      </c>
      <c r="Y39" s="200">
        <f t="shared" si="19"/>
        <v>0</v>
      </c>
      <c r="Z39" s="200">
        <f t="shared" si="19"/>
        <v>0</v>
      </c>
      <c r="AA39" s="200">
        <f t="shared" si="19"/>
        <v>0</v>
      </c>
      <c r="AB39" s="200">
        <f t="shared" si="19"/>
        <v>0</v>
      </c>
      <c r="AC39" s="200">
        <f t="shared" si="19"/>
        <v>0</v>
      </c>
      <c r="AD39" s="200">
        <f t="shared" si="19"/>
        <v>0</v>
      </c>
      <c r="AE39" s="200">
        <f t="shared" si="19"/>
        <v>0</v>
      </c>
      <c r="AF39" s="200">
        <f t="shared" si="19"/>
        <v>0</v>
      </c>
      <c r="AG39" s="200">
        <f t="shared" si="19"/>
        <v>0</v>
      </c>
      <c r="AH39" s="200">
        <f t="shared" si="19"/>
        <v>0</v>
      </c>
      <c r="AI39" s="200">
        <f t="shared" si="20"/>
        <v>0</v>
      </c>
      <c r="AJ39" s="200">
        <f t="shared" si="20"/>
        <v>0</v>
      </c>
      <c r="AK39" s="200">
        <f t="shared" si="20"/>
        <v>0</v>
      </c>
      <c r="AL39" s="200">
        <f t="shared" si="20"/>
        <v>0</v>
      </c>
      <c r="AM39" s="200">
        <f t="shared" si="20"/>
        <v>0</v>
      </c>
      <c r="AN39" s="200">
        <f t="shared" si="20"/>
        <v>0</v>
      </c>
      <c r="AO39" s="200">
        <f t="shared" si="20"/>
        <v>0</v>
      </c>
      <c r="AP39" s="200">
        <f t="shared" si="20"/>
        <v>0</v>
      </c>
      <c r="AQ39" s="200">
        <f t="shared" si="20"/>
        <v>0</v>
      </c>
      <c r="AR39" s="201">
        <f t="shared" si="20"/>
        <v>0</v>
      </c>
    </row>
    <row r="40" spans="2:44" s="13" customFormat="1">
      <c r="B40" s="138"/>
      <c r="C40" s="193" t="str">
        <f t="shared" si="15"/>
        <v>Investment in Year 8</v>
      </c>
      <c r="D40" s="266">
        <f t="shared" ca="1" si="16"/>
        <v>3.0751567305228877E-2</v>
      </c>
      <c r="E40" s="199">
        <f t="shared" si="17"/>
        <v>0</v>
      </c>
      <c r="F40" s="200">
        <f t="shared" si="17"/>
        <v>0</v>
      </c>
      <c r="G40" s="200">
        <f t="shared" si="17"/>
        <v>0</v>
      </c>
      <c r="H40" s="200">
        <f t="shared" si="17"/>
        <v>0</v>
      </c>
      <c r="I40" s="200">
        <f t="shared" si="17"/>
        <v>0</v>
      </c>
      <c r="J40" s="200">
        <f t="shared" si="17"/>
        <v>0</v>
      </c>
      <c r="K40" s="200">
        <f t="shared" si="17"/>
        <v>0</v>
      </c>
      <c r="L40" s="200">
        <f t="shared" ca="1" si="17"/>
        <v>1.5375783652614439E-3</v>
      </c>
      <c r="M40" s="200">
        <f t="shared" ca="1" si="17"/>
        <v>1.5375783652614439E-3</v>
      </c>
      <c r="N40" s="200">
        <f t="shared" ca="1" si="17"/>
        <v>1.5375783652614439E-3</v>
      </c>
      <c r="O40" s="200">
        <f t="shared" ca="1" si="18"/>
        <v>1.5375783652614439E-3</v>
      </c>
      <c r="P40" s="200">
        <f t="shared" ca="1" si="18"/>
        <v>1.5375783652614439E-3</v>
      </c>
      <c r="Q40" s="200">
        <f t="shared" ca="1" si="18"/>
        <v>1.5375783652614439E-3</v>
      </c>
      <c r="R40" s="200">
        <f t="shared" ca="1" si="18"/>
        <v>1.5375783652614439E-3</v>
      </c>
      <c r="S40" s="200">
        <f t="shared" ca="1" si="18"/>
        <v>1.5375783652614439E-3</v>
      </c>
      <c r="T40" s="200">
        <f t="shared" ca="1" si="18"/>
        <v>1.5375783652614439E-3</v>
      </c>
      <c r="U40" s="200">
        <f t="shared" ca="1" si="18"/>
        <v>1.5375783652614439E-3</v>
      </c>
      <c r="V40" s="200">
        <f t="shared" ca="1" si="18"/>
        <v>1.5375783652614439E-3</v>
      </c>
      <c r="W40" s="200">
        <f t="shared" ca="1" si="18"/>
        <v>1.5375783652614439E-3</v>
      </c>
      <c r="X40" s="200">
        <f t="shared" ca="1" si="18"/>
        <v>1.5375783652614439E-3</v>
      </c>
      <c r="Y40" s="200">
        <f t="shared" si="19"/>
        <v>0</v>
      </c>
      <c r="Z40" s="200">
        <f t="shared" si="19"/>
        <v>0</v>
      </c>
      <c r="AA40" s="200">
        <f t="shared" si="19"/>
        <v>0</v>
      </c>
      <c r="AB40" s="200">
        <f t="shared" si="19"/>
        <v>0</v>
      </c>
      <c r="AC40" s="200">
        <f t="shared" si="19"/>
        <v>0</v>
      </c>
      <c r="AD40" s="200">
        <f t="shared" si="19"/>
        <v>0</v>
      </c>
      <c r="AE40" s="200">
        <f t="shared" si="19"/>
        <v>0</v>
      </c>
      <c r="AF40" s="200">
        <f t="shared" si="19"/>
        <v>0</v>
      </c>
      <c r="AG40" s="200">
        <f t="shared" si="19"/>
        <v>0</v>
      </c>
      <c r="AH40" s="200">
        <f t="shared" si="19"/>
        <v>0</v>
      </c>
      <c r="AI40" s="200">
        <f t="shared" si="20"/>
        <v>0</v>
      </c>
      <c r="AJ40" s="200">
        <f t="shared" si="20"/>
        <v>0</v>
      </c>
      <c r="AK40" s="200">
        <f t="shared" si="20"/>
        <v>0</v>
      </c>
      <c r="AL40" s="200">
        <f t="shared" si="20"/>
        <v>0</v>
      </c>
      <c r="AM40" s="200">
        <f t="shared" si="20"/>
        <v>0</v>
      </c>
      <c r="AN40" s="200">
        <f t="shared" si="20"/>
        <v>0</v>
      </c>
      <c r="AO40" s="200">
        <f t="shared" si="20"/>
        <v>0</v>
      </c>
      <c r="AP40" s="200">
        <f t="shared" si="20"/>
        <v>0</v>
      </c>
      <c r="AQ40" s="200">
        <f t="shared" si="20"/>
        <v>0</v>
      </c>
      <c r="AR40" s="201">
        <f t="shared" si="20"/>
        <v>0</v>
      </c>
    </row>
    <row r="41" spans="2:44" s="13" customFormat="1">
      <c r="B41" s="138"/>
      <c r="C41" s="193" t="str">
        <f t="shared" si="15"/>
        <v>Investment in Year 9</v>
      </c>
      <c r="D41" s="266">
        <f t="shared" ca="1" si="16"/>
        <v>1.4282858576507195E-2</v>
      </c>
      <c r="E41" s="199">
        <f t="shared" si="17"/>
        <v>0</v>
      </c>
      <c r="F41" s="200">
        <f t="shared" si="17"/>
        <v>0</v>
      </c>
      <c r="G41" s="200">
        <f t="shared" si="17"/>
        <v>0</v>
      </c>
      <c r="H41" s="200">
        <f t="shared" si="17"/>
        <v>0</v>
      </c>
      <c r="I41" s="200">
        <f t="shared" si="17"/>
        <v>0</v>
      </c>
      <c r="J41" s="200">
        <f t="shared" si="17"/>
        <v>0</v>
      </c>
      <c r="K41" s="200">
        <f t="shared" si="17"/>
        <v>0</v>
      </c>
      <c r="L41" s="200">
        <f t="shared" si="17"/>
        <v>0</v>
      </c>
      <c r="M41" s="200">
        <f t="shared" ca="1" si="17"/>
        <v>7.141429288253598E-4</v>
      </c>
      <c r="N41" s="200">
        <f t="shared" ca="1" si="17"/>
        <v>7.141429288253598E-4</v>
      </c>
      <c r="O41" s="200">
        <f t="shared" ca="1" si="18"/>
        <v>7.141429288253598E-4</v>
      </c>
      <c r="P41" s="200">
        <f t="shared" ca="1" si="18"/>
        <v>7.141429288253598E-4</v>
      </c>
      <c r="Q41" s="200">
        <f t="shared" ca="1" si="18"/>
        <v>7.141429288253598E-4</v>
      </c>
      <c r="R41" s="200">
        <f t="shared" ca="1" si="18"/>
        <v>7.141429288253598E-4</v>
      </c>
      <c r="S41" s="200">
        <f t="shared" ca="1" si="18"/>
        <v>7.141429288253598E-4</v>
      </c>
      <c r="T41" s="200">
        <f t="shared" ca="1" si="18"/>
        <v>7.141429288253598E-4</v>
      </c>
      <c r="U41" s="200">
        <f t="shared" ca="1" si="18"/>
        <v>7.141429288253598E-4</v>
      </c>
      <c r="V41" s="200">
        <f t="shared" ca="1" si="18"/>
        <v>7.141429288253598E-4</v>
      </c>
      <c r="W41" s="200">
        <f t="shared" ca="1" si="18"/>
        <v>7.141429288253598E-4</v>
      </c>
      <c r="X41" s="200">
        <f t="shared" ca="1" si="18"/>
        <v>7.141429288253598E-4</v>
      </c>
      <c r="Y41" s="200">
        <f t="shared" si="19"/>
        <v>0</v>
      </c>
      <c r="Z41" s="200">
        <f t="shared" si="19"/>
        <v>0</v>
      </c>
      <c r="AA41" s="200">
        <f t="shared" si="19"/>
        <v>0</v>
      </c>
      <c r="AB41" s="200">
        <f t="shared" si="19"/>
        <v>0</v>
      </c>
      <c r="AC41" s="200">
        <f t="shared" si="19"/>
        <v>0</v>
      </c>
      <c r="AD41" s="200">
        <f t="shared" si="19"/>
        <v>0</v>
      </c>
      <c r="AE41" s="200">
        <f t="shared" si="19"/>
        <v>0</v>
      </c>
      <c r="AF41" s="200">
        <f t="shared" si="19"/>
        <v>0</v>
      </c>
      <c r="AG41" s="200">
        <f t="shared" si="19"/>
        <v>0</v>
      </c>
      <c r="AH41" s="200">
        <f t="shared" si="19"/>
        <v>0</v>
      </c>
      <c r="AI41" s="200">
        <f t="shared" si="20"/>
        <v>0</v>
      </c>
      <c r="AJ41" s="200">
        <f t="shared" si="20"/>
        <v>0</v>
      </c>
      <c r="AK41" s="200">
        <f t="shared" si="20"/>
        <v>0</v>
      </c>
      <c r="AL41" s="200">
        <f t="shared" si="20"/>
        <v>0</v>
      </c>
      <c r="AM41" s="200">
        <f t="shared" si="20"/>
        <v>0</v>
      </c>
      <c r="AN41" s="200">
        <f t="shared" si="20"/>
        <v>0</v>
      </c>
      <c r="AO41" s="200">
        <f t="shared" si="20"/>
        <v>0</v>
      </c>
      <c r="AP41" s="200">
        <f t="shared" si="20"/>
        <v>0</v>
      </c>
      <c r="AQ41" s="200">
        <f t="shared" si="20"/>
        <v>0</v>
      </c>
      <c r="AR41" s="201">
        <f t="shared" si="20"/>
        <v>0</v>
      </c>
    </row>
    <row r="42" spans="2:44" s="13" customFormat="1">
      <c r="B42" s="138"/>
      <c r="C42" s="193" t="str">
        <f t="shared" si="15"/>
        <v>Investment in Year 10</v>
      </c>
      <c r="D42" s="266">
        <f t="shared" ca="1" si="16"/>
        <v>9.571540622793152E-3</v>
      </c>
      <c r="E42" s="199">
        <f t="shared" si="17"/>
        <v>0</v>
      </c>
      <c r="F42" s="200">
        <f t="shared" si="17"/>
        <v>0</v>
      </c>
      <c r="G42" s="200">
        <f t="shared" si="17"/>
        <v>0</v>
      </c>
      <c r="H42" s="200">
        <f t="shared" si="17"/>
        <v>0</v>
      </c>
      <c r="I42" s="200">
        <f t="shared" si="17"/>
        <v>0</v>
      </c>
      <c r="J42" s="200">
        <f t="shared" si="17"/>
        <v>0</v>
      </c>
      <c r="K42" s="200">
        <f t="shared" si="17"/>
        <v>0</v>
      </c>
      <c r="L42" s="200">
        <f t="shared" si="17"/>
        <v>0</v>
      </c>
      <c r="M42" s="200">
        <f t="shared" si="17"/>
        <v>0</v>
      </c>
      <c r="N42" s="200">
        <f t="shared" ca="1" si="17"/>
        <v>4.7857703113965758E-4</v>
      </c>
      <c r="O42" s="200">
        <f t="shared" ca="1" si="18"/>
        <v>4.7857703113965758E-4</v>
      </c>
      <c r="P42" s="200">
        <f t="shared" ca="1" si="18"/>
        <v>4.7857703113965758E-4</v>
      </c>
      <c r="Q42" s="200">
        <f t="shared" ca="1" si="18"/>
        <v>4.7857703113965758E-4</v>
      </c>
      <c r="R42" s="200">
        <f t="shared" ca="1" si="18"/>
        <v>4.7857703113965758E-4</v>
      </c>
      <c r="S42" s="200">
        <f t="shared" ca="1" si="18"/>
        <v>4.7857703113965758E-4</v>
      </c>
      <c r="T42" s="200">
        <f t="shared" ca="1" si="18"/>
        <v>4.7857703113965758E-4</v>
      </c>
      <c r="U42" s="200">
        <f t="shared" ca="1" si="18"/>
        <v>4.7857703113965758E-4</v>
      </c>
      <c r="V42" s="200">
        <f t="shared" ca="1" si="18"/>
        <v>4.7857703113965758E-4</v>
      </c>
      <c r="W42" s="200">
        <f t="shared" ca="1" si="18"/>
        <v>4.7857703113965758E-4</v>
      </c>
      <c r="X42" s="200">
        <f t="shared" ca="1" si="18"/>
        <v>4.7857703113965758E-4</v>
      </c>
      <c r="Y42" s="200">
        <f t="shared" si="19"/>
        <v>0</v>
      </c>
      <c r="Z42" s="200">
        <f t="shared" si="19"/>
        <v>0</v>
      </c>
      <c r="AA42" s="200">
        <f t="shared" si="19"/>
        <v>0</v>
      </c>
      <c r="AB42" s="200">
        <f t="shared" si="19"/>
        <v>0</v>
      </c>
      <c r="AC42" s="200">
        <f t="shared" si="19"/>
        <v>0</v>
      </c>
      <c r="AD42" s="200">
        <f t="shared" si="19"/>
        <v>0</v>
      </c>
      <c r="AE42" s="200">
        <f t="shared" si="19"/>
        <v>0</v>
      </c>
      <c r="AF42" s="200">
        <f t="shared" si="19"/>
        <v>0</v>
      </c>
      <c r="AG42" s="200">
        <f t="shared" si="19"/>
        <v>0</v>
      </c>
      <c r="AH42" s="200">
        <f t="shared" si="19"/>
        <v>0</v>
      </c>
      <c r="AI42" s="200">
        <f t="shared" si="20"/>
        <v>0</v>
      </c>
      <c r="AJ42" s="200">
        <f t="shared" si="20"/>
        <v>0</v>
      </c>
      <c r="AK42" s="200">
        <f t="shared" si="20"/>
        <v>0</v>
      </c>
      <c r="AL42" s="200">
        <f t="shared" si="20"/>
        <v>0</v>
      </c>
      <c r="AM42" s="200">
        <f t="shared" si="20"/>
        <v>0</v>
      </c>
      <c r="AN42" s="200">
        <f t="shared" si="20"/>
        <v>0</v>
      </c>
      <c r="AO42" s="200">
        <f t="shared" si="20"/>
        <v>0</v>
      </c>
      <c r="AP42" s="200">
        <f t="shared" si="20"/>
        <v>0</v>
      </c>
      <c r="AQ42" s="200">
        <f t="shared" si="20"/>
        <v>0</v>
      </c>
      <c r="AR42" s="201">
        <f t="shared" si="20"/>
        <v>0</v>
      </c>
    </row>
    <row r="43" spans="2:44" s="13" customFormat="1">
      <c r="B43" s="138"/>
      <c r="C43" s="193" t="str">
        <f t="shared" si="15"/>
        <v>Investment in Year 11</v>
      </c>
      <c r="D43" s="266">
        <f t="shared" ca="1" si="16"/>
        <v>0</v>
      </c>
      <c r="E43" s="199">
        <f t="shared" ref="E43:N52" si="21">IF(OR($C43="",Year&gt;Contract_Length),,IF(Year&lt;INDEX(Year,1,5+ROW()-ROW($A$33)),,IF(Year&gt;INDEX(Year,1,5+ROW()-ROW($A$33))+Invest_Period-1,,$D43/Invest_Period)))</f>
        <v>0</v>
      </c>
      <c r="F43" s="200">
        <f t="shared" si="21"/>
        <v>0</v>
      </c>
      <c r="G43" s="200">
        <f t="shared" si="21"/>
        <v>0</v>
      </c>
      <c r="H43" s="200">
        <f t="shared" si="21"/>
        <v>0</v>
      </c>
      <c r="I43" s="200">
        <f t="shared" si="21"/>
        <v>0</v>
      </c>
      <c r="J43" s="200">
        <f t="shared" si="21"/>
        <v>0</v>
      </c>
      <c r="K43" s="200">
        <f t="shared" si="21"/>
        <v>0</v>
      </c>
      <c r="L43" s="200">
        <f t="shared" si="21"/>
        <v>0</v>
      </c>
      <c r="M43" s="200">
        <f t="shared" si="21"/>
        <v>0</v>
      </c>
      <c r="N43" s="200">
        <f t="shared" si="21"/>
        <v>0</v>
      </c>
      <c r="O43" s="200">
        <f t="shared" ref="O43:X52" ca="1" si="22">IF(OR($C43="",Year&gt;Contract_Length),,IF(Year&lt;INDEX(Year,1,5+ROW()-ROW($A$33)),,IF(Year&gt;INDEX(Year,1,5+ROW()-ROW($A$33))+Invest_Period-1,,$D43/Invest_Period)))</f>
        <v>0</v>
      </c>
      <c r="P43" s="200">
        <f t="shared" ca="1" si="22"/>
        <v>0</v>
      </c>
      <c r="Q43" s="200">
        <f t="shared" ca="1" si="22"/>
        <v>0</v>
      </c>
      <c r="R43" s="200">
        <f t="shared" ca="1" si="22"/>
        <v>0</v>
      </c>
      <c r="S43" s="200">
        <f t="shared" ca="1" si="22"/>
        <v>0</v>
      </c>
      <c r="T43" s="200">
        <f t="shared" ca="1" si="22"/>
        <v>0</v>
      </c>
      <c r="U43" s="200">
        <f t="shared" ca="1" si="22"/>
        <v>0</v>
      </c>
      <c r="V43" s="200">
        <f t="shared" ca="1" si="22"/>
        <v>0</v>
      </c>
      <c r="W43" s="200">
        <f t="shared" ca="1" si="22"/>
        <v>0</v>
      </c>
      <c r="X43" s="200">
        <f t="shared" ca="1" si="22"/>
        <v>0</v>
      </c>
      <c r="Y43" s="200">
        <f t="shared" ref="Y43:AH52" si="23">IF(OR($C43="",Year&gt;Contract_Length),,IF(Year&lt;INDEX(Year,1,5+ROW()-ROW($A$33)),,IF(Year&gt;INDEX(Year,1,5+ROW()-ROW($A$33))+Invest_Period-1,,$D43/Invest_Period)))</f>
        <v>0</v>
      </c>
      <c r="Z43" s="200">
        <f t="shared" si="23"/>
        <v>0</v>
      </c>
      <c r="AA43" s="200">
        <f t="shared" si="23"/>
        <v>0</v>
      </c>
      <c r="AB43" s="200">
        <f t="shared" si="23"/>
        <v>0</v>
      </c>
      <c r="AC43" s="200">
        <f t="shared" si="23"/>
        <v>0</v>
      </c>
      <c r="AD43" s="200">
        <f t="shared" si="23"/>
        <v>0</v>
      </c>
      <c r="AE43" s="200">
        <f t="shared" si="23"/>
        <v>0</v>
      </c>
      <c r="AF43" s="200">
        <f t="shared" si="23"/>
        <v>0</v>
      </c>
      <c r="AG43" s="200">
        <f t="shared" si="23"/>
        <v>0</v>
      </c>
      <c r="AH43" s="200">
        <f t="shared" si="23"/>
        <v>0</v>
      </c>
      <c r="AI43" s="200">
        <f t="shared" ref="AI43:AR52" si="24">IF(OR($C43="",Year&gt;Contract_Length),,IF(Year&lt;INDEX(Year,1,5+ROW()-ROW($A$33)),,IF(Year&gt;INDEX(Year,1,5+ROW()-ROW($A$33))+Invest_Period-1,,$D43/Invest_Period)))</f>
        <v>0</v>
      </c>
      <c r="AJ43" s="200">
        <f t="shared" si="24"/>
        <v>0</v>
      </c>
      <c r="AK43" s="200">
        <f t="shared" si="24"/>
        <v>0</v>
      </c>
      <c r="AL43" s="200">
        <f t="shared" si="24"/>
        <v>0</v>
      </c>
      <c r="AM43" s="200">
        <f t="shared" si="24"/>
        <v>0</v>
      </c>
      <c r="AN43" s="200">
        <f t="shared" si="24"/>
        <v>0</v>
      </c>
      <c r="AO43" s="200">
        <f t="shared" si="24"/>
        <v>0</v>
      </c>
      <c r="AP43" s="200">
        <f t="shared" si="24"/>
        <v>0</v>
      </c>
      <c r="AQ43" s="200">
        <f t="shared" si="24"/>
        <v>0</v>
      </c>
      <c r="AR43" s="201">
        <f t="shared" si="24"/>
        <v>0</v>
      </c>
    </row>
    <row r="44" spans="2:44" s="13" customFormat="1">
      <c r="B44" s="138"/>
      <c r="C44" s="193" t="str">
        <f t="shared" si="15"/>
        <v>Investment in Year 12</v>
      </c>
      <c r="D44" s="266">
        <f t="shared" ca="1" si="16"/>
        <v>0</v>
      </c>
      <c r="E44" s="199">
        <f t="shared" si="21"/>
        <v>0</v>
      </c>
      <c r="F44" s="200">
        <f t="shared" si="21"/>
        <v>0</v>
      </c>
      <c r="G44" s="200">
        <f t="shared" si="21"/>
        <v>0</v>
      </c>
      <c r="H44" s="200">
        <f t="shared" si="21"/>
        <v>0</v>
      </c>
      <c r="I44" s="200">
        <f t="shared" si="21"/>
        <v>0</v>
      </c>
      <c r="J44" s="200">
        <f t="shared" si="21"/>
        <v>0</v>
      </c>
      <c r="K44" s="200">
        <f t="shared" si="21"/>
        <v>0</v>
      </c>
      <c r="L44" s="200">
        <f t="shared" si="21"/>
        <v>0</v>
      </c>
      <c r="M44" s="200">
        <f t="shared" si="21"/>
        <v>0</v>
      </c>
      <c r="N44" s="200">
        <f t="shared" si="21"/>
        <v>0</v>
      </c>
      <c r="O44" s="200">
        <f t="shared" si="22"/>
        <v>0</v>
      </c>
      <c r="P44" s="200">
        <f t="shared" ca="1" si="22"/>
        <v>0</v>
      </c>
      <c r="Q44" s="200">
        <f t="shared" ca="1" si="22"/>
        <v>0</v>
      </c>
      <c r="R44" s="200">
        <f t="shared" ca="1" si="22"/>
        <v>0</v>
      </c>
      <c r="S44" s="200">
        <f t="shared" ca="1" si="22"/>
        <v>0</v>
      </c>
      <c r="T44" s="200">
        <f t="shared" ca="1" si="22"/>
        <v>0</v>
      </c>
      <c r="U44" s="200">
        <f t="shared" ca="1" si="22"/>
        <v>0</v>
      </c>
      <c r="V44" s="200">
        <f t="shared" ca="1" si="22"/>
        <v>0</v>
      </c>
      <c r="W44" s="200">
        <f t="shared" ca="1" si="22"/>
        <v>0</v>
      </c>
      <c r="X44" s="200">
        <f t="shared" ca="1" si="22"/>
        <v>0</v>
      </c>
      <c r="Y44" s="200">
        <f t="shared" si="23"/>
        <v>0</v>
      </c>
      <c r="Z44" s="200">
        <f t="shared" si="23"/>
        <v>0</v>
      </c>
      <c r="AA44" s="200">
        <f t="shared" si="23"/>
        <v>0</v>
      </c>
      <c r="AB44" s="200">
        <f t="shared" si="23"/>
        <v>0</v>
      </c>
      <c r="AC44" s="200">
        <f t="shared" si="23"/>
        <v>0</v>
      </c>
      <c r="AD44" s="200">
        <f t="shared" si="23"/>
        <v>0</v>
      </c>
      <c r="AE44" s="200">
        <f t="shared" si="23"/>
        <v>0</v>
      </c>
      <c r="AF44" s="200">
        <f t="shared" si="23"/>
        <v>0</v>
      </c>
      <c r="AG44" s="200">
        <f t="shared" si="23"/>
        <v>0</v>
      </c>
      <c r="AH44" s="200">
        <f t="shared" si="23"/>
        <v>0</v>
      </c>
      <c r="AI44" s="200">
        <f t="shared" si="24"/>
        <v>0</v>
      </c>
      <c r="AJ44" s="200">
        <f t="shared" si="24"/>
        <v>0</v>
      </c>
      <c r="AK44" s="200">
        <f t="shared" si="24"/>
        <v>0</v>
      </c>
      <c r="AL44" s="200">
        <f t="shared" si="24"/>
        <v>0</v>
      </c>
      <c r="AM44" s="200">
        <f t="shared" si="24"/>
        <v>0</v>
      </c>
      <c r="AN44" s="200">
        <f t="shared" si="24"/>
        <v>0</v>
      </c>
      <c r="AO44" s="200">
        <f t="shared" si="24"/>
        <v>0</v>
      </c>
      <c r="AP44" s="200">
        <f t="shared" si="24"/>
        <v>0</v>
      </c>
      <c r="AQ44" s="200">
        <f t="shared" si="24"/>
        <v>0</v>
      </c>
      <c r="AR44" s="201">
        <f t="shared" si="24"/>
        <v>0</v>
      </c>
    </row>
    <row r="45" spans="2:44" s="13" customFormat="1">
      <c r="B45" s="138"/>
      <c r="C45" s="193" t="str">
        <f t="shared" si="15"/>
        <v>Investment in Year 13</v>
      </c>
      <c r="D45" s="266">
        <f t="shared" ca="1" si="16"/>
        <v>0</v>
      </c>
      <c r="E45" s="199">
        <f t="shared" si="21"/>
        <v>0</v>
      </c>
      <c r="F45" s="200">
        <f t="shared" si="21"/>
        <v>0</v>
      </c>
      <c r="G45" s="200">
        <f t="shared" si="21"/>
        <v>0</v>
      </c>
      <c r="H45" s="200">
        <f t="shared" si="21"/>
        <v>0</v>
      </c>
      <c r="I45" s="200">
        <f t="shared" si="21"/>
        <v>0</v>
      </c>
      <c r="J45" s="200">
        <f t="shared" si="21"/>
        <v>0</v>
      </c>
      <c r="K45" s="200">
        <f t="shared" si="21"/>
        <v>0</v>
      </c>
      <c r="L45" s="200">
        <f t="shared" si="21"/>
        <v>0</v>
      </c>
      <c r="M45" s="200">
        <f t="shared" si="21"/>
        <v>0</v>
      </c>
      <c r="N45" s="200">
        <f t="shared" si="21"/>
        <v>0</v>
      </c>
      <c r="O45" s="200">
        <f t="shared" si="22"/>
        <v>0</v>
      </c>
      <c r="P45" s="200">
        <f t="shared" si="22"/>
        <v>0</v>
      </c>
      <c r="Q45" s="200">
        <f t="shared" ca="1" si="22"/>
        <v>0</v>
      </c>
      <c r="R45" s="200">
        <f t="shared" ca="1" si="22"/>
        <v>0</v>
      </c>
      <c r="S45" s="200">
        <f t="shared" ca="1" si="22"/>
        <v>0</v>
      </c>
      <c r="T45" s="200">
        <f t="shared" ca="1" si="22"/>
        <v>0</v>
      </c>
      <c r="U45" s="200">
        <f t="shared" ca="1" si="22"/>
        <v>0</v>
      </c>
      <c r="V45" s="200">
        <f t="shared" ca="1" si="22"/>
        <v>0</v>
      </c>
      <c r="W45" s="200">
        <f t="shared" ca="1" si="22"/>
        <v>0</v>
      </c>
      <c r="X45" s="200">
        <f t="shared" ca="1" si="22"/>
        <v>0</v>
      </c>
      <c r="Y45" s="200">
        <f t="shared" si="23"/>
        <v>0</v>
      </c>
      <c r="Z45" s="200">
        <f t="shared" si="23"/>
        <v>0</v>
      </c>
      <c r="AA45" s="200">
        <f t="shared" si="23"/>
        <v>0</v>
      </c>
      <c r="AB45" s="200">
        <f t="shared" si="23"/>
        <v>0</v>
      </c>
      <c r="AC45" s="200">
        <f t="shared" si="23"/>
        <v>0</v>
      </c>
      <c r="AD45" s="200">
        <f t="shared" si="23"/>
        <v>0</v>
      </c>
      <c r="AE45" s="200">
        <f t="shared" si="23"/>
        <v>0</v>
      </c>
      <c r="AF45" s="200">
        <f t="shared" si="23"/>
        <v>0</v>
      </c>
      <c r="AG45" s="200">
        <f t="shared" si="23"/>
        <v>0</v>
      </c>
      <c r="AH45" s="200">
        <f t="shared" si="23"/>
        <v>0</v>
      </c>
      <c r="AI45" s="200">
        <f t="shared" si="24"/>
        <v>0</v>
      </c>
      <c r="AJ45" s="200">
        <f t="shared" si="24"/>
        <v>0</v>
      </c>
      <c r="AK45" s="200">
        <f t="shared" si="24"/>
        <v>0</v>
      </c>
      <c r="AL45" s="200">
        <f t="shared" si="24"/>
        <v>0</v>
      </c>
      <c r="AM45" s="200">
        <f t="shared" si="24"/>
        <v>0</v>
      </c>
      <c r="AN45" s="200">
        <f t="shared" si="24"/>
        <v>0</v>
      </c>
      <c r="AO45" s="200">
        <f t="shared" si="24"/>
        <v>0</v>
      </c>
      <c r="AP45" s="200">
        <f t="shared" si="24"/>
        <v>0</v>
      </c>
      <c r="AQ45" s="200">
        <f t="shared" si="24"/>
        <v>0</v>
      </c>
      <c r="AR45" s="201">
        <f t="shared" si="24"/>
        <v>0</v>
      </c>
    </row>
    <row r="46" spans="2:44" s="13" customFormat="1">
      <c r="B46" s="138"/>
      <c r="C46" s="193" t="str">
        <f t="shared" si="15"/>
        <v>Investment in Year 14</v>
      </c>
      <c r="D46" s="266">
        <f t="shared" ca="1" si="16"/>
        <v>0</v>
      </c>
      <c r="E46" s="199">
        <f t="shared" si="21"/>
        <v>0</v>
      </c>
      <c r="F46" s="200">
        <f t="shared" si="21"/>
        <v>0</v>
      </c>
      <c r="G46" s="200">
        <f t="shared" si="21"/>
        <v>0</v>
      </c>
      <c r="H46" s="200">
        <f t="shared" si="21"/>
        <v>0</v>
      </c>
      <c r="I46" s="200">
        <f t="shared" si="21"/>
        <v>0</v>
      </c>
      <c r="J46" s="200">
        <f t="shared" si="21"/>
        <v>0</v>
      </c>
      <c r="K46" s="200">
        <f t="shared" si="21"/>
        <v>0</v>
      </c>
      <c r="L46" s="200">
        <f t="shared" si="21"/>
        <v>0</v>
      </c>
      <c r="M46" s="200">
        <f t="shared" si="21"/>
        <v>0</v>
      </c>
      <c r="N46" s="200">
        <f t="shared" si="21"/>
        <v>0</v>
      </c>
      <c r="O46" s="200">
        <f t="shared" si="22"/>
        <v>0</v>
      </c>
      <c r="P46" s="200">
        <f t="shared" si="22"/>
        <v>0</v>
      </c>
      <c r="Q46" s="200">
        <f t="shared" si="22"/>
        <v>0</v>
      </c>
      <c r="R46" s="200">
        <f t="shared" ca="1" si="22"/>
        <v>0</v>
      </c>
      <c r="S46" s="200">
        <f t="shared" ca="1" si="22"/>
        <v>0</v>
      </c>
      <c r="T46" s="200">
        <f t="shared" ca="1" si="22"/>
        <v>0</v>
      </c>
      <c r="U46" s="200">
        <f t="shared" ca="1" si="22"/>
        <v>0</v>
      </c>
      <c r="V46" s="200">
        <f t="shared" ca="1" si="22"/>
        <v>0</v>
      </c>
      <c r="W46" s="200">
        <f t="shared" ca="1" si="22"/>
        <v>0</v>
      </c>
      <c r="X46" s="200">
        <f t="shared" ca="1" si="22"/>
        <v>0</v>
      </c>
      <c r="Y46" s="200">
        <f t="shared" si="23"/>
        <v>0</v>
      </c>
      <c r="Z46" s="200">
        <f t="shared" si="23"/>
        <v>0</v>
      </c>
      <c r="AA46" s="200">
        <f t="shared" si="23"/>
        <v>0</v>
      </c>
      <c r="AB46" s="200">
        <f t="shared" si="23"/>
        <v>0</v>
      </c>
      <c r="AC46" s="200">
        <f t="shared" si="23"/>
        <v>0</v>
      </c>
      <c r="AD46" s="200">
        <f t="shared" si="23"/>
        <v>0</v>
      </c>
      <c r="AE46" s="200">
        <f t="shared" si="23"/>
        <v>0</v>
      </c>
      <c r="AF46" s="200">
        <f t="shared" si="23"/>
        <v>0</v>
      </c>
      <c r="AG46" s="200">
        <f t="shared" si="23"/>
        <v>0</v>
      </c>
      <c r="AH46" s="200">
        <f t="shared" si="23"/>
        <v>0</v>
      </c>
      <c r="AI46" s="200">
        <f t="shared" si="24"/>
        <v>0</v>
      </c>
      <c r="AJ46" s="200">
        <f t="shared" si="24"/>
        <v>0</v>
      </c>
      <c r="AK46" s="200">
        <f t="shared" si="24"/>
        <v>0</v>
      </c>
      <c r="AL46" s="200">
        <f t="shared" si="24"/>
        <v>0</v>
      </c>
      <c r="AM46" s="200">
        <f t="shared" si="24"/>
        <v>0</v>
      </c>
      <c r="AN46" s="200">
        <f t="shared" si="24"/>
        <v>0</v>
      </c>
      <c r="AO46" s="200">
        <f t="shared" si="24"/>
        <v>0</v>
      </c>
      <c r="AP46" s="200">
        <f t="shared" si="24"/>
        <v>0</v>
      </c>
      <c r="AQ46" s="200">
        <f t="shared" si="24"/>
        <v>0</v>
      </c>
      <c r="AR46" s="201">
        <f t="shared" si="24"/>
        <v>0</v>
      </c>
    </row>
    <row r="47" spans="2:44" s="13" customFormat="1">
      <c r="B47" s="138"/>
      <c r="C47" s="193" t="str">
        <f t="shared" si="15"/>
        <v>Investment in Year 15</v>
      </c>
      <c r="D47" s="266">
        <f t="shared" ca="1" si="16"/>
        <v>0</v>
      </c>
      <c r="E47" s="199">
        <f t="shared" si="21"/>
        <v>0</v>
      </c>
      <c r="F47" s="200">
        <f t="shared" si="21"/>
        <v>0</v>
      </c>
      <c r="G47" s="200">
        <f t="shared" si="21"/>
        <v>0</v>
      </c>
      <c r="H47" s="200">
        <f t="shared" si="21"/>
        <v>0</v>
      </c>
      <c r="I47" s="200">
        <f t="shared" si="21"/>
        <v>0</v>
      </c>
      <c r="J47" s="200">
        <f t="shared" si="21"/>
        <v>0</v>
      </c>
      <c r="K47" s="200">
        <f t="shared" si="21"/>
        <v>0</v>
      </c>
      <c r="L47" s="200">
        <f t="shared" si="21"/>
        <v>0</v>
      </c>
      <c r="M47" s="200">
        <f t="shared" si="21"/>
        <v>0</v>
      </c>
      <c r="N47" s="200">
        <f t="shared" si="21"/>
        <v>0</v>
      </c>
      <c r="O47" s="200">
        <f t="shared" si="22"/>
        <v>0</v>
      </c>
      <c r="P47" s="200">
        <f t="shared" si="22"/>
        <v>0</v>
      </c>
      <c r="Q47" s="200">
        <f t="shared" si="22"/>
        <v>0</v>
      </c>
      <c r="R47" s="200">
        <f t="shared" si="22"/>
        <v>0</v>
      </c>
      <c r="S47" s="200">
        <f t="shared" ca="1" si="22"/>
        <v>0</v>
      </c>
      <c r="T47" s="200">
        <f t="shared" ca="1" si="22"/>
        <v>0</v>
      </c>
      <c r="U47" s="200">
        <f t="shared" ca="1" si="22"/>
        <v>0</v>
      </c>
      <c r="V47" s="200">
        <f t="shared" ca="1" si="22"/>
        <v>0</v>
      </c>
      <c r="W47" s="200">
        <f t="shared" ca="1" si="22"/>
        <v>0</v>
      </c>
      <c r="X47" s="200">
        <f t="shared" ca="1" si="22"/>
        <v>0</v>
      </c>
      <c r="Y47" s="200">
        <f t="shared" si="23"/>
        <v>0</v>
      </c>
      <c r="Z47" s="200">
        <f t="shared" si="23"/>
        <v>0</v>
      </c>
      <c r="AA47" s="200">
        <f t="shared" si="23"/>
        <v>0</v>
      </c>
      <c r="AB47" s="200">
        <f t="shared" si="23"/>
        <v>0</v>
      </c>
      <c r="AC47" s="200">
        <f t="shared" si="23"/>
        <v>0</v>
      </c>
      <c r="AD47" s="200">
        <f t="shared" si="23"/>
        <v>0</v>
      </c>
      <c r="AE47" s="200">
        <f t="shared" si="23"/>
        <v>0</v>
      </c>
      <c r="AF47" s="200">
        <f t="shared" si="23"/>
        <v>0</v>
      </c>
      <c r="AG47" s="200">
        <f t="shared" si="23"/>
        <v>0</v>
      </c>
      <c r="AH47" s="200">
        <f t="shared" si="23"/>
        <v>0</v>
      </c>
      <c r="AI47" s="200">
        <f t="shared" si="24"/>
        <v>0</v>
      </c>
      <c r="AJ47" s="200">
        <f t="shared" si="24"/>
        <v>0</v>
      </c>
      <c r="AK47" s="200">
        <f t="shared" si="24"/>
        <v>0</v>
      </c>
      <c r="AL47" s="200">
        <f t="shared" si="24"/>
        <v>0</v>
      </c>
      <c r="AM47" s="200">
        <f t="shared" si="24"/>
        <v>0</v>
      </c>
      <c r="AN47" s="200">
        <f t="shared" si="24"/>
        <v>0</v>
      </c>
      <c r="AO47" s="200">
        <f t="shared" si="24"/>
        <v>0</v>
      </c>
      <c r="AP47" s="200">
        <f t="shared" si="24"/>
        <v>0</v>
      </c>
      <c r="AQ47" s="200">
        <f t="shared" si="24"/>
        <v>0</v>
      </c>
      <c r="AR47" s="201">
        <f t="shared" si="24"/>
        <v>0</v>
      </c>
    </row>
    <row r="48" spans="2:44" s="13" customFormat="1">
      <c r="B48" s="138"/>
      <c r="C48" s="193" t="str">
        <f t="shared" si="15"/>
        <v>Investment in Year 16</v>
      </c>
      <c r="D48" s="266">
        <f t="shared" ca="1" si="16"/>
        <v>0</v>
      </c>
      <c r="E48" s="199">
        <f t="shared" si="21"/>
        <v>0</v>
      </c>
      <c r="F48" s="200">
        <f t="shared" si="21"/>
        <v>0</v>
      </c>
      <c r="G48" s="200">
        <f t="shared" si="21"/>
        <v>0</v>
      </c>
      <c r="H48" s="200">
        <f t="shared" si="21"/>
        <v>0</v>
      </c>
      <c r="I48" s="200">
        <f t="shared" si="21"/>
        <v>0</v>
      </c>
      <c r="J48" s="200">
        <f t="shared" si="21"/>
        <v>0</v>
      </c>
      <c r="K48" s="200">
        <f t="shared" si="21"/>
        <v>0</v>
      </c>
      <c r="L48" s="200">
        <f t="shared" si="21"/>
        <v>0</v>
      </c>
      <c r="M48" s="200">
        <f t="shared" si="21"/>
        <v>0</v>
      </c>
      <c r="N48" s="200">
        <f t="shared" si="21"/>
        <v>0</v>
      </c>
      <c r="O48" s="200">
        <f t="shared" si="22"/>
        <v>0</v>
      </c>
      <c r="P48" s="200">
        <f t="shared" si="22"/>
        <v>0</v>
      </c>
      <c r="Q48" s="200">
        <f t="shared" si="22"/>
        <v>0</v>
      </c>
      <c r="R48" s="200">
        <f t="shared" si="22"/>
        <v>0</v>
      </c>
      <c r="S48" s="200">
        <f t="shared" si="22"/>
        <v>0</v>
      </c>
      <c r="T48" s="200">
        <f t="shared" ca="1" si="22"/>
        <v>0</v>
      </c>
      <c r="U48" s="200">
        <f t="shared" ca="1" si="22"/>
        <v>0</v>
      </c>
      <c r="V48" s="200">
        <f t="shared" ca="1" si="22"/>
        <v>0</v>
      </c>
      <c r="W48" s="200">
        <f t="shared" ca="1" si="22"/>
        <v>0</v>
      </c>
      <c r="X48" s="200">
        <f t="shared" ca="1" si="22"/>
        <v>0</v>
      </c>
      <c r="Y48" s="200">
        <f t="shared" si="23"/>
        <v>0</v>
      </c>
      <c r="Z48" s="200">
        <f t="shared" si="23"/>
        <v>0</v>
      </c>
      <c r="AA48" s="200">
        <f t="shared" si="23"/>
        <v>0</v>
      </c>
      <c r="AB48" s="200">
        <f t="shared" si="23"/>
        <v>0</v>
      </c>
      <c r="AC48" s="200">
        <f t="shared" si="23"/>
        <v>0</v>
      </c>
      <c r="AD48" s="200">
        <f t="shared" si="23"/>
        <v>0</v>
      </c>
      <c r="AE48" s="200">
        <f t="shared" si="23"/>
        <v>0</v>
      </c>
      <c r="AF48" s="200">
        <f t="shared" si="23"/>
        <v>0</v>
      </c>
      <c r="AG48" s="200">
        <f t="shared" si="23"/>
        <v>0</v>
      </c>
      <c r="AH48" s="200">
        <f t="shared" si="23"/>
        <v>0</v>
      </c>
      <c r="AI48" s="200">
        <f t="shared" si="24"/>
        <v>0</v>
      </c>
      <c r="AJ48" s="200">
        <f t="shared" si="24"/>
        <v>0</v>
      </c>
      <c r="AK48" s="200">
        <f t="shared" si="24"/>
        <v>0</v>
      </c>
      <c r="AL48" s="200">
        <f t="shared" si="24"/>
        <v>0</v>
      </c>
      <c r="AM48" s="200">
        <f t="shared" si="24"/>
        <v>0</v>
      </c>
      <c r="AN48" s="200">
        <f t="shared" si="24"/>
        <v>0</v>
      </c>
      <c r="AO48" s="200">
        <f t="shared" si="24"/>
        <v>0</v>
      </c>
      <c r="AP48" s="200">
        <f t="shared" si="24"/>
        <v>0</v>
      </c>
      <c r="AQ48" s="200">
        <f t="shared" si="24"/>
        <v>0</v>
      </c>
      <c r="AR48" s="201">
        <f t="shared" si="24"/>
        <v>0</v>
      </c>
    </row>
    <row r="49" spans="2:44" s="13" customFormat="1">
      <c r="B49" s="138"/>
      <c r="C49" s="193" t="str">
        <f t="shared" si="15"/>
        <v>Investment in Year 17</v>
      </c>
      <c r="D49" s="266">
        <f t="shared" ca="1" si="16"/>
        <v>0</v>
      </c>
      <c r="E49" s="199">
        <f t="shared" si="21"/>
        <v>0</v>
      </c>
      <c r="F49" s="200">
        <f t="shared" si="21"/>
        <v>0</v>
      </c>
      <c r="G49" s="200">
        <f t="shared" si="21"/>
        <v>0</v>
      </c>
      <c r="H49" s="200">
        <f t="shared" si="21"/>
        <v>0</v>
      </c>
      <c r="I49" s="200">
        <f t="shared" si="21"/>
        <v>0</v>
      </c>
      <c r="J49" s="200">
        <f t="shared" si="21"/>
        <v>0</v>
      </c>
      <c r="K49" s="200">
        <f t="shared" si="21"/>
        <v>0</v>
      </c>
      <c r="L49" s="200">
        <f t="shared" si="21"/>
        <v>0</v>
      </c>
      <c r="M49" s="200">
        <f t="shared" si="21"/>
        <v>0</v>
      </c>
      <c r="N49" s="200">
        <f t="shared" si="21"/>
        <v>0</v>
      </c>
      <c r="O49" s="200">
        <f t="shared" si="22"/>
        <v>0</v>
      </c>
      <c r="P49" s="200">
        <f t="shared" si="22"/>
        <v>0</v>
      </c>
      <c r="Q49" s="200">
        <f t="shared" si="22"/>
        <v>0</v>
      </c>
      <c r="R49" s="200">
        <f t="shared" si="22"/>
        <v>0</v>
      </c>
      <c r="S49" s="200">
        <f t="shared" si="22"/>
        <v>0</v>
      </c>
      <c r="T49" s="200">
        <f t="shared" si="22"/>
        <v>0</v>
      </c>
      <c r="U49" s="200">
        <f t="shared" ca="1" si="22"/>
        <v>0</v>
      </c>
      <c r="V49" s="200">
        <f t="shared" ca="1" si="22"/>
        <v>0</v>
      </c>
      <c r="W49" s="200">
        <f t="shared" ca="1" si="22"/>
        <v>0</v>
      </c>
      <c r="X49" s="200">
        <f t="shared" ca="1" si="22"/>
        <v>0</v>
      </c>
      <c r="Y49" s="200">
        <f t="shared" si="23"/>
        <v>0</v>
      </c>
      <c r="Z49" s="200">
        <f t="shared" si="23"/>
        <v>0</v>
      </c>
      <c r="AA49" s="200">
        <f t="shared" si="23"/>
        <v>0</v>
      </c>
      <c r="AB49" s="200">
        <f t="shared" si="23"/>
        <v>0</v>
      </c>
      <c r="AC49" s="200">
        <f t="shared" si="23"/>
        <v>0</v>
      </c>
      <c r="AD49" s="200">
        <f t="shared" si="23"/>
        <v>0</v>
      </c>
      <c r="AE49" s="200">
        <f t="shared" si="23"/>
        <v>0</v>
      </c>
      <c r="AF49" s="200">
        <f t="shared" si="23"/>
        <v>0</v>
      </c>
      <c r="AG49" s="200">
        <f t="shared" si="23"/>
        <v>0</v>
      </c>
      <c r="AH49" s="200">
        <f t="shared" si="23"/>
        <v>0</v>
      </c>
      <c r="AI49" s="200">
        <f t="shared" si="24"/>
        <v>0</v>
      </c>
      <c r="AJ49" s="200">
        <f t="shared" si="24"/>
        <v>0</v>
      </c>
      <c r="AK49" s="200">
        <f t="shared" si="24"/>
        <v>0</v>
      </c>
      <c r="AL49" s="200">
        <f t="shared" si="24"/>
        <v>0</v>
      </c>
      <c r="AM49" s="200">
        <f t="shared" si="24"/>
        <v>0</v>
      </c>
      <c r="AN49" s="200">
        <f t="shared" si="24"/>
        <v>0</v>
      </c>
      <c r="AO49" s="200">
        <f t="shared" si="24"/>
        <v>0</v>
      </c>
      <c r="AP49" s="200">
        <f t="shared" si="24"/>
        <v>0</v>
      </c>
      <c r="AQ49" s="200">
        <f t="shared" si="24"/>
        <v>0</v>
      </c>
      <c r="AR49" s="201">
        <f t="shared" si="24"/>
        <v>0</v>
      </c>
    </row>
    <row r="50" spans="2:44" s="13" customFormat="1">
      <c r="B50" s="138"/>
      <c r="C50" s="193" t="str">
        <f t="shared" si="15"/>
        <v>Investment in Year 18</v>
      </c>
      <c r="D50" s="266">
        <f t="shared" ca="1" si="16"/>
        <v>0</v>
      </c>
      <c r="E50" s="199">
        <f t="shared" si="21"/>
        <v>0</v>
      </c>
      <c r="F50" s="200">
        <f t="shared" si="21"/>
        <v>0</v>
      </c>
      <c r="G50" s="200">
        <f t="shared" si="21"/>
        <v>0</v>
      </c>
      <c r="H50" s="200">
        <f t="shared" si="21"/>
        <v>0</v>
      </c>
      <c r="I50" s="200">
        <f t="shared" si="21"/>
        <v>0</v>
      </c>
      <c r="J50" s="200">
        <f t="shared" si="21"/>
        <v>0</v>
      </c>
      <c r="K50" s="200">
        <f t="shared" si="21"/>
        <v>0</v>
      </c>
      <c r="L50" s="200">
        <f t="shared" si="21"/>
        <v>0</v>
      </c>
      <c r="M50" s="200">
        <f t="shared" si="21"/>
        <v>0</v>
      </c>
      <c r="N50" s="200">
        <f t="shared" si="21"/>
        <v>0</v>
      </c>
      <c r="O50" s="200">
        <f t="shared" si="22"/>
        <v>0</v>
      </c>
      <c r="P50" s="200">
        <f t="shared" si="22"/>
        <v>0</v>
      </c>
      <c r="Q50" s="200">
        <f t="shared" si="22"/>
        <v>0</v>
      </c>
      <c r="R50" s="200">
        <f t="shared" si="22"/>
        <v>0</v>
      </c>
      <c r="S50" s="200">
        <f t="shared" si="22"/>
        <v>0</v>
      </c>
      <c r="T50" s="200">
        <f t="shared" si="22"/>
        <v>0</v>
      </c>
      <c r="U50" s="200">
        <f t="shared" si="22"/>
        <v>0</v>
      </c>
      <c r="V50" s="200">
        <f t="shared" ca="1" si="22"/>
        <v>0</v>
      </c>
      <c r="W50" s="200">
        <f t="shared" ca="1" si="22"/>
        <v>0</v>
      </c>
      <c r="X50" s="200">
        <f t="shared" ca="1" si="22"/>
        <v>0</v>
      </c>
      <c r="Y50" s="200">
        <f t="shared" si="23"/>
        <v>0</v>
      </c>
      <c r="Z50" s="200">
        <f t="shared" si="23"/>
        <v>0</v>
      </c>
      <c r="AA50" s="200">
        <f t="shared" si="23"/>
        <v>0</v>
      </c>
      <c r="AB50" s="200">
        <f t="shared" si="23"/>
        <v>0</v>
      </c>
      <c r="AC50" s="200">
        <f t="shared" si="23"/>
        <v>0</v>
      </c>
      <c r="AD50" s="200">
        <f t="shared" si="23"/>
        <v>0</v>
      </c>
      <c r="AE50" s="200">
        <f t="shared" si="23"/>
        <v>0</v>
      </c>
      <c r="AF50" s="200">
        <f t="shared" si="23"/>
        <v>0</v>
      </c>
      <c r="AG50" s="200">
        <f t="shared" si="23"/>
        <v>0</v>
      </c>
      <c r="AH50" s="200">
        <f t="shared" si="23"/>
        <v>0</v>
      </c>
      <c r="AI50" s="200">
        <f t="shared" si="24"/>
        <v>0</v>
      </c>
      <c r="AJ50" s="200">
        <f t="shared" si="24"/>
        <v>0</v>
      </c>
      <c r="AK50" s="200">
        <f t="shared" si="24"/>
        <v>0</v>
      </c>
      <c r="AL50" s="200">
        <f t="shared" si="24"/>
        <v>0</v>
      </c>
      <c r="AM50" s="200">
        <f t="shared" si="24"/>
        <v>0</v>
      </c>
      <c r="AN50" s="200">
        <f t="shared" si="24"/>
        <v>0</v>
      </c>
      <c r="AO50" s="200">
        <f t="shared" si="24"/>
        <v>0</v>
      </c>
      <c r="AP50" s="200">
        <f t="shared" si="24"/>
        <v>0</v>
      </c>
      <c r="AQ50" s="200">
        <f t="shared" si="24"/>
        <v>0</v>
      </c>
      <c r="AR50" s="201">
        <f t="shared" si="24"/>
        <v>0</v>
      </c>
    </row>
    <row r="51" spans="2:44" s="13" customFormat="1">
      <c r="B51" s="138"/>
      <c r="C51" s="193" t="str">
        <f t="shared" si="15"/>
        <v>Investment in Year 19</v>
      </c>
      <c r="D51" s="266">
        <f t="shared" ca="1" si="16"/>
        <v>0</v>
      </c>
      <c r="E51" s="199">
        <f t="shared" si="21"/>
        <v>0</v>
      </c>
      <c r="F51" s="200">
        <f t="shared" si="21"/>
        <v>0</v>
      </c>
      <c r="G51" s="200">
        <f t="shared" si="21"/>
        <v>0</v>
      </c>
      <c r="H51" s="200">
        <f t="shared" si="21"/>
        <v>0</v>
      </c>
      <c r="I51" s="200">
        <f t="shared" si="21"/>
        <v>0</v>
      </c>
      <c r="J51" s="200">
        <f t="shared" si="21"/>
        <v>0</v>
      </c>
      <c r="K51" s="200">
        <f t="shared" si="21"/>
        <v>0</v>
      </c>
      <c r="L51" s="200">
        <f t="shared" si="21"/>
        <v>0</v>
      </c>
      <c r="M51" s="200">
        <f t="shared" si="21"/>
        <v>0</v>
      </c>
      <c r="N51" s="200">
        <f t="shared" si="21"/>
        <v>0</v>
      </c>
      <c r="O51" s="200">
        <f t="shared" si="22"/>
        <v>0</v>
      </c>
      <c r="P51" s="200">
        <f t="shared" si="22"/>
        <v>0</v>
      </c>
      <c r="Q51" s="200">
        <f t="shared" si="22"/>
        <v>0</v>
      </c>
      <c r="R51" s="200">
        <f t="shared" si="22"/>
        <v>0</v>
      </c>
      <c r="S51" s="200">
        <f t="shared" si="22"/>
        <v>0</v>
      </c>
      <c r="T51" s="200">
        <f t="shared" si="22"/>
        <v>0</v>
      </c>
      <c r="U51" s="200">
        <f t="shared" si="22"/>
        <v>0</v>
      </c>
      <c r="V51" s="200">
        <f t="shared" si="22"/>
        <v>0</v>
      </c>
      <c r="W51" s="200">
        <f t="shared" ca="1" si="22"/>
        <v>0</v>
      </c>
      <c r="X51" s="200">
        <f t="shared" ca="1" si="22"/>
        <v>0</v>
      </c>
      <c r="Y51" s="200">
        <f t="shared" si="23"/>
        <v>0</v>
      </c>
      <c r="Z51" s="200">
        <f t="shared" si="23"/>
        <v>0</v>
      </c>
      <c r="AA51" s="200">
        <f t="shared" si="23"/>
        <v>0</v>
      </c>
      <c r="AB51" s="200">
        <f t="shared" si="23"/>
        <v>0</v>
      </c>
      <c r="AC51" s="200">
        <f t="shared" si="23"/>
        <v>0</v>
      </c>
      <c r="AD51" s="200">
        <f t="shared" si="23"/>
        <v>0</v>
      </c>
      <c r="AE51" s="200">
        <f t="shared" si="23"/>
        <v>0</v>
      </c>
      <c r="AF51" s="200">
        <f t="shared" si="23"/>
        <v>0</v>
      </c>
      <c r="AG51" s="200">
        <f t="shared" si="23"/>
        <v>0</v>
      </c>
      <c r="AH51" s="200">
        <f t="shared" si="23"/>
        <v>0</v>
      </c>
      <c r="AI51" s="200">
        <f t="shared" si="24"/>
        <v>0</v>
      </c>
      <c r="AJ51" s="200">
        <f t="shared" si="24"/>
        <v>0</v>
      </c>
      <c r="AK51" s="200">
        <f t="shared" si="24"/>
        <v>0</v>
      </c>
      <c r="AL51" s="200">
        <f t="shared" si="24"/>
        <v>0</v>
      </c>
      <c r="AM51" s="200">
        <f t="shared" si="24"/>
        <v>0</v>
      </c>
      <c r="AN51" s="200">
        <f t="shared" si="24"/>
        <v>0</v>
      </c>
      <c r="AO51" s="200">
        <f t="shared" si="24"/>
        <v>0</v>
      </c>
      <c r="AP51" s="200">
        <f t="shared" si="24"/>
        <v>0</v>
      </c>
      <c r="AQ51" s="200">
        <f t="shared" si="24"/>
        <v>0</v>
      </c>
      <c r="AR51" s="201">
        <f t="shared" si="24"/>
        <v>0</v>
      </c>
    </row>
    <row r="52" spans="2:44" s="13" customFormat="1">
      <c r="B52" s="138"/>
      <c r="C52" s="193" t="str">
        <f t="shared" si="15"/>
        <v>Investment in Year 20</v>
      </c>
      <c r="D52" s="266">
        <f t="shared" ca="1" si="16"/>
        <v>0</v>
      </c>
      <c r="E52" s="199">
        <f t="shared" si="21"/>
        <v>0</v>
      </c>
      <c r="F52" s="200">
        <f t="shared" si="21"/>
        <v>0</v>
      </c>
      <c r="G52" s="200">
        <f t="shared" si="21"/>
        <v>0</v>
      </c>
      <c r="H52" s="200">
        <f t="shared" si="21"/>
        <v>0</v>
      </c>
      <c r="I52" s="200">
        <f t="shared" si="21"/>
        <v>0</v>
      </c>
      <c r="J52" s="200">
        <f t="shared" si="21"/>
        <v>0</v>
      </c>
      <c r="K52" s="200">
        <f t="shared" si="21"/>
        <v>0</v>
      </c>
      <c r="L52" s="200">
        <f t="shared" si="21"/>
        <v>0</v>
      </c>
      <c r="M52" s="200">
        <f t="shared" si="21"/>
        <v>0</v>
      </c>
      <c r="N52" s="200">
        <f t="shared" si="21"/>
        <v>0</v>
      </c>
      <c r="O52" s="200">
        <f t="shared" si="22"/>
        <v>0</v>
      </c>
      <c r="P52" s="200">
        <f t="shared" si="22"/>
        <v>0</v>
      </c>
      <c r="Q52" s="200">
        <f t="shared" si="22"/>
        <v>0</v>
      </c>
      <c r="R52" s="200">
        <f t="shared" si="22"/>
        <v>0</v>
      </c>
      <c r="S52" s="200">
        <f t="shared" si="22"/>
        <v>0</v>
      </c>
      <c r="T52" s="200">
        <f t="shared" si="22"/>
        <v>0</v>
      </c>
      <c r="U52" s="200">
        <f t="shared" si="22"/>
        <v>0</v>
      </c>
      <c r="V52" s="200">
        <f t="shared" si="22"/>
        <v>0</v>
      </c>
      <c r="W52" s="200">
        <f t="shared" si="22"/>
        <v>0</v>
      </c>
      <c r="X52" s="200">
        <f t="shared" ca="1" si="22"/>
        <v>0</v>
      </c>
      <c r="Y52" s="200">
        <f t="shared" si="23"/>
        <v>0</v>
      </c>
      <c r="Z52" s="200">
        <f t="shared" si="23"/>
        <v>0</v>
      </c>
      <c r="AA52" s="200">
        <f t="shared" si="23"/>
        <v>0</v>
      </c>
      <c r="AB52" s="200">
        <f t="shared" si="23"/>
        <v>0</v>
      </c>
      <c r="AC52" s="200">
        <f t="shared" si="23"/>
        <v>0</v>
      </c>
      <c r="AD52" s="200">
        <f t="shared" si="23"/>
        <v>0</v>
      </c>
      <c r="AE52" s="200">
        <f t="shared" si="23"/>
        <v>0</v>
      </c>
      <c r="AF52" s="200">
        <f t="shared" si="23"/>
        <v>0</v>
      </c>
      <c r="AG52" s="200">
        <f t="shared" si="23"/>
        <v>0</v>
      </c>
      <c r="AH52" s="200">
        <f t="shared" si="23"/>
        <v>0</v>
      </c>
      <c r="AI52" s="200">
        <f t="shared" si="24"/>
        <v>0</v>
      </c>
      <c r="AJ52" s="200">
        <f t="shared" si="24"/>
        <v>0</v>
      </c>
      <c r="AK52" s="200">
        <f t="shared" si="24"/>
        <v>0</v>
      </c>
      <c r="AL52" s="200">
        <f t="shared" si="24"/>
        <v>0</v>
      </c>
      <c r="AM52" s="200">
        <f t="shared" si="24"/>
        <v>0</v>
      </c>
      <c r="AN52" s="200">
        <f t="shared" si="24"/>
        <v>0</v>
      </c>
      <c r="AO52" s="200">
        <f t="shared" si="24"/>
        <v>0</v>
      </c>
      <c r="AP52" s="200">
        <f t="shared" si="24"/>
        <v>0</v>
      </c>
      <c r="AQ52" s="200">
        <f t="shared" si="24"/>
        <v>0</v>
      </c>
      <c r="AR52" s="201">
        <f t="shared" si="24"/>
        <v>0</v>
      </c>
    </row>
    <row r="53" spans="2:44" s="13" customFormat="1">
      <c r="B53" s="138"/>
      <c r="C53" s="193" t="str">
        <f t="shared" si="15"/>
        <v/>
      </c>
      <c r="D53" s="266">
        <f t="shared" ca="1" si="16"/>
        <v>0</v>
      </c>
      <c r="E53" s="199">
        <f t="shared" ref="E53:N62" si="25">IF(OR($C53="",Year&gt;Contract_Length),,IF(Year&lt;INDEX(Year,1,5+ROW()-ROW($A$33)),,IF(Year&gt;INDEX(Year,1,5+ROW()-ROW($A$33))+Invest_Period-1,,$D53/Invest_Period)))</f>
        <v>0</v>
      </c>
      <c r="F53" s="200">
        <f t="shared" si="25"/>
        <v>0</v>
      </c>
      <c r="G53" s="200">
        <f t="shared" si="25"/>
        <v>0</v>
      </c>
      <c r="H53" s="200">
        <f t="shared" si="25"/>
        <v>0</v>
      </c>
      <c r="I53" s="200">
        <f t="shared" si="25"/>
        <v>0</v>
      </c>
      <c r="J53" s="200">
        <f t="shared" si="25"/>
        <v>0</v>
      </c>
      <c r="K53" s="200">
        <f t="shared" si="25"/>
        <v>0</v>
      </c>
      <c r="L53" s="200">
        <f t="shared" si="25"/>
        <v>0</v>
      </c>
      <c r="M53" s="200">
        <f t="shared" si="25"/>
        <v>0</v>
      </c>
      <c r="N53" s="200">
        <f t="shared" si="25"/>
        <v>0</v>
      </c>
      <c r="O53" s="200">
        <f t="shared" ref="O53:X62" si="26">IF(OR($C53="",Year&gt;Contract_Length),,IF(Year&lt;INDEX(Year,1,5+ROW()-ROW($A$33)),,IF(Year&gt;INDEX(Year,1,5+ROW()-ROW($A$33))+Invest_Period-1,,$D53/Invest_Period)))</f>
        <v>0</v>
      </c>
      <c r="P53" s="200">
        <f t="shared" si="26"/>
        <v>0</v>
      </c>
      <c r="Q53" s="200">
        <f t="shared" si="26"/>
        <v>0</v>
      </c>
      <c r="R53" s="200">
        <f t="shared" si="26"/>
        <v>0</v>
      </c>
      <c r="S53" s="200">
        <f t="shared" si="26"/>
        <v>0</v>
      </c>
      <c r="T53" s="200">
        <f t="shared" si="26"/>
        <v>0</v>
      </c>
      <c r="U53" s="200">
        <f t="shared" si="26"/>
        <v>0</v>
      </c>
      <c r="V53" s="200">
        <f t="shared" si="26"/>
        <v>0</v>
      </c>
      <c r="W53" s="200">
        <f t="shared" si="26"/>
        <v>0</v>
      </c>
      <c r="X53" s="200">
        <f t="shared" si="26"/>
        <v>0</v>
      </c>
      <c r="Y53" s="200">
        <f t="shared" ref="Y53:AH62" si="27">IF(OR($C53="",Year&gt;Contract_Length),,IF(Year&lt;INDEX(Year,1,5+ROW()-ROW($A$33)),,IF(Year&gt;INDEX(Year,1,5+ROW()-ROW($A$33))+Invest_Period-1,,$D53/Invest_Period)))</f>
        <v>0</v>
      </c>
      <c r="Z53" s="200">
        <f t="shared" si="27"/>
        <v>0</v>
      </c>
      <c r="AA53" s="200">
        <f t="shared" si="27"/>
        <v>0</v>
      </c>
      <c r="AB53" s="200">
        <f t="shared" si="27"/>
        <v>0</v>
      </c>
      <c r="AC53" s="200">
        <f t="shared" si="27"/>
        <v>0</v>
      </c>
      <c r="AD53" s="200">
        <f t="shared" si="27"/>
        <v>0</v>
      </c>
      <c r="AE53" s="200">
        <f t="shared" si="27"/>
        <v>0</v>
      </c>
      <c r="AF53" s="200">
        <f t="shared" si="27"/>
        <v>0</v>
      </c>
      <c r="AG53" s="200">
        <f t="shared" si="27"/>
        <v>0</v>
      </c>
      <c r="AH53" s="200">
        <f t="shared" si="27"/>
        <v>0</v>
      </c>
      <c r="AI53" s="200">
        <f t="shared" ref="AI53:AR62" si="28">IF(OR($C53="",Year&gt;Contract_Length),,IF(Year&lt;INDEX(Year,1,5+ROW()-ROW($A$33)),,IF(Year&gt;INDEX(Year,1,5+ROW()-ROW($A$33))+Invest_Period-1,,$D53/Invest_Period)))</f>
        <v>0</v>
      </c>
      <c r="AJ53" s="200">
        <f t="shared" si="28"/>
        <v>0</v>
      </c>
      <c r="AK53" s="200">
        <f t="shared" si="28"/>
        <v>0</v>
      </c>
      <c r="AL53" s="200">
        <f t="shared" si="28"/>
        <v>0</v>
      </c>
      <c r="AM53" s="200">
        <f t="shared" si="28"/>
        <v>0</v>
      </c>
      <c r="AN53" s="200">
        <f t="shared" si="28"/>
        <v>0</v>
      </c>
      <c r="AO53" s="200">
        <f t="shared" si="28"/>
        <v>0</v>
      </c>
      <c r="AP53" s="200">
        <f t="shared" si="28"/>
        <v>0</v>
      </c>
      <c r="AQ53" s="200">
        <f t="shared" si="28"/>
        <v>0</v>
      </c>
      <c r="AR53" s="201">
        <f t="shared" si="28"/>
        <v>0</v>
      </c>
    </row>
    <row r="54" spans="2:44" s="13" customFormat="1">
      <c r="B54" s="138"/>
      <c r="C54" s="193" t="str">
        <f t="shared" si="15"/>
        <v/>
      </c>
      <c r="D54" s="266">
        <f t="shared" ca="1" si="16"/>
        <v>0</v>
      </c>
      <c r="E54" s="199">
        <f t="shared" si="25"/>
        <v>0</v>
      </c>
      <c r="F54" s="200">
        <f t="shared" si="25"/>
        <v>0</v>
      </c>
      <c r="G54" s="200">
        <f t="shared" si="25"/>
        <v>0</v>
      </c>
      <c r="H54" s="200">
        <f t="shared" si="25"/>
        <v>0</v>
      </c>
      <c r="I54" s="200">
        <f t="shared" si="25"/>
        <v>0</v>
      </c>
      <c r="J54" s="200">
        <f t="shared" si="25"/>
        <v>0</v>
      </c>
      <c r="K54" s="200">
        <f t="shared" si="25"/>
        <v>0</v>
      </c>
      <c r="L54" s="200">
        <f t="shared" si="25"/>
        <v>0</v>
      </c>
      <c r="M54" s="200">
        <f t="shared" si="25"/>
        <v>0</v>
      </c>
      <c r="N54" s="200">
        <f t="shared" si="25"/>
        <v>0</v>
      </c>
      <c r="O54" s="200">
        <f t="shared" si="26"/>
        <v>0</v>
      </c>
      <c r="P54" s="200">
        <f t="shared" si="26"/>
        <v>0</v>
      </c>
      <c r="Q54" s="200">
        <f t="shared" si="26"/>
        <v>0</v>
      </c>
      <c r="R54" s="200">
        <f t="shared" si="26"/>
        <v>0</v>
      </c>
      <c r="S54" s="200">
        <f t="shared" si="26"/>
        <v>0</v>
      </c>
      <c r="T54" s="200">
        <f t="shared" si="26"/>
        <v>0</v>
      </c>
      <c r="U54" s="200">
        <f t="shared" si="26"/>
        <v>0</v>
      </c>
      <c r="V54" s="200">
        <f t="shared" si="26"/>
        <v>0</v>
      </c>
      <c r="W54" s="200">
        <f t="shared" si="26"/>
        <v>0</v>
      </c>
      <c r="X54" s="200">
        <f t="shared" si="26"/>
        <v>0</v>
      </c>
      <c r="Y54" s="200">
        <f t="shared" si="27"/>
        <v>0</v>
      </c>
      <c r="Z54" s="200">
        <f t="shared" si="27"/>
        <v>0</v>
      </c>
      <c r="AA54" s="200">
        <f t="shared" si="27"/>
        <v>0</v>
      </c>
      <c r="AB54" s="200">
        <f t="shared" si="27"/>
        <v>0</v>
      </c>
      <c r="AC54" s="200">
        <f t="shared" si="27"/>
        <v>0</v>
      </c>
      <c r="AD54" s="200">
        <f t="shared" si="27"/>
        <v>0</v>
      </c>
      <c r="AE54" s="200">
        <f t="shared" si="27"/>
        <v>0</v>
      </c>
      <c r="AF54" s="200">
        <f t="shared" si="27"/>
        <v>0</v>
      </c>
      <c r="AG54" s="200">
        <f t="shared" si="27"/>
        <v>0</v>
      </c>
      <c r="AH54" s="200">
        <f t="shared" si="27"/>
        <v>0</v>
      </c>
      <c r="AI54" s="200">
        <f t="shared" si="28"/>
        <v>0</v>
      </c>
      <c r="AJ54" s="200">
        <f t="shared" si="28"/>
        <v>0</v>
      </c>
      <c r="AK54" s="200">
        <f t="shared" si="28"/>
        <v>0</v>
      </c>
      <c r="AL54" s="200">
        <f t="shared" si="28"/>
        <v>0</v>
      </c>
      <c r="AM54" s="200">
        <f t="shared" si="28"/>
        <v>0</v>
      </c>
      <c r="AN54" s="200">
        <f t="shared" si="28"/>
        <v>0</v>
      </c>
      <c r="AO54" s="200">
        <f t="shared" si="28"/>
        <v>0</v>
      </c>
      <c r="AP54" s="200">
        <f t="shared" si="28"/>
        <v>0</v>
      </c>
      <c r="AQ54" s="200">
        <f t="shared" si="28"/>
        <v>0</v>
      </c>
      <c r="AR54" s="201">
        <f t="shared" si="28"/>
        <v>0</v>
      </c>
    </row>
    <row r="55" spans="2:44" s="13" customFormat="1">
      <c r="B55" s="138"/>
      <c r="C55" s="193" t="str">
        <f t="shared" si="15"/>
        <v/>
      </c>
      <c r="D55" s="266">
        <f t="shared" ca="1" si="16"/>
        <v>0</v>
      </c>
      <c r="E55" s="199">
        <f t="shared" si="25"/>
        <v>0</v>
      </c>
      <c r="F55" s="200">
        <f t="shared" si="25"/>
        <v>0</v>
      </c>
      <c r="G55" s="200">
        <f t="shared" si="25"/>
        <v>0</v>
      </c>
      <c r="H55" s="200">
        <f t="shared" si="25"/>
        <v>0</v>
      </c>
      <c r="I55" s="200">
        <f t="shared" si="25"/>
        <v>0</v>
      </c>
      <c r="J55" s="200">
        <f t="shared" si="25"/>
        <v>0</v>
      </c>
      <c r="K55" s="200">
        <f t="shared" si="25"/>
        <v>0</v>
      </c>
      <c r="L55" s="200">
        <f t="shared" si="25"/>
        <v>0</v>
      </c>
      <c r="M55" s="200">
        <f t="shared" si="25"/>
        <v>0</v>
      </c>
      <c r="N55" s="200">
        <f t="shared" si="25"/>
        <v>0</v>
      </c>
      <c r="O55" s="200">
        <f t="shared" si="26"/>
        <v>0</v>
      </c>
      <c r="P55" s="200">
        <f t="shared" si="26"/>
        <v>0</v>
      </c>
      <c r="Q55" s="200">
        <f t="shared" si="26"/>
        <v>0</v>
      </c>
      <c r="R55" s="200">
        <f t="shared" si="26"/>
        <v>0</v>
      </c>
      <c r="S55" s="200">
        <f t="shared" si="26"/>
        <v>0</v>
      </c>
      <c r="T55" s="200">
        <f t="shared" si="26"/>
        <v>0</v>
      </c>
      <c r="U55" s="200">
        <f t="shared" si="26"/>
        <v>0</v>
      </c>
      <c r="V55" s="200">
        <f t="shared" si="26"/>
        <v>0</v>
      </c>
      <c r="W55" s="200">
        <f t="shared" si="26"/>
        <v>0</v>
      </c>
      <c r="X55" s="200">
        <f t="shared" si="26"/>
        <v>0</v>
      </c>
      <c r="Y55" s="200">
        <f t="shared" si="27"/>
        <v>0</v>
      </c>
      <c r="Z55" s="200">
        <f t="shared" si="27"/>
        <v>0</v>
      </c>
      <c r="AA55" s="200">
        <f t="shared" si="27"/>
        <v>0</v>
      </c>
      <c r="AB55" s="200">
        <f t="shared" si="27"/>
        <v>0</v>
      </c>
      <c r="AC55" s="200">
        <f t="shared" si="27"/>
        <v>0</v>
      </c>
      <c r="AD55" s="200">
        <f t="shared" si="27"/>
        <v>0</v>
      </c>
      <c r="AE55" s="200">
        <f t="shared" si="27"/>
        <v>0</v>
      </c>
      <c r="AF55" s="200">
        <f t="shared" si="27"/>
        <v>0</v>
      </c>
      <c r="AG55" s="200">
        <f t="shared" si="27"/>
        <v>0</v>
      </c>
      <c r="AH55" s="200">
        <f t="shared" si="27"/>
        <v>0</v>
      </c>
      <c r="AI55" s="200">
        <f t="shared" si="28"/>
        <v>0</v>
      </c>
      <c r="AJ55" s="200">
        <f t="shared" si="28"/>
        <v>0</v>
      </c>
      <c r="AK55" s="200">
        <f t="shared" si="28"/>
        <v>0</v>
      </c>
      <c r="AL55" s="200">
        <f t="shared" si="28"/>
        <v>0</v>
      </c>
      <c r="AM55" s="200">
        <f t="shared" si="28"/>
        <v>0</v>
      </c>
      <c r="AN55" s="200">
        <f t="shared" si="28"/>
        <v>0</v>
      </c>
      <c r="AO55" s="200">
        <f t="shared" si="28"/>
        <v>0</v>
      </c>
      <c r="AP55" s="200">
        <f t="shared" si="28"/>
        <v>0</v>
      </c>
      <c r="AQ55" s="200">
        <f t="shared" si="28"/>
        <v>0</v>
      </c>
      <c r="AR55" s="201">
        <f t="shared" si="28"/>
        <v>0</v>
      </c>
    </row>
    <row r="56" spans="2:44" s="13" customFormat="1">
      <c r="B56" s="138"/>
      <c r="C56" s="193" t="str">
        <f t="shared" si="15"/>
        <v/>
      </c>
      <c r="D56" s="266">
        <f t="shared" ca="1" si="16"/>
        <v>0</v>
      </c>
      <c r="E56" s="199">
        <f t="shared" si="25"/>
        <v>0</v>
      </c>
      <c r="F56" s="200">
        <f t="shared" si="25"/>
        <v>0</v>
      </c>
      <c r="G56" s="200">
        <f t="shared" si="25"/>
        <v>0</v>
      </c>
      <c r="H56" s="200">
        <f t="shared" si="25"/>
        <v>0</v>
      </c>
      <c r="I56" s="200">
        <f t="shared" si="25"/>
        <v>0</v>
      </c>
      <c r="J56" s="200">
        <f t="shared" si="25"/>
        <v>0</v>
      </c>
      <c r="K56" s="200">
        <f t="shared" si="25"/>
        <v>0</v>
      </c>
      <c r="L56" s="200">
        <f t="shared" si="25"/>
        <v>0</v>
      </c>
      <c r="M56" s="200">
        <f t="shared" si="25"/>
        <v>0</v>
      </c>
      <c r="N56" s="200">
        <f t="shared" si="25"/>
        <v>0</v>
      </c>
      <c r="O56" s="200">
        <f t="shared" si="26"/>
        <v>0</v>
      </c>
      <c r="P56" s="200">
        <f t="shared" si="26"/>
        <v>0</v>
      </c>
      <c r="Q56" s="200">
        <f t="shared" si="26"/>
        <v>0</v>
      </c>
      <c r="R56" s="200">
        <f t="shared" si="26"/>
        <v>0</v>
      </c>
      <c r="S56" s="200">
        <f t="shared" si="26"/>
        <v>0</v>
      </c>
      <c r="T56" s="200">
        <f t="shared" si="26"/>
        <v>0</v>
      </c>
      <c r="U56" s="200">
        <f t="shared" si="26"/>
        <v>0</v>
      </c>
      <c r="V56" s="200">
        <f t="shared" si="26"/>
        <v>0</v>
      </c>
      <c r="W56" s="200">
        <f t="shared" si="26"/>
        <v>0</v>
      </c>
      <c r="X56" s="200">
        <f t="shared" si="26"/>
        <v>0</v>
      </c>
      <c r="Y56" s="200">
        <f t="shared" si="27"/>
        <v>0</v>
      </c>
      <c r="Z56" s="200">
        <f t="shared" si="27"/>
        <v>0</v>
      </c>
      <c r="AA56" s="200">
        <f t="shared" si="27"/>
        <v>0</v>
      </c>
      <c r="AB56" s="200">
        <f t="shared" si="27"/>
        <v>0</v>
      </c>
      <c r="AC56" s="200">
        <f t="shared" si="27"/>
        <v>0</v>
      </c>
      <c r="AD56" s="200">
        <f t="shared" si="27"/>
        <v>0</v>
      </c>
      <c r="AE56" s="200">
        <f t="shared" si="27"/>
        <v>0</v>
      </c>
      <c r="AF56" s="200">
        <f t="shared" si="27"/>
        <v>0</v>
      </c>
      <c r="AG56" s="200">
        <f t="shared" si="27"/>
        <v>0</v>
      </c>
      <c r="AH56" s="200">
        <f t="shared" si="27"/>
        <v>0</v>
      </c>
      <c r="AI56" s="200">
        <f t="shared" si="28"/>
        <v>0</v>
      </c>
      <c r="AJ56" s="200">
        <f t="shared" si="28"/>
        <v>0</v>
      </c>
      <c r="AK56" s="200">
        <f t="shared" si="28"/>
        <v>0</v>
      </c>
      <c r="AL56" s="200">
        <f t="shared" si="28"/>
        <v>0</v>
      </c>
      <c r="AM56" s="200">
        <f t="shared" si="28"/>
        <v>0</v>
      </c>
      <c r="AN56" s="200">
        <f t="shared" si="28"/>
        <v>0</v>
      </c>
      <c r="AO56" s="200">
        <f t="shared" si="28"/>
        <v>0</v>
      </c>
      <c r="AP56" s="200">
        <f t="shared" si="28"/>
        <v>0</v>
      </c>
      <c r="AQ56" s="200">
        <f t="shared" si="28"/>
        <v>0</v>
      </c>
      <c r="AR56" s="201">
        <f t="shared" si="28"/>
        <v>0</v>
      </c>
    </row>
    <row r="57" spans="2:44" s="13" customFormat="1">
      <c r="B57" s="138"/>
      <c r="C57" s="193" t="str">
        <f t="shared" si="15"/>
        <v/>
      </c>
      <c r="D57" s="266">
        <f t="shared" ca="1" si="16"/>
        <v>0</v>
      </c>
      <c r="E57" s="199">
        <f t="shared" si="25"/>
        <v>0</v>
      </c>
      <c r="F57" s="200">
        <f t="shared" si="25"/>
        <v>0</v>
      </c>
      <c r="G57" s="200">
        <f t="shared" si="25"/>
        <v>0</v>
      </c>
      <c r="H57" s="200">
        <f t="shared" si="25"/>
        <v>0</v>
      </c>
      <c r="I57" s="200">
        <f t="shared" si="25"/>
        <v>0</v>
      </c>
      <c r="J57" s="200">
        <f t="shared" si="25"/>
        <v>0</v>
      </c>
      <c r="K57" s="200">
        <f t="shared" si="25"/>
        <v>0</v>
      </c>
      <c r="L57" s="200">
        <f t="shared" si="25"/>
        <v>0</v>
      </c>
      <c r="M57" s="200">
        <f t="shared" si="25"/>
        <v>0</v>
      </c>
      <c r="N57" s="200">
        <f t="shared" si="25"/>
        <v>0</v>
      </c>
      <c r="O57" s="200">
        <f t="shared" si="26"/>
        <v>0</v>
      </c>
      <c r="P57" s="200">
        <f t="shared" si="26"/>
        <v>0</v>
      </c>
      <c r="Q57" s="200">
        <f t="shared" si="26"/>
        <v>0</v>
      </c>
      <c r="R57" s="200">
        <f t="shared" si="26"/>
        <v>0</v>
      </c>
      <c r="S57" s="200">
        <f t="shared" si="26"/>
        <v>0</v>
      </c>
      <c r="T57" s="200">
        <f t="shared" si="26"/>
        <v>0</v>
      </c>
      <c r="U57" s="200">
        <f t="shared" si="26"/>
        <v>0</v>
      </c>
      <c r="V57" s="200">
        <f t="shared" si="26"/>
        <v>0</v>
      </c>
      <c r="W57" s="200">
        <f t="shared" si="26"/>
        <v>0</v>
      </c>
      <c r="X57" s="200">
        <f t="shared" si="26"/>
        <v>0</v>
      </c>
      <c r="Y57" s="200">
        <f t="shared" si="27"/>
        <v>0</v>
      </c>
      <c r="Z57" s="200">
        <f t="shared" si="27"/>
        <v>0</v>
      </c>
      <c r="AA57" s="200">
        <f t="shared" si="27"/>
        <v>0</v>
      </c>
      <c r="AB57" s="200">
        <f t="shared" si="27"/>
        <v>0</v>
      </c>
      <c r="AC57" s="200">
        <f t="shared" si="27"/>
        <v>0</v>
      </c>
      <c r="AD57" s="200">
        <f t="shared" si="27"/>
        <v>0</v>
      </c>
      <c r="AE57" s="200">
        <f t="shared" si="27"/>
        <v>0</v>
      </c>
      <c r="AF57" s="200">
        <f t="shared" si="27"/>
        <v>0</v>
      </c>
      <c r="AG57" s="200">
        <f t="shared" si="27"/>
        <v>0</v>
      </c>
      <c r="AH57" s="200">
        <f t="shared" si="27"/>
        <v>0</v>
      </c>
      <c r="AI57" s="200">
        <f t="shared" si="28"/>
        <v>0</v>
      </c>
      <c r="AJ57" s="200">
        <f t="shared" si="28"/>
        <v>0</v>
      </c>
      <c r="AK57" s="200">
        <f t="shared" si="28"/>
        <v>0</v>
      </c>
      <c r="AL57" s="200">
        <f t="shared" si="28"/>
        <v>0</v>
      </c>
      <c r="AM57" s="200">
        <f t="shared" si="28"/>
        <v>0</v>
      </c>
      <c r="AN57" s="200">
        <f t="shared" si="28"/>
        <v>0</v>
      </c>
      <c r="AO57" s="200">
        <f t="shared" si="28"/>
        <v>0</v>
      </c>
      <c r="AP57" s="200">
        <f t="shared" si="28"/>
        <v>0</v>
      </c>
      <c r="AQ57" s="200">
        <f t="shared" si="28"/>
        <v>0</v>
      </c>
      <c r="AR57" s="201">
        <f t="shared" si="28"/>
        <v>0</v>
      </c>
    </row>
    <row r="58" spans="2:44" s="13" customFormat="1">
      <c r="B58" s="138"/>
      <c r="C58" s="193" t="str">
        <f t="shared" si="15"/>
        <v/>
      </c>
      <c r="D58" s="266">
        <f t="shared" ca="1" si="16"/>
        <v>0</v>
      </c>
      <c r="E58" s="199">
        <f t="shared" si="25"/>
        <v>0</v>
      </c>
      <c r="F58" s="200">
        <f t="shared" si="25"/>
        <v>0</v>
      </c>
      <c r="G58" s="200">
        <f t="shared" si="25"/>
        <v>0</v>
      </c>
      <c r="H58" s="200">
        <f t="shared" si="25"/>
        <v>0</v>
      </c>
      <c r="I58" s="200">
        <f t="shared" si="25"/>
        <v>0</v>
      </c>
      <c r="J58" s="200">
        <f t="shared" si="25"/>
        <v>0</v>
      </c>
      <c r="K58" s="200">
        <f t="shared" si="25"/>
        <v>0</v>
      </c>
      <c r="L58" s="200">
        <f t="shared" si="25"/>
        <v>0</v>
      </c>
      <c r="M58" s="200">
        <f t="shared" si="25"/>
        <v>0</v>
      </c>
      <c r="N58" s="200">
        <f t="shared" si="25"/>
        <v>0</v>
      </c>
      <c r="O58" s="200">
        <f t="shared" si="26"/>
        <v>0</v>
      </c>
      <c r="P58" s="200">
        <f t="shared" si="26"/>
        <v>0</v>
      </c>
      <c r="Q58" s="200">
        <f t="shared" si="26"/>
        <v>0</v>
      </c>
      <c r="R58" s="200">
        <f t="shared" si="26"/>
        <v>0</v>
      </c>
      <c r="S58" s="200">
        <f t="shared" si="26"/>
        <v>0</v>
      </c>
      <c r="T58" s="200">
        <f t="shared" si="26"/>
        <v>0</v>
      </c>
      <c r="U58" s="200">
        <f t="shared" si="26"/>
        <v>0</v>
      </c>
      <c r="V58" s="200">
        <f t="shared" si="26"/>
        <v>0</v>
      </c>
      <c r="W58" s="200">
        <f t="shared" si="26"/>
        <v>0</v>
      </c>
      <c r="X58" s="200">
        <f t="shared" si="26"/>
        <v>0</v>
      </c>
      <c r="Y58" s="200">
        <f t="shared" si="27"/>
        <v>0</v>
      </c>
      <c r="Z58" s="200">
        <f t="shared" si="27"/>
        <v>0</v>
      </c>
      <c r="AA58" s="200">
        <f t="shared" si="27"/>
        <v>0</v>
      </c>
      <c r="AB58" s="200">
        <f t="shared" si="27"/>
        <v>0</v>
      </c>
      <c r="AC58" s="200">
        <f t="shared" si="27"/>
        <v>0</v>
      </c>
      <c r="AD58" s="200">
        <f t="shared" si="27"/>
        <v>0</v>
      </c>
      <c r="AE58" s="200">
        <f t="shared" si="27"/>
        <v>0</v>
      </c>
      <c r="AF58" s="200">
        <f t="shared" si="27"/>
        <v>0</v>
      </c>
      <c r="AG58" s="200">
        <f t="shared" si="27"/>
        <v>0</v>
      </c>
      <c r="AH58" s="200">
        <f t="shared" si="27"/>
        <v>0</v>
      </c>
      <c r="AI58" s="200">
        <f t="shared" si="28"/>
        <v>0</v>
      </c>
      <c r="AJ58" s="200">
        <f t="shared" si="28"/>
        <v>0</v>
      </c>
      <c r="AK58" s="200">
        <f t="shared" si="28"/>
        <v>0</v>
      </c>
      <c r="AL58" s="200">
        <f t="shared" si="28"/>
        <v>0</v>
      </c>
      <c r="AM58" s="200">
        <f t="shared" si="28"/>
        <v>0</v>
      </c>
      <c r="AN58" s="200">
        <f t="shared" si="28"/>
        <v>0</v>
      </c>
      <c r="AO58" s="200">
        <f t="shared" si="28"/>
        <v>0</v>
      </c>
      <c r="AP58" s="200">
        <f t="shared" si="28"/>
        <v>0</v>
      </c>
      <c r="AQ58" s="200">
        <f t="shared" si="28"/>
        <v>0</v>
      </c>
      <c r="AR58" s="201">
        <f t="shared" si="28"/>
        <v>0</v>
      </c>
    </row>
    <row r="59" spans="2:44" s="13" customFormat="1">
      <c r="B59" s="138"/>
      <c r="C59" s="193" t="str">
        <f t="shared" si="15"/>
        <v/>
      </c>
      <c r="D59" s="266">
        <f t="shared" ca="1" si="16"/>
        <v>0</v>
      </c>
      <c r="E59" s="199">
        <f t="shared" si="25"/>
        <v>0</v>
      </c>
      <c r="F59" s="200">
        <f t="shared" si="25"/>
        <v>0</v>
      </c>
      <c r="G59" s="200">
        <f t="shared" si="25"/>
        <v>0</v>
      </c>
      <c r="H59" s="200">
        <f t="shared" si="25"/>
        <v>0</v>
      </c>
      <c r="I59" s="200">
        <f t="shared" si="25"/>
        <v>0</v>
      </c>
      <c r="J59" s="200">
        <f t="shared" si="25"/>
        <v>0</v>
      </c>
      <c r="K59" s="200">
        <f t="shared" si="25"/>
        <v>0</v>
      </c>
      <c r="L59" s="200">
        <f t="shared" si="25"/>
        <v>0</v>
      </c>
      <c r="M59" s="200">
        <f t="shared" si="25"/>
        <v>0</v>
      </c>
      <c r="N59" s="200">
        <f t="shared" si="25"/>
        <v>0</v>
      </c>
      <c r="O59" s="200">
        <f t="shared" si="26"/>
        <v>0</v>
      </c>
      <c r="P59" s="200">
        <f t="shared" si="26"/>
        <v>0</v>
      </c>
      <c r="Q59" s="200">
        <f t="shared" si="26"/>
        <v>0</v>
      </c>
      <c r="R59" s="200">
        <f t="shared" si="26"/>
        <v>0</v>
      </c>
      <c r="S59" s="200">
        <f t="shared" si="26"/>
        <v>0</v>
      </c>
      <c r="T59" s="200">
        <f t="shared" si="26"/>
        <v>0</v>
      </c>
      <c r="U59" s="200">
        <f t="shared" si="26"/>
        <v>0</v>
      </c>
      <c r="V59" s="200">
        <f t="shared" si="26"/>
        <v>0</v>
      </c>
      <c r="W59" s="200">
        <f t="shared" si="26"/>
        <v>0</v>
      </c>
      <c r="X59" s="200">
        <f t="shared" si="26"/>
        <v>0</v>
      </c>
      <c r="Y59" s="200">
        <f t="shared" si="27"/>
        <v>0</v>
      </c>
      <c r="Z59" s="200">
        <f t="shared" si="27"/>
        <v>0</v>
      </c>
      <c r="AA59" s="200">
        <f t="shared" si="27"/>
        <v>0</v>
      </c>
      <c r="AB59" s="200">
        <f t="shared" si="27"/>
        <v>0</v>
      </c>
      <c r="AC59" s="200">
        <f t="shared" si="27"/>
        <v>0</v>
      </c>
      <c r="AD59" s="200">
        <f t="shared" si="27"/>
        <v>0</v>
      </c>
      <c r="AE59" s="200">
        <f t="shared" si="27"/>
        <v>0</v>
      </c>
      <c r="AF59" s="200">
        <f t="shared" si="27"/>
        <v>0</v>
      </c>
      <c r="AG59" s="200">
        <f t="shared" si="27"/>
        <v>0</v>
      </c>
      <c r="AH59" s="200">
        <f t="shared" si="27"/>
        <v>0</v>
      </c>
      <c r="AI59" s="200">
        <f t="shared" si="28"/>
        <v>0</v>
      </c>
      <c r="AJ59" s="200">
        <f t="shared" si="28"/>
        <v>0</v>
      </c>
      <c r="AK59" s="200">
        <f t="shared" si="28"/>
        <v>0</v>
      </c>
      <c r="AL59" s="200">
        <f t="shared" si="28"/>
        <v>0</v>
      </c>
      <c r="AM59" s="200">
        <f t="shared" si="28"/>
        <v>0</v>
      </c>
      <c r="AN59" s="200">
        <f t="shared" si="28"/>
        <v>0</v>
      </c>
      <c r="AO59" s="200">
        <f t="shared" si="28"/>
        <v>0</v>
      </c>
      <c r="AP59" s="200">
        <f t="shared" si="28"/>
        <v>0</v>
      </c>
      <c r="AQ59" s="200">
        <f t="shared" si="28"/>
        <v>0</v>
      </c>
      <c r="AR59" s="201">
        <f t="shared" si="28"/>
        <v>0</v>
      </c>
    </row>
    <row r="60" spans="2:44" s="13" customFormat="1">
      <c r="B60" s="138"/>
      <c r="C60" s="193" t="str">
        <f t="shared" si="15"/>
        <v/>
      </c>
      <c r="D60" s="266">
        <f t="shared" ca="1" si="16"/>
        <v>0</v>
      </c>
      <c r="E60" s="199">
        <f t="shared" si="25"/>
        <v>0</v>
      </c>
      <c r="F60" s="200">
        <f t="shared" si="25"/>
        <v>0</v>
      </c>
      <c r="G60" s="200">
        <f t="shared" si="25"/>
        <v>0</v>
      </c>
      <c r="H60" s="200">
        <f t="shared" si="25"/>
        <v>0</v>
      </c>
      <c r="I60" s="200">
        <f t="shared" si="25"/>
        <v>0</v>
      </c>
      <c r="J60" s="200">
        <f t="shared" si="25"/>
        <v>0</v>
      </c>
      <c r="K60" s="200">
        <f t="shared" si="25"/>
        <v>0</v>
      </c>
      <c r="L60" s="200">
        <f t="shared" si="25"/>
        <v>0</v>
      </c>
      <c r="M60" s="200">
        <f t="shared" si="25"/>
        <v>0</v>
      </c>
      <c r="N60" s="200">
        <f t="shared" si="25"/>
        <v>0</v>
      </c>
      <c r="O60" s="200">
        <f t="shared" si="26"/>
        <v>0</v>
      </c>
      <c r="P60" s="200">
        <f t="shared" si="26"/>
        <v>0</v>
      </c>
      <c r="Q60" s="200">
        <f t="shared" si="26"/>
        <v>0</v>
      </c>
      <c r="R60" s="200">
        <f t="shared" si="26"/>
        <v>0</v>
      </c>
      <c r="S60" s="200">
        <f t="shared" si="26"/>
        <v>0</v>
      </c>
      <c r="T60" s="200">
        <f t="shared" si="26"/>
        <v>0</v>
      </c>
      <c r="U60" s="200">
        <f t="shared" si="26"/>
        <v>0</v>
      </c>
      <c r="V60" s="200">
        <f t="shared" si="26"/>
        <v>0</v>
      </c>
      <c r="W60" s="200">
        <f t="shared" si="26"/>
        <v>0</v>
      </c>
      <c r="X60" s="200">
        <f t="shared" si="26"/>
        <v>0</v>
      </c>
      <c r="Y60" s="200">
        <f t="shared" si="27"/>
        <v>0</v>
      </c>
      <c r="Z60" s="200">
        <f t="shared" si="27"/>
        <v>0</v>
      </c>
      <c r="AA60" s="200">
        <f t="shared" si="27"/>
        <v>0</v>
      </c>
      <c r="AB60" s="200">
        <f t="shared" si="27"/>
        <v>0</v>
      </c>
      <c r="AC60" s="200">
        <f t="shared" si="27"/>
        <v>0</v>
      </c>
      <c r="AD60" s="200">
        <f t="shared" si="27"/>
        <v>0</v>
      </c>
      <c r="AE60" s="200">
        <f t="shared" si="27"/>
        <v>0</v>
      </c>
      <c r="AF60" s="200">
        <f t="shared" si="27"/>
        <v>0</v>
      </c>
      <c r="AG60" s="200">
        <f t="shared" si="27"/>
        <v>0</v>
      </c>
      <c r="AH60" s="200">
        <f t="shared" si="27"/>
        <v>0</v>
      </c>
      <c r="AI60" s="200">
        <f t="shared" si="28"/>
        <v>0</v>
      </c>
      <c r="AJ60" s="200">
        <f t="shared" si="28"/>
        <v>0</v>
      </c>
      <c r="AK60" s="200">
        <f t="shared" si="28"/>
        <v>0</v>
      </c>
      <c r="AL60" s="200">
        <f t="shared" si="28"/>
        <v>0</v>
      </c>
      <c r="AM60" s="200">
        <f t="shared" si="28"/>
        <v>0</v>
      </c>
      <c r="AN60" s="200">
        <f t="shared" si="28"/>
        <v>0</v>
      </c>
      <c r="AO60" s="200">
        <f t="shared" si="28"/>
        <v>0</v>
      </c>
      <c r="AP60" s="200">
        <f t="shared" si="28"/>
        <v>0</v>
      </c>
      <c r="AQ60" s="200">
        <f t="shared" si="28"/>
        <v>0</v>
      </c>
      <c r="AR60" s="201">
        <f t="shared" si="28"/>
        <v>0</v>
      </c>
    </row>
    <row r="61" spans="2:44" s="13" customFormat="1">
      <c r="B61" s="138"/>
      <c r="C61" s="193" t="str">
        <f t="shared" si="15"/>
        <v/>
      </c>
      <c r="D61" s="266">
        <f t="shared" ca="1" si="16"/>
        <v>0</v>
      </c>
      <c r="E61" s="199">
        <f t="shared" si="25"/>
        <v>0</v>
      </c>
      <c r="F61" s="200">
        <f t="shared" si="25"/>
        <v>0</v>
      </c>
      <c r="G61" s="200">
        <f t="shared" si="25"/>
        <v>0</v>
      </c>
      <c r="H61" s="200">
        <f t="shared" si="25"/>
        <v>0</v>
      </c>
      <c r="I61" s="200">
        <f t="shared" si="25"/>
        <v>0</v>
      </c>
      <c r="J61" s="200">
        <f t="shared" si="25"/>
        <v>0</v>
      </c>
      <c r="K61" s="200">
        <f t="shared" si="25"/>
        <v>0</v>
      </c>
      <c r="L61" s="200">
        <f t="shared" si="25"/>
        <v>0</v>
      </c>
      <c r="M61" s="200">
        <f t="shared" si="25"/>
        <v>0</v>
      </c>
      <c r="N61" s="200">
        <f t="shared" si="25"/>
        <v>0</v>
      </c>
      <c r="O61" s="200">
        <f t="shared" si="26"/>
        <v>0</v>
      </c>
      <c r="P61" s="200">
        <f t="shared" si="26"/>
        <v>0</v>
      </c>
      <c r="Q61" s="200">
        <f t="shared" si="26"/>
        <v>0</v>
      </c>
      <c r="R61" s="200">
        <f t="shared" si="26"/>
        <v>0</v>
      </c>
      <c r="S61" s="200">
        <f t="shared" si="26"/>
        <v>0</v>
      </c>
      <c r="T61" s="200">
        <f t="shared" si="26"/>
        <v>0</v>
      </c>
      <c r="U61" s="200">
        <f t="shared" si="26"/>
        <v>0</v>
      </c>
      <c r="V61" s="200">
        <f t="shared" si="26"/>
        <v>0</v>
      </c>
      <c r="W61" s="200">
        <f t="shared" si="26"/>
        <v>0</v>
      </c>
      <c r="X61" s="200">
        <f t="shared" si="26"/>
        <v>0</v>
      </c>
      <c r="Y61" s="200">
        <f t="shared" si="27"/>
        <v>0</v>
      </c>
      <c r="Z61" s="200">
        <f t="shared" si="27"/>
        <v>0</v>
      </c>
      <c r="AA61" s="200">
        <f t="shared" si="27"/>
        <v>0</v>
      </c>
      <c r="AB61" s="200">
        <f t="shared" si="27"/>
        <v>0</v>
      </c>
      <c r="AC61" s="200">
        <f t="shared" si="27"/>
        <v>0</v>
      </c>
      <c r="AD61" s="200">
        <f t="shared" si="27"/>
        <v>0</v>
      </c>
      <c r="AE61" s="200">
        <f t="shared" si="27"/>
        <v>0</v>
      </c>
      <c r="AF61" s="200">
        <f t="shared" si="27"/>
        <v>0</v>
      </c>
      <c r="AG61" s="200">
        <f t="shared" si="27"/>
        <v>0</v>
      </c>
      <c r="AH61" s="200">
        <f t="shared" si="27"/>
        <v>0</v>
      </c>
      <c r="AI61" s="200">
        <f t="shared" si="28"/>
        <v>0</v>
      </c>
      <c r="AJ61" s="200">
        <f t="shared" si="28"/>
        <v>0</v>
      </c>
      <c r="AK61" s="200">
        <f t="shared" si="28"/>
        <v>0</v>
      </c>
      <c r="AL61" s="200">
        <f t="shared" si="28"/>
        <v>0</v>
      </c>
      <c r="AM61" s="200">
        <f t="shared" si="28"/>
        <v>0</v>
      </c>
      <c r="AN61" s="200">
        <f t="shared" si="28"/>
        <v>0</v>
      </c>
      <c r="AO61" s="200">
        <f t="shared" si="28"/>
        <v>0</v>
      </c>
      <c r="AP61" s="200">
        <f t="shared" si="28"/>
        <v>0</v>
      </c>
      <c r="AQ61" s="200">
        <f t="shared" si="28"/>
        <v>0</v>
      </c>
      <c r="AR61" s="201">
        <f t="shared" si="28"/>
        <v>0</v>
      </c>
    </row>
    <row r="62" spans="2:44" s="13" customFormat="1">
      <c r="B62" s="138"/>
      <c r="C62" s="193" t="str">
        <f t="shared" si="15"/>
        <v/>
      </c>
      <c r="D62" s="266">
        <f t="shared" ca="1" si="16"/>
        <v>0</v>
      </c>
      <c r="E62" s="199">
        <f t="shared" si="25"/>
        <v>0</v>
      </c>
      <c r="F62" s="200">
        <f t="shared" si="25"/>
        <v>0</v>
      </c>
      <c r="G62" s="200">
        <f t="shared" si="25"/>
        <v>0</v>
      </c>
      <c r="H62" s="200">
        <f t="shared" si="25"/>
        <v>0</v>
      </c>
      <c r="I62" s="200">
        <f t="shared" si="25"/>
        <v>0</v>
      </c>
      <c r="J62" s="200">
        <f t="shared" si="25"/>
        <v>0</v>
      </c>
      <c r="K62" s="200">
        <f t="shared" si="25"/>
        <v>0</v>
      </c>
      <c r="L62" s="200">
        <f t="shared" si="25"/>
        <v>0</v>
      </c>
      <c r="M62" s="200">
        <f t="shared" si="25"/>
        <v>0</v>
      </c>
      <c r="N62" s="200">
        <f t="shared" si="25"/>
        <v>0</v>
      </c>
      <c r="O62" s="200">
        <f t="shared" si="26"/>
        <v>0</v>
      </c>
      <c r="P62" s="200">
        <f t="shared" si="26"/>
        <v>0</v>
      </c>
      <c r="Q62" s="200">
        <f t="shared" si="26"/>
        <v>0</v>
      </c>
      <c r="R62" s="200">
        <f t="shared" si="26"/>
        <v>0</v>
      </c>
      <c r="S62" s="200">
        <f t="shared" si="26"/>
        <v>0</v>
      </c>
      <c r="T62" s="200">
        <f t="shared" si="26"/>
        <v>0</v>
      </c>
      <c r="U62" s="200">
        <f t="shared" si="26"/>
        <v>0</v>
      </c>
      <c r="V62" s="200">
        <f t="shared" si="26"/>
        <v>0</v>
      </c>
      <c r="W62" s="200">
        <f t="shared" si="26"/>
        <v>0</v>
      </c>
      <c r="X62" s="200">
        <f t="shared" si="26"/>
        <v>0</v>
      </c>
      <c r="Y62" s="200">
        <f t="shared" si="27"/>
        <v>0</v>
      </c>
      <c r="Z62" s="200">
        <f t="shared" si="27"/>
        <v>0</v>
      </c>
      <c r="AA62" s="200">
        <f t="shared" si="27"/>
        <v>0</v>
      </c>
      <c r="AB62" s="200">
        <f t="shared" si="27"/>
        <v>0</v>
      </c>
      <c r="AC62" s="200">
        <f t="shared" si="27"/>
        <v>0</v>
      </c>
      <c r="AD62" s="200">
        <f t="shared" si="27"/>
        <v>0</v>
      </c>
      <c r="AE62" s="200">
        <f t="shared" si="27"/>
        <v>0</v>
      </c>
      <c r="AF62" s="200">
        <f t="shared" si="27"/>
        <v>0</v>
      </c>
      <c r="AG62" s="200">
        <f t="shared" si="27"/>
        <v>0</v>
      </c>
      <c r="AH62" s="200">
        <f t="shared" si="27"/>
        <v>0</v>
      </c>
      <c r="AI62" s="200">
        <f t="shared" si="28"/>
        <v>0</v>
      </c>
      <c r="AJ62" s="200">
        <f t="shared" si="28"/>
        <v>0</v>
      </c>
      <c r="AK62" s="200">
        <f t="shared" si="28"/>
        <v>0</v>
      </c>
      <c r="AL62" s="200">
        <f t="shared" si="28"/>
        <v>0</v>
      </c>
      <c r="AM62" s="200">
        <f t="shared" si="28"/>
        <v>0</v>
      </c>
      <c r="AN62" s="200">
        <f t="shared" si="28"/>
        <v>0</v>
      </c>
      <c r="AO62" s="200">
        <f t="shared" si="28"/>
        <v>0</v>
      </c>
      <c r="AP62" s="200">
        <f t="shared" si="28"/>
        <v>0</v>
      </c>
      <c r="AQ62" s="200">
        <f t="shared" si="28"/>
        <v>0</v>
      </c>
      <c r="AR62" s="201">
        <f t="shared" si="28"/>
        <v>0</v>
      </c>
    </row>
    <row r="63" spans="2:44" s="13" customFormat="1">
      <c r="B63" s="138"/>
      <c r="C63" s="193" t="str">
        <f t="shared" si="15"/>
        <v/>
      </c>
      <c r="D63" s="266">
        <f t="shared" ca="1" si="16"/>
        <v>0</v>
      </c>
      <c r="E63" s="199">
        <f t="shared" ref="E63:N72" si="29">IF(OR($C63="",Year&gt;Contract_Length),,IF(Year&lt;INDEX(Year,1,5+ROW()-ROW($A$33)),,IF(Year&gt;INDEX(Year,1,5+ROW()-ROW($A$33))+Invest_Period-1,,$D63/Invest_Period)))</f>
        <v>0</v>
      </c>
      <c r="F63" s="200">
        <f t="shared" si="29"/>
        <v>0</v>
      </c>
      <c r="G63" s="200">
        <f t="shared" si="29"/>
        <v>0</v>
      </c>
      <c r="H63" s="200">
        <f t="shared" si="29"/>
        <v>0</v>
      </c>
      <c r="I63" s="200">
        <f t="shared" si="29"/>
        <v>0</v>
      </c>
      <c r="J63" s="200">
        <f t="shared" si="29"/>
        <v>0</v>
      </c>
      <c r="K63" s="200">
        <f t="shared" si="29"/>
        <v>0</v>
      </c>
      <c r="L63" s="200">
        <f t="shared" si="29"/>
        <v>0</v>
      </c>
      <c r="M63" s="200">
        <f t="shared" si="29"/>
        <v>0</v>
      </c>
      <c r="N63" s="200">
        <f t="shared" si="29"/>
        <v>0</v>
      </c>
      <c r="O63" s="200">
        <f t="shared" ref="O63:X72" si="30">IF(OR($C63="",Year&gt;Contract_Length),,IF(Year&lt;INDEX(Year,1,5+ROW()-ROW($A$33)),,IF(Year&gt;INDEX(Year,1,5+ROW()-ROW($A$33))+Invest_Period-1,,$D63/Invest_Period)))</f>
        <v>0</v>
      </c>
      <c r="P63" s="200">
        <f t="shared" si="30"/>
        <v>0</v>
      </c>
      <c r="Q63" s="200">
        <f t="shared" si="30"/>
        <v>0</v>
      </c>
      <c r="R63" s="200">
        <f t="shared" si="30"/>
        <v>0</v>
      </c>
      <c r="S63" s="200">
        <f t="shared" si="30"/>
        <v>0</v>
      </c>
      <c r="T63" s="200">
        <f t="shared" si="30"/>
        <v>0</v>
      </c>
      <c r="U63" s="200">
        <f t="shared" si="30"/>
        <v>0</v>
      </c>
      <c r="V63" s="200">
        <f t="shared" si="30"/>
        <v>0</v>
      </c>
      <c r="W63" s="200">
        <f t="shared" si="30"/>
        <v>0</v>
      </c>
      <c r="X63" s="200">
        <f t="shared" si="30"/>
        <v>0</v>
      </c>
      <c r="Y63" s="200">
        <f t="shared" ref="Y63:AH72" si="31">IF(OR($C63="",Year&gt;Contract_Length),,IF(Year&lt;INDEX(Year,1,5+ROW()-ROW($A$33)),,IF(Year&gt;INDEX(Year,1,5+ROW()-ROW($A$33))+Invest_Period-1,,$D63/Invest_Period)))</f>
        <v>0</v>
      </c>
      <c r="Z63" s="200">
        <f t="shared" si="31"/>
        <v>0</v>
      </c>
      <c r="AA63" s="200">
        <f t="shared" si="31"/>
        <v>0</v>
      </c>
      <c r="AB63" s="200">
        <f t="shared" si="31"/>
        <v>0</v>
      </c>
      <c r="AC63" s="200">
        <f t="shared" si="31"/>
        <v>0</v>
      </c>
      <c r="AD63" s="200">
        <f t="shared" si="31"/>
        <v>0</v>
      </c>
      <c r="AE63" s="200">
        <f t="shared" si="31"/>
        <v>0</v>
      </c>
      <c r="AF63" s="200">
        <f t="shared" si="31"/>
        <v>0</v>
      </c>
      <c r="AG63" s="200">
        <f t="shared" si="31"/>
        <v>0</v>
      </c>
      <c r="AH63" s="200">
        <f t="shared" si="31"/>
        <v>0</v>
      </c>
      <c r="AI63" s="200">
        <f t="shared" ref="AI63:AR72" si="32">IF(OR($C63="",Year&gt;Contract_Length),,IF(Year&lt;INDEX(Year,1,5+ROW()-ROW($A$33)),,IF(Year&gt;INDEX(Year,1,5+ROW()-ROW($A$33))+Invest_Period-1,,$D63/Invest_Period)))</f>
        <v>0</v>
      </c>
      <c r="AJ63" s="200">
        <f t="shared" si="32"/>
        <v>0</v>
      </c>
      <c r="AK63" s="200">
        <f t="shared" si="32"/>
        <v>0</v>
      </c>
      <c r="AL63" s="200">
        <f t="shared" si="32"/>
        <v>0</v>
      </c>
      <c r="AM63" s="200">
        <f t="shared" si="32"/>
        <v>0</v>
      </c>
      <c r="AN63" s="200">
        <f t="shared" si="32"/>
        <v>0</v>
      </c>
      <c r="AO63" s="200">
        <f t="shared" si="32"/>
        <v>0</v>
      </c>
      <c r="AP63" s="200">
        <f t="shared" si="32"/>
        <v>0</v>
      </c>
      <c r="AQ63" s="200">
        <f t="shared" si="32"/>
        <v>0</v>
      </c>
      <c r="AR63" s="201">
        <f t="shared" si="32"/>
        <v>0</v>
      </c>
    </row>
    <row r="64" spans="2:44" s="13" customFormat="1">
      <c r="B64" s="138"/>
      <c r="C64" s="193" t="str">
        <f t="shared" si="15"/>
        <v/>
      </c>
      <c r="D64" s="266">
        <f t="shared" ca="1" si="16"/>
        <v>0</v>
      </c>
      <c r="E64" s="199">
        <f t="shared" si="29"/>
        <v>0</v>
      </c>
      <c r="F64" s="200">
        <f t="shared" si="29"/>
        <v>0</v>
      </c>
      <c r="G64" s="200">
        <f t="shared" si="29"/>
        <v>0</v>
      </c>
      <c r="H64" s="200">
        <f t="shared" si="29"/>
        <v>0</v>
      </c>
      <c r="I64" s="200">
        <f t="shared" si="29"/>
        <v>0</v>
      </c>
      <c r="J64" s="200">
        <f t="shared" si="29"/>
        <v>0</v>
      </c>
      <c r="K64" s="200">
        <f t="shared" si="29"/>
        <v>0</v>
      </c>
      <c r="L64" s="200">
        <f t="shared" si="29"/>
        <v>0</v>
      </c>
      <c r="M64" s="200">
        <f t="shared" si="29"/>
        <v>0</v>
      </c>
      <c r="N64" s="200">
        <f t="shared" si="29"/>
        <v>0</v>
      </c>
      <c r="O64" s="200">
        <f t="shared" si="30"/>
        <v>0</v>
      </c>
      <c r="P64" s="200">
        <f t="shared" si="30"/>
        <v>0</v>
      </c>
      <c r="Q64" s="200">
        <f t="shared" si="30"/>
        <v>0</v>
      </c>
      <c r="R64" s="200">
        <f t="shared" si="30"/>
        <v>0</v>
      </c>
      <c r="S64" s="200">
        <f t="shared" si="30"/>
        <v>0</v>
      </c>
      <c r="T64" s="200">
        <f t="shared" si="30"/>
        <v>0</v>
      </c>
      <c r="U64" s="200">
        <f t="shared" si="30"/>
        <v>0</v>
      </c>
      <c r="V64" s="200">
        <f t="shared" si="30"/>
        <v>0</v>
      </c>
      <c r="W64" s="200">
        <f t="shared" si="30"/>
        <v>0</v>
      </c>
      <c r="X64" s="200">
        <f t="shared" si="30"/>
        <v>0</v>
      </c>
      <c r="Y64" s="200">
        <f t="shared" si="31"/>
        <v>0</v>
      </c>
      <c r="Z64" s="200">
        <f t="shared" si="31"/>
        <v>0</v>
      </c>
      <c r="AA64" s="200">
        <f t="shared" si="31"/>
        <v>0</v>
      </c>
      <c r="AB64" s="200">
        <f t="shared" si="31"/>
        <v>0</v>
      </c>
      <c r="AC64" s="200">
        <f t="shared" si="31"/>
        <v>0</v>
      </c>
      <c r="AD64" s="200">
        <f t="shared" si="31"/>
        <v>0</v>
      </c>
      <c r="AE64" s="200">
        <f t="shared" si="31"/>
        <v>0</v>
      </c>
      <c r="AF64" s="200">
        <f t="shared" si="31"/>
        <v>0</v>
      </c>
      <c r="AG64" s="200">
        <f t="shared" si="31"/>
        <v>0</v>
      </c>
      <c r="AH64" s="200">
        <f t="shared" si="31"/>
        <v>0</v>
      </c>
      <c r="AI64" s="200">
        <f t="shared" si="32"/>
        <v>0</v>
      </c>
      <c r="AJ64" s="200">
        <f t="shared" si="32"/>
        <v>0</v>
      </c>
      <c r="AK64" s="200">
        <f t="shared" si="32"/>
        <v>0</v>
      </c>
      <c r="AL64" s="200">
        <f t="shared" si="32"/>
        <v>0</v>
      </c>
      <c r="AM64" s="200">
        <f t="shared" si="32"/>
        <v>0</v>
      </c>
      <c r="AN64" s="200">
        <f t="shared" si="32"/>
        <v>0</v>
      </c>
      <c r="AO64" s="200">
        <f t="shared" si="32"/>
        <v>0</v>
      </c>
      <c r="AP64" s="200">
        <f t="shared" si="32"/>
        <v>0</v>
      </c>
      <c r="AQ64" s="200">
        <f t="shared" si="32"/>
        <v>0</v>
      </c>
      <c r="AR64" s="201">
        <f t="shared" si="32"/>
        <v>0</v>
      </c>
    </row>
    <row r="65" spans="2:44" s="13" customFormat="1">
      <c r="B65" s="138"/>
      <c r="C65" s="193" t="str">
        <f t="shared" si="15"/>
        <v/>
      </c>
      <c r="D65" s="266">
        <f t="shared" ca="1" si="16"/>
        <v>0</v>
      </c>
      <c r="E65" s="199">
        <f t="shared" si="29"/>
        <v>0</v>
      </c>
      <c r="F65" s="200">
        <f t="shared" si="29"/>
        <v>0</v>
      </c>
      <c r="G65" s="200">
        <f t="shared" si="29"/>
        <v>0</v>
      </c>
      <c r="H65" s="200">
        <f t="shared" si="29"/>
        <v>0</v>
      </c>
      <c r="I65" s="200">
        <f t="shared" si="29"/>
        <v>0</v>
      </c>
      <c r="J65" s="200">
        <f t="shared" si="29"/>
        <v>0</v>
      </c>
      <c r="K65" s="200">
        <f t="shared" si="29"/>
        <v>0</v>
      </c>
      <c r="L65" s="200">
        <f t="shared" si="29"/>
        <v>0</v>
      </c>
      <c r="M65" s="200">
        <f t="shared" si="29"/>
        <v>0</v>
      </c>
      <c r="N65" s="200">
        <f t="shared" si="29"/>
        <v>0</v>
      </c>
      <c r="O65" s="200">
        <f t="shared" si="30"/>
        <v>0</v>
      </c>
      <c r="P65" s="200">
        <f t="shared" si="30"/>
        <v>0</v>
      </c>
      <c r="Q65" s="200">
        <f t="shared" si="30"/>
        <v>0</v>
      </c>
      <c r="R65" s="200">
        <f t="shared" si="30"/>
        <v>0</v>
      </c>
      <c r="S65" s="200">
        <f t="shared" si="30"/>
        <v>0</v>
      </c>
      <c r="T65" s="200">
        <f t="shared" si="30"/>
        <v>0</v>
      </c>
      <c r="U65" s="200">
        <f t="shared" si="30"/>
        <v>0</v>
      </c>
      <c r="V65" s="200">
        <f t="shared" si="30"/>
        <v>0</v>
      </c>
      <c r="W65" s="200">
        <f t="shared" si="30"/>
        <v>0</v>
      </c>
      <c r="X65" s="200">
        <f t="shared" si="30"/>
        <v>0</v>
      </c>
      <c r="Y65" s="200">
        <f t="shared" si="31"/>
        <v>0</v>
      </c>
      <c r="Z65" s="200">
        <f t="shared" si="31"/>
        <v>0</v>
      </c>
      <c r="AA65" s="200">
        <f t="shared" si="31"/>
        <v>0</v>
      </c>
      <c r="AB65" s="200">
        <f t="shared" si="31"/>
        <v>0</v>
      </c>
      <c r="AC65" s="200">
        <f t="shared" si="31"/>
        <v>0</v>
      </c>
      <c r="AD65" s="200">
        <f t="shared" si="31"/>
        <v>0</v>
      </c>
      <c r="AE65" s="200">
        <f t="shared" si="31"/>
        <v>0</v>
      </c>
      <c r="AF65" s="200">
        <f t="shared" si="31"/>
        <v>0</v>
      </c>
      <c r="AG65" s="200">
        <f t="shared" si="31"/>
        <v>0</v>
      </c>
      <c r="AH65" s="200">
        <f t="shared" si="31"/>
        <v>0</v>
      </c>
      <c r="AI65" s="200">
        <f t="shared" si="32"/>
        <v>0</v>
      </c>
      <c r="AJ65" s="200">
        <f t="shared" si="32"/>
        <v>0</v>
      </c>
      <c r="AK65" s="200">
        <f t="shared" si="32"/>
        <v>0</v>
      </c>
      <c r="AL65" s="200">
        <f t="shared" si="32"/>
        <v>0</v>
      </c>
      <c r="AM65" s="200">
        <f t="shared" si="32"/>
        <v>0</v>
      </c>
      <c r="AN65" s="200">
        <f t="shared" si="32"/>
        <v>0</v>
      </c>
      <c r="AO65" s="200">
        <f t="shared" si="32"/>
        <v>0</v>
      </c>
      <c r="AP65" s="200">
        <f t="shared" si="32"/>
        <v>0</v>
      </c>
      <c r="AQ65" s="200">
        <f t="shared" si="32"/>
        <v>0</v>
      </c>
      <c r="AR65" s="201">
        <f t="shared" si="32"/>
        <v>0</v>
      </c>
    </row>
    <row r="66" spans="2:44" s="13" customFormat="1">
      <c r="B66" s="138"/>
      <c r="C66" s="193" t="str">
        <f t="shared" si="15"/>
        <v/>
      </c>
      <c r="D66" s="266">
        <f t="shared" ca="1" si="16"/>
        <v>0</v>
      </c>
      <c r="E66" s="199">
        <f t="shared" si="29"/>
        <v>0</v>
      </c>
      <c r="F66" s="200">
        <f t="shared" si="29"/>
        <v>0</v>
      </c>
      <c r="G66" s="200">
        <f t="shared" si="29"/>
        <v>0</v>
      </c>
      <c r="H66" s="200">
        <f t="shared" si="29"/>
        <v>0</v>
      </c>
      <c r="I66" s="200">
        <f t="shared" si="29"/>
        <v>0</v>
      </c>
      <c r="J66" s="200">
        <f t="shared" si="29"/>
        <v>0</v>
      </c>
      <c r="K66" s="200">
        <f t="shared" si="29"/>
        <v>0</v>
      </c>
      <c r="L66" s="200">
        <f t="shared" si="29"/>
        <v>0</v>
      </c>
      <c r="M66" s="200">
        <f t="shared" si="29"/>
        <v>0</v>
      </c>
      <c r="N66" s="200">
        <f t="shared" si="29"/>
        <v>0</v>
      </c>
      <c r="O66" s="200">
        <f t="shared" si="30"/>
        <v>0</v>
      </c>
      <c r="P66" s="200">
        <f t="shared" si="30"/>
        <v>0</v>
      </c>
      <c r="Q66" s="200">
        <f t="shared" si="30"/>
        <v>0</v>
      </c>
      <c r="R66" s="200">
        <f t="shared" si="30"/>
        <v>0</v>
      </c>
      <c r="S66" s="200">
        <f t="shared" si="30"/>
        <v>0</v>
      </c>
      <c r="T66" s="200">
        <f t="shared" si="30"/>
        <v>0</v>
      </c>
      <c r="U66" s="200">
        <f t="shared" si="30"/>
        <v>0</v>
      </c>
      <c r="V66" s="200">
        <f t="shared" si="30"/>
        <v>0</v>
      </c>
      <c r="W66" s="200">
        <f t="shared" si="30"/>
        <v>0</v>
      </c>
      <c r="X66" s="200">
        <f t="shared" si="30"/>
        <v>0</v>
      </c>
      <c r="Y66" s="200">
        <f t="shared" si="31"/>
        <v>0</v>
      </c>
      <c r="Z66" s="200">
        <f t="shared" si="31"/>
        <v>0</v>
      </c>
      <c r="AA66" s="200">
        <f t="shared" si="31"/>
        <v>0</v>
      </c>
      <c r="AB66" s="200">
        <f t="shared" si="31"/>
        <v>0</v>
      </c>
      <c r="AC66" s="200">
        <f t="shared" si="31"/>
        <v>0</v>
      </c>
      <c r="AD66" s="200">
        <f t="shared" si="31"/>
        <v>0</v>
      </c>
      <c r="AE66" s="200">
        <f t="shared" si="31"/>
        <v>0</v>
      </c>
      <c r="AF66" s="200">
        <f t="shared" si="31"/>
        <v>0</v>
      </c>
      <c r="AG66" s="200">
        <f t="shared" si="31"/>
        <v>0</v>
      </c>
      <c r="AH66" s="200">
        <f t="shared" si="31"/>
        <v>0</v>
      </c>
      <c r="AI66" s="200">
        <f t="shared" si="32"/>
        <v>0</v>
      </c>
      <c r="AJ66" s="200">
        <f t="shared" si="32"/>
        <v>0</v>
      </c>
      <c r="AK66" s="200">
        <f t="shared" si="32"/>
        <v>0</v>
      </c>
      <c r="AL66" s="200">
        <f t="shared" si="32"/>
        <v>0</v>
      </c>
      <c r="AM66" s="200">
        <f t="shared" si="32"/>
        <v>0</v>
      </c>
      <c r="AN66" s="200">
        <f t="shared" si="32"/>
        <v>0</v>
      </c>
      <c r="AO66" s="200">
        <f t="shared" si="32"/>
        <v>0</v>
      </c>
      <c r="AP66" s="200">
        <f t="shared" si="32"/>
        <v>0</v>
      </c>
      <c r="AQ66" s="200">
        <f t="shared" si="32"/>
        <v>0</v>
      </c>
      <c r="AR66" s="201">
        <f t="shared" si="32"/>
        <v>0</v>
      </c>
    </row>
    <row r="67" spans="2:44" s="13" customFormat="1">
      <c r="B67" s="138"/>
      <c r="C67" s="193" t="str">
        <f t="shared" si="15"/>
        <v/>
      </c>
      <c r="D67" s="266">
        <f t="shared" ca="1" si="16"/>
        <v>0</v>
      </c>
      <c r="E67" s="199">
        <f t="shared" si="29"/>
        <v>0</v>
      </c>
      <c r="F67" s="200">
        <f t="shared" si="29"/>
        <v>0</v>
      </c>
      <c r="G67" s="200">
        <f t="shared" si="29"/>
        <v>0</v>
      </c>
      <c r="H67" s="200">
        <f t="shared" si="29"/>
        <v>0</v>
      </c>
      <c r="I67" s="200">
        <f t="shared" si="29"/>
        <v>0</v>
      </c>
      <c r="J67" s="200">
        <f t="shared" si="29"/>
        <v>0</v>
      </c>
      <c r="K67" s="200">
        <f t="shared" si="29"/>
        <v>0</v>
      </c>
      <c r="L67" s="200">
        <f t="shared" si="29"/>
        <v>0</v>
      </c>
      <c r="M67" s="200">
        <f t="shared" si="29"/>
        <v>0</v>
      </c>
      <c r="N67" s="200">
        <f t="shared" si="29"/>
        <v>0</v>
      </c>
      <c r="O67" s="200">
        <f t="shared" si="30"/>
        <v>0</v>
      </c>
      <c r="P67" s="200">
        <f t="shared" si="30"/>
        <v>0</v>
      </c>
      <c r="Q67" s="200">
        <f t="shared" si="30"/>
        <v>0</v>
      </c>
      <c r="R67" s="200">
        <f t="shared" si="30"/>
        <v>0</v>
      </c>
      <c r="S67" s="200">
        <f t="shared" si="30"/>
        <v>0</v>
      </c>
      <c r="T67" s="200">
        <f t="shared" si="30"/>
        <v>0</v>
      </c>
      <c r="U67" s="200">
        <f t="shared" si="30"/>
        <v>0</v>
      </c>
      <c r="V67" s="200">
        <f t="shared" si="30"/>
        <v>0</v>
      </c>
      <c r="W67" s="200">
        <f t="shared" si="30"/>
        <v>0</v>
      </c>
      <c r="X67" s="200">
        <f t="shared" si="30"/>
        <v>0</v>
      </c>
      <c r="Y67" s="200">
        <f t="shared" si="31"/>
        <v>0</v>
      </c>
      <c r="Z67" s="200">
        <f t="shared" si="31"/>
        <v>0</v>
      </c>
      <c r="AA67" s="200">
        <f t="shared" si="31"/>
        <v>0</v>
      </c>
      <c r="AB67" s="200">
        <f t="shared" si="31"/>
        <v>0</v>
      </c>
      <c r="AC67" s="200">
        <f t="shared" si="31"/>
        <v>0</v>
      </c>
      <c r="AD67" s="200">
        <f t="shared" si="31"/>
        <v>0</v>
      </c>
      <c r="AE67" s="200">
        <f t="shared" si="31"/>
        <v>0</v>
      </c>
      <c r="AF67" s="200">
        <f t="shared" si="31"/>
        <v>0</v>
      </c>
      <c r="AG67" s="200">
        <f t="shared" si="31"/>
        <v>0</v>
      </c>
      <c r="AH67" s="200">
        <f t="shared" si="31"/>
        <v>0</v>
      </c>
      <c r="AI67" s="200">
        <f t="shared" si="32"/>
        <v>0</v>
      </c>
      <c r="AJ67" s="200">
        <f t="shared" si="32"/>
        <v>0</v>
      </c>
      <c r="AK67" s="200">
        <f t="shared" si="32"/>
        <v>0</v>
      </c>
      <c r="AL67" s="200">
        <f t="shared" si="32"/>
        <v>0</v>
      </c>
      <c r="AM67" s="200">
        <f t="shared" si="32"/>
        <v>0</v>
      </c>
      <c r="AN67" s="200">
        <f t="shared" si="32"/>
        <v>0</v>
      </c>
      <c r="AO67" s="200">
        <f t="shared" si="32"/>
        <v>0</v>
      </c>
      <c r="AP67" s="200">
        <f t="shared" si="32"/>
        <v>0</v>
      </c>
      <c r="AQ67" s="200">
        <f t="shared" si="32"/>
        <v>0</v>
      </c>
      <c r="AR67" s="201">
        <f t="shared" si="32"/>
        <v>0</v>
      </c>
    </row>
    <row r="68" spans="2:44" s="13" customFormat="1">
      <c r="B68" s="138"/>
      <c r="C68" s="193" t="str">
        <f t="shared" si="15"/>
        <v/>
      </c>
      <c r="D68" s="266">
        <f t="shared" ca="1" si="16"/>
        <v>0</v>
      </c>
      <c r="E68" s="199">
        <f t="shared" si="29"/>
        <v>0</v>
      </c>
      <c r="F68" s="200">
        <f t="shared" si="29"/>
        <v>0</v>
      </c>
      <c r="G68" s="200">
        <f t="shared" si="29"/>
        <v>0</v>
      </c>
      <c r="H68" s="200">
        <f t="shared" si="29"/>
        <v>0</v>
      </c>
      <c r="I68" s="200">
        <f t="shared" si="29"/>
        <v>0</v>
      </c>
      <c r="J68" s="200">
        <f t="shared" si="29"/>
        <v>0</v>
      </c>
      <c r="K68" s="200">
        <f t="shared" si="29"/>
        <v>0</v>
      </c>
      <c r="L68" s="200">
        <f t="shared" si="29"/>
        <v>0</v>
      </c>
      <c r="M68" s="200">
        <f t="shared" si="29"/>
        <v>0</v>
      </c>
      <c r="N68" s="200">
        <f t="shared" si="29"/>
        <v>0</v>
      </c>
      <c r="O68" s="200">
        <f t="shared" si="30"/>
        <v>0</v>
      </c>
      <c r="P68" s="200">
        <f t="shared" si="30"/>
        <v>0</v>
      </c>
      <c r="Q68" s="200">
        <f t="shared" si="30"/>
        <v>0</v>
      </c>
      <c r="R68" s="200">
        <f t="shared" si="30"/>
        <v>0</v>
      </c>
      <c r="S68" s="200">
        <f t="shared" si="30"/>
        <v>0</v>
      </c>
      <c r="T68" s="200">
        <f t="shared" si="30"/>
        <v>0</v>
      </c>
      <c r="U68" s="200">
        <f t="shared" si="30"/>
        <v>0</v>
      </c>
      <c r="V68" s="200">
        <f t="shared" si="30"/>
        <v>0</v>
      </c>
      <c r="W68" s="200">
        <f t="shared" si="30"/>
        <v>0</v>
      </c>
      <c r="X68" s="200">
        <f t="shared" si="30"/>
        <v>0</v>
      </c>
      <c r="Y68" s="200">
        <f t="shared" si="31"/>
        <v>0</v>
      </c>
      <c r="Z68" s="200">
        <f t="shared" si="31"/>
        <v>0</v>
      </c>
      <c r="AA68" s="200">
        <f t="shared" si="31"/>
        <v>0</v>
      </c>
      <c r="AB68" s="200">
        <f t="shared" si="31"/>
        <v>0</v>
      </c>
      <c r="AC68" s="200">
        <f t="shared" si="31"/>
        <v>0</v>
      </c>
      <c r="AD68" s="200">
        <f t="shared" si="31"/>
        <v>0</v>
      </c>
      <c r="AE68" s="200">
        <f t="shared" si="31"/>
        <v>0</v>
      </c>
      <c r="AF68" s="200">
        <f t="shared" si="31"/>
        <v>0</v>
      </c>
      <c r="AG68" s="200">
        <f t="shared" si="31"/>
        <v>0</v>
      </c>
      <c r="AH68" s="200">
        <f t="shared" si="31"/>
        <v>0</v>
      </c>
      <c r="AI68" s="200">
        <f t="shared" si="32"/>
        <v>0</v>
      </c>
      <c r="AJ68" s="200">
        <f t="shared" si="32"/>
        <v>0</v>
      </c>
      <c r="AK68" s="200">
        <f t="shared" si="32"/>
        <v>0</v>
      </c>
      <c r="AL68" s="200">
        <f t="shared" si="32"/>
        <v>0</v>
      </c>
      <c r="AM68" s="200">
        <f t="shared" si="32"/>
        <v>0</v>
      </c>
      <c r="AN68" s="200">
        <f t="shared" si="32"/>
        <v>0</v>
      </c>
      <c r="AO68" s="200">
        <f t="shared" si="32"/>
        <v>0</v>
      </c>
      <c r="AP68" s="200">
        <f t="shared" si="32"/>
        <v>0</v>
      </c>
      <c r="AQ68" s="200">
        <f t="shared" si="32"/>
        <v>0</v>
      </c>
      <c r="AR68" s="201">
        <f t="shared" si="32"/>
        <v>0</v>
      </c>
    </row>
    <row r="69" spans="2:44" s="13" customFormat="1">
      <c r="B69" s="138"/>
      <c r="C69" s="193" t="str">
        <f t="shared" si="15"/>
        <v/>
      </c>
      <c r="D69" s="266">
        <f t="shared" ca="1" si="16"/>
        <v>0</v>
      </c>
      <c r="E69" s="199">
        <f t="shared" si="29"/>
        <v>0</v>
      </c>
      <c r="F69" s="200">
        <f t="shared" si="29"/>
        <v>0</v>
      </c>
      <c r="G69" s="200">
        <f t="shared" si="29"/>
        <v>0</v>
      </c>
      <c r="H69" s="200">
        <f t="shared" si="29"/>
        <v>0</v>
      </c>
      <c r="I69" s="200">
        <f t="shared" si="29"/>
        <v>0</v>
      </c>
      <c r="J69" s="200">
        <f t="shared" si="29"/>
        <v>0</v>
      </c>
      <c r="K69" s="200">
        <f t="shared" si="29"/>
        <v>0</v>
      </c>
      <c r="L69" s="200">
        <f t="shared" si="29"/>
        <v>0</v>
      </c>
      <c r="M69" s="200">
        <f t="shared" si="29"/>
        <v>0</v>
      </c>
      <c r="N69" s="200">
        <f t="shared" si="29"/>
        <v>0</v>
      </c>
      <c r="O69" s="200">
        <f t="shared" si="30"/>
        <v>0</v>
      </c>
      <c r="P69" s="200">
        <f t="shared" si="30"/>
        <v>0</v>
      </c>
      <c r="Q69" s="200">
        <f t="shared" si="30"/>
        <v>0</v>
      </c>
      <c r="R69" s="200">
        <f t="shared" si="30"/>
        <v>0</v>
      </c>
      <c r="S69" s="200">
        <f t="shared" si="30"/>
        <v>0</v>
      </c>
      <c r="T69" s="200">
        <f t="shared" si="30"/>
        <v>0</v>
      </c>
      <c r="U69" s="200">
        <f t="shared" si="30"/>
        <v>0</v>
      </c>
      <c r="V69" s="200">
        <f t="shared" si="30"/>
        <v>0</v>
      </c>
      <c r="W69" s="200">
        <f t="shared" si="30"/>
        <v>0</v>
      </c>
      <c r="X69" s="200">
        <f t="shared" si="30"/>
        <v>0</v>
      </c>
      <c r="Y69" s="200">
        <f t="shared" si="31"/>
        <v>0</v>
      </c>
      <c r="Z69" s="200">
        <f t="shared" si="31"/>
        <v>0</v>
      </c>
      <c r="AA69" s="200">
        <f t="shared" si="31"/>
        <v>0</v>
      </c>
      <c r="AB69" s="200">
        <f t="shared" si="31"/>
        <v>0</v>
      </c>
      <c r="AC69" s="200">
        <f t="shared" si="31"/>
        <v>0</v>
      </c>
      <c r="AD69" s="200">
        <f t="shared" si="31"/>
        <v>0</v>
      </c>
      <c r="AE69" s="200">
        <f t="shared" si="31"/>
        <v>0</v>
      </c>
      <c r="AF69" s="200">
        <f t="shared" si="31"/>
        <v>0</v>
      </c>
      <c r="AG69" s="200">
        <f t="shared" si="31"/>
        <v>0</v>
      </c>
      <c r="AH69" s="200">
        <f t="shared" si="31"/>
        <v>0</v>
      </c>
      <c r="AI69" s="200">
        <f t="shared" si="32"/>
        <v>0</v>
      </c>
      <c r="AJ69" s="200">
        <f t="shared" si="32"/>
        <v>0</v>
      </c>
      <c r="AK69" s="200">
        <f t="shared" si="32"/>
        <v>0</v>
      </c>
      <c r="AL69" s="200">
        <f t="shared" si="32"/>
        <v>0</v>
      </c>
      <c r="AM69" s="200">
        <f t="shared" si="32"/>
        <v>0</v>
      </c>
      <c r="AN69" s="200">
        <f t="shared" si="32"/>
        <v>0</v>
      </c>
      <c r="AO69" s="200">
        <f t="shared" si="32"/>
        <v>0</v>
      </c>
      <c r="AP69" s="200">
        <f t="shared" si="32"/>
        <v>0</v>
      </c>
      <c r="AQ69" s="200">
        <f t="shared" si="32"/>
        <v>0</v>
      </c>
      <c r="AR69" s="201">
        <f t="shared" si="32"/>
        <v>0</v>
      </c>
    </row>
    <row r="70" spans="2:44" s="13" customFormat="1">
      <c r="B70" s="138"/>
      <c r="C70" s="193" t="str">
        <f t="shared" si="15"/>
        <v/>
      </c>
      <c r="D70" s="266">
        <f t="shared" ca="1" si="16"/>
        <v>0</v>
      </c>
      <c r="E70" s="199">
        <f t="shared" si="29"/>
        <v>0</v>
      </c>
      <c r="F70" s="200">
        <f t="shared" si="29"/>
        <v>0</v>
      </c>
      <c r="G70" s="200">
        <f t="shared" si="29"/>
        <v>0</v>
      </c>
      <c r="H70" s="200">
        <f t="shared" si="29"/>
        <v>0</v>
      </c>
      <c r="I70" s="200">
        <f t="shared" si="29"/>
        <v>0</v>
      </c>
      <c r="J70" s="200">
        <f t="shared" si="29"/>
        <v>0</v>
      </c>
      <c r="K70" s="200">
        <f t="shared" si="29"/>
        <v>0</v>
      </c>
      <c r="L70" s="200">
        <f t="shared" si="29"/>
        <v>0</v>
      </c>
      <c r="M70" s="200">
        <f t="shared" si="29"/>
        <v>0</v>
      </c>
      <c r="N70" s="200">
        <f t="shared" si="29"/>
        <v>0</v>
      </c>
      <c r="O70" s="200">
        <f t="shared" si="30"/>
        <v>0</v>
      </c>
      <c r="P70" s="200">
        <f t="shared" si="30"/>
        <v>0</v>
      </c>
      <c r="Q70" s="200">
        <f t="shared" si="30"/>
        <v>0</v>
      </c>
      <c r="R70" s="200">
        <f t="shared" si="30"/>
        <v>0</v>
      </c>
      <c r="S70" s="200">
        <f t="shared" si="30"/>
        <v>0</v>
      </c>
      <c r="T70" s="200">
        <f t="shared" si="30"/>
        <v>0</v>
      </c>
      <c r="U70" s="200">
        <f t="shared" si="30"/>
        <v>0</v>
      </c>
      <c r="V70" s="200">
        <f t="shared" si="30"/>
        <v>0</v>
      </c>
      <c r="W70" s="200">
        <f t="shared" si="30"/>
        <v>0</v>
      </c>
      <c r="X70" s="200">
        <f t="shared" si="30"/>
        <v>0</v>
      </c>
      <c r="Y70" s="200">
        <f t="shared" si="31"/>
        <v>0</v>
      </c>
      <c r="Z70" s="200">
        <f t="shared" si="31"/>
        <v>0</v>
      </c>
      <c r="AA70" s="200">
        <f t="shared" si="31"/>
        <v>0</v>
      </c>
      <c r="AB70" s="200">
        <f t="shared" si="31"/>
        <v>0</v>
      </c>
      <c r="AC70" s="200">
        <f t="shared" si="31"/>
        <v>0</v>
      </c>
      <c r="AD70" s="200">
        <f t="shared" si="31"/>
        <v>0</v>
      </c>
      <c r="AE70" s="200">
        <f t="shared" si="31"/>
        <v>0</v>
      </c>
      <c r="AF70" s="200">
        <f t="shared" si="31"/>
        <v>0</v>
      </c>
      <c r="AG70" s="200">
        <f t="shared" si="31"/>
        <v>0</v>
      </c>
      <c r="AH70" s="200">
        <f t="shared" si="31"/>
        <v>0</v>
      </c>
      <c r="AI70" s="200">
        <f t="shared" si="32"/>
        <v>0</v>
      </c>
      <c r="AJ70" s="200">
        <f t="shared" si="32"/>
        <v>0</v>
      </c>
      <c r="AK70" s="200">
        <f t="shared" si="32"/>
        <v>0</v>
      </c>
      <c r="AL70" s="200">
        <f t="shared" si="32"/>
        <v>0</v>
      </c>
      <c r="AM70" s="200">
        <f t="shared" si="32"/>
        <v>0</v>
      </c>
      <c r="AN70" s="200">
        <f t="shared" si="32"/>
        <v>0</v>
      </c>
      <c r="AO70" s="200">
        <f t="shared" si="32"/>
        <v>0</v>
      </c>
      <c r="AP70" s="200">
        <f t="shared" si="32"/>
        <v>0</v>
      </c>
      <c r="AQ70" s="200">
        <f t="shared" si="32"/>
        <v>0</v>
      </c>
      <c r="AR70" s="201">
        <f t="shared" si="32"/>
        <v>0</v>
      </c>
    </row>
    <row r="71" spans="2:44" s="13" customFormat="1">
      <c r="B71" s="138"/>
      <c r="C71" s="193" t="str">
        <f t="shared" si="15"/>
        <v/>
      </c>
      <c r="D71" s="266">
        <f t="shared" ca="1" si="16"/>
        <v>0</v>
      </c>
      <c r="E71" s="199">
        <f t="shared" si="29"/>
        <v>0</v>
      </c>
      <c r="F71" s="200">
        <f t="shared" si="29"/>
        <v>0</v>
      </c>
      <c r="G71" s="200">
        <f t="shared" si="29"/>
        <v>0</v>
      </c>
      <c r="H71" s="200">
        <f t="shared" si="29"/>
        <v>0</v>
      </c>
      <c r="I71" s="200">
        <f t="shared" si="29"/>
        <v>0</v>
      </c>
      <c r="J71" s="200">
        <f t="shared" si="29"/>
        <v>0</v>
      </c>
      <c r="K71" s="200">
        <f t="shared" si="29"/>
        <v>0</v>
      </c>
      <c r="L71" s="200">
        <f t="shared" si="29"/>
        <v>0</v>
      </c>
      <c r="M71" s="200">
        <f t="shared" si="29"/>
        <v>0</v>
      </c>
      <c r="N71" s="200">
        <f t="shared" si="29"/>
        <v>0</v>
      </c>
      <c r="O71" s="200">
        <f t="shared" si="30"/>
        <v>0</v>
      </c>
      <c r="P71" s="200">
        <f t="shared" si="30"/>
        <v>0</v>
      </c>
      <c r="Q71" s="200">
        <f t="shared" si="30"/>
        <v>0</v>
      </c>
      <c r="R71" s="200">
        <f t="shared" si="30"/>
        <v>0</v>
      </c>
      <c r="S71" s="200">
        <f t="shared" si="30"/>
        <v>0</v>
      </c>
      <c r="T71" s="200">
        <f t="shared" si="30"/>
        <v>0</v>
      </c>
      <c r="U71" s="200">
        <f t="shared" si="30"/>
        <v>0</v>
      </c>
      <c r="V71" s="200">
        <f t="shared" si="30"/>
        <v>0</v>
      </c>
      <c r="W71" s="200">
        <f t="shared" si="30"/>
        <v>0</v>
      </c>
      <c r="X71" s="200">
        <f t="shared" si="30"/>
        <v>0</v>
      </c>
      <c r="Y71" s="200">
        <f t="shared" si="31"/>
        <v>0</v>
      </c>
      <c r="Z71" s="200">
        <f t="shared" si="31"/>
        <v>0</v>
      </c>
      <c r="AA71" s="200">
        <f t="shared" si="31"/>
        <v>0</v>
      </c>
      <c r="AB71" s="200">
        <f t="shared" si="31"/>
        <v>0</v>
      </c>
      <c r="AC71" s="200">
        <f t="shared" si="31"/>
        <v>0</v>
      </c>
      <c r="AD71" s="200">
        <f t="shared" si="31"/>
        <v>0</v>
      </c>
      <c r="AE71" s="200">
        <f t="shared" si="31"/>
        <v>0</v>
      </c>
      <c r="AF71" s="200">
        <f t="shared" si="31"/>
        <v>0</v>
      </c>
      <c r="AG71" s="200">
        <f t="shared" si="31"/>
        <v>0</v>
      </c>
      <c r="AH71" s="200">
        <f t="shared" si="31"/>
        <v>0</v>
      </c>
      <c r="AI71" s="200">
        <f t="shared" si="32"/>
        <v>0</v>
      </c>
      <c r="AJ71" s="200">
        <f t="shared" si="32"/>
        <v>0</v>
      </c>
      <c r="AK71" s="200">
        <f t="shared" si="32"/>
        <v>0</v>
      </c>
      <c r="AL71" s="200">
        <f t="shared" si="32"/>
        <v>0</v>
      </c>
      <c r="AM71" s="200">
        <f t="shared" si="32"/>
        <v>0</v>
      </c>
      <c r="AN71" s="200">
        <f t="shared" si="32"/>
        <v>0</v>
      </c>
      <c r="AO71" s="200">
        <f t="shared" si="32"/>
        <v>0</v>
      </c>
      <c r="AP71" s="200">
        <f t="shared" si="32"/>
        <v>0</v>
      </c>
      <c r="AQ71" s="200">
        <f t="shared" si="32"/>
        <v>0</v>
      </c>
      <c r="AR71" s="201">
        <f t="shared" si="32"/>
        <v>0</v>
      </c>
    </row>
    <row r="72" spans="2:44" s="13" customFormat="1">
      <c r="B72" s="138"/>
      <c r="C72" s="193" t="str">
        <f t="shared" si="15"/>
        <v/>
      </c>
      <c r="D72" s="267">
        <f t="shared" ca="1" si="16"/>
        <v>0</v>
      </c>
      <c r="E72" s="203">
        <f t="shared" si="29"/>
        <v>0</v>
      </c>
      <c r="F72" s="188">
        <f t="shared" si="29"/>
        <v>0</v>
      </c>
      <c r="G72" s="188">
        <f t="shared" si="29"/>
        <v>0</v>
      </c>
      <c r="H72" s="188">
        <f t="shared" si="29"/>
        <v>0</v>
      </c>
      <c r="I72" s="188">
        <f t="shared" si="29"/>
        <v>0</v>
      </c>
      <c r="J72" s="188">
        <f t="shared" si="29"/>
        <v>0</v>
      </c>
      <c r="K72" s="188">
        <f t="shared" si="29"/>
        <v>0</v>
      </c>
      <c r="L72" s="188">
        <f t="shared" si="29"/>
        <v>0</v>
      </c>
      <c r="M72" s="188">
        <f t="shared" si="29"/>
        <v>0</v>
      </c>
      <c r="N72" s="188">
        <f t="shared" si="29"/>
        <v>0</v>
      </c>
      <c r="O72" s="188">
        <f t="shared" si="30"/>
        <v>0</v>
      </c>
      <c r="P72" s="188">
        <f t="shared" si="30"/>
        <v>0</v>
      </c>
      <c r="Q72" s="188">
        <f t="shared" si="30"/>
        <v>0</v>
      </c>
      <c r="R72" s="188">
        <f t="shared" si="30"/>
        <v>0</v>
      </c>
      <c r="S72" s="188">
        <f t="shared" si="30"/>
        <v>0</v>
      </c>
      <c r="T72" s="188">
        <f t="shared" si="30"/>
        <v>0</v>
      </c>
      <c r="U72" s="188">
        <f t="shared" si="30"/>
        <v>0</v>
      </c>
      <c r="V72" s="188">
        <f t="shared" si="30"/>
        <v>0</v>
      </c>
      <c r="W72" s="188">
        <f t="shared" si="30"/>
        <v>0</v>
      </c>
      <c r="X72" s="188">
        <f t="shared" si="30"/>
        <v>0</v>
      </c>
      <c r="Y72" s="188">
        <f t="shared" si="31"/>
        <v>0</v>
      </c>
      <c r="Z72" s="188">
        <f t="shared" si="31"/>
        <v>0</v>
      </c>
      <c r="AA72" s="188">
        <f t="shared" si="31"/>
        <v>0</v>
      </c>
      <c r="AB72" s="188">
        <f t="shared" si="31"/>
        <v>0</v>
      </c>
      <c r="AC72" s="188">
        <f t="shared" si="31"/>
        <v>0</v>
      </c>
      <c r="AD72" s="188">
        <f t="shared" si="31"/>
        <v>0</v>
      </c>
      <c r="AE72" s="188">
        <f t="shared" si="31"/>
        <v>0</v>
      </c>
      <c r="AF72" s="188">
        <f t="shared" si="31"/>
        <v>0</v>
      </c>
      <c r="AG72" s="188">
        <f t="shared" si="31"/>
        <v>0</v>
      </c>
      <c r="AH72" s="188">
        <f t="shared" si="31"/>
        <v>0</v>
      </c>
      <c r="AI72" s="188">
        <f t="shared" si="32"/>
        <v>0</v>
      </c>
      <c r="AJ72" s="188">
        <f t="shared" si="32"/>
        <v>0</v>
      </c>
      <c r="AK72" s="188">
        <f t="shared" si="32"/>
        <v>0</v>
      </c>
      <c r="AL72" s="188">
        <f t="shared" si="32"/>
        <v>0</v>
      </c>
      <c r="AM72" s="188">
        <f t="shared" si="32"/>
        <v>0</v>
      </c>
      <c r="AN72" s="188">
        <f t="shared" si="32"/>
        <v>0</v>
      </c>
      <c r="AO72" s="188">
        <f t="shared" si="32"/>
        <v>0</v>
      </c>
      <c r="AP72" s="188">
        <f t="shared" si="32"/>
        <v>0</v>
      </c>
      <c r="AQ72" s="188">
        <f t="shared" si="32"/>
        <v>0</v>
      </c>
      <c r="AR72" s="189">
        <f t="shared" si="32"/>
        <v>0</v>
      </c>
    </row>
    <row r="73" spans="2:44" s="13" customFormat="1">
      <c r="C73" s="40" t="s">
        <v>120</v>
      </c>
      <c r="D73" s="267">
        <f t="shared" ref="D73:AR73" ca="1" si="33">SUM(D33:D72)</f>
        <v>0.28139669264381467</v>
      </c>
      <c r="E73" s="203">
        <f t="shared" ca="1" si="33"/>
        <v>1.4243104930094678E-4</v>
      </c>
      <c r="F73" s="188">
        <f t="shared" ca="1" si="33"/>
        <v>3.860881295597113E-4</v>
      </c>
      <c r="G73" s="188">
        <f t="shared" ca="1" si="33"/>
        <v>1.0024101248318042E-3</v>
      </c>
      <c r="H73" s="188">
        <f t="shared" ca="1" si="33"/>
        <v>2.4313226368426967E-3</v>
      </c>
      <c r="I73" s="188">
        <f t="shared" ca="1" si="33"/>
        <v>4.9843153519848905E-3</v>
      </c>
      <c r="J73" s="188">
        <f t="shared" ca="1" si="33"/>
        <v>8.6147466995995445E-3</v>
      </c>
      <c r="K73" s="188">
        <f t="shared" ca="1" si="33"/>
        <v>1.1339536306964271E-2</v>
      </c>
      <c r="L73" s="188">
        <f t="shared" ca="1" si="33"/>
        <v>1.2877114672225715E-2</v>
      </c>
      <c r="M73" s="188">
        <f t="shared" ca="1" si="33"/>
        <v>1.3591257601051074E-2</v>
      </c>
      <c r="N73" s="188">
        <f t="shared" ca="1" si="33"/>
        <v>1.4069834632190732E-2</v>
      </c>
      <c r="O73" s="188">
        <f t="shared" ca="1" si="33"/>
        <v>1.4069834632190732E-2</v>
      </c>
      <c r="P73" s="188">
        <f t="shared" ca="1" si="33"/>
        <v>1.4069834632190732E-2</v>
      </c>
      <c r="Q73" s="188">
        <f t="shared" ca="1" si="33"/>
        <v>1.4069834632190732E-2</v>
      </c>
      <c r="R73" s="188">
        <f t="shared" ca="1" si="33"/>
        <v>1.4069834632190732E-2</v>
      </c>
      <c r="S73" s="188">
        <f t="shared" ca="1" si="33"/>
        <v>1.4069834632190732E-2</v>
      </c>
      <c r="T73" s="188">
        <f t="shared" ca="1" si="33"/>
        <v>1.4069834632190732E-2</v>
      </c>
      <c r="U73" s="188">
        <f t="shared" ca="1" si="33"/>
        <v>1.4069834632190732E-2</v>
      </c>
      <c r="V73" s="188">
        <f t="shared" ca="1" si="33"/>
        <v>1.4069834632190732E-2</v>
      </c>
      <c r="W73" s="188">
        <f t="shared" ca="1" si="33"/>
        <v>1.4069834632190732E-2</v>
      </c>
      <c r="X73" s="188">
        <f t="shared" ca="1" si="33"/>
        <v>1.4069834632190732E-2</v>
      </c>
      <c r="Y73" s="188">
        <f t="shared" si="33"/>
        <v>0</v>
      </c>
      <c r="Z73" s="188">
        <f t="shared" si="33"/>
        <v>0</v>
      </c>
      <c r="AA73" s="188">
        <f t="shared" si="33"/>
        <v>0</v>
      </c>
      <c r="AB73" s="188">
        <f t="shared" si="33"/>
        <v>0</v>
      </c>
      <c r="AC73" s="188">
        <f t="shared" si="33"/>
        <v>0</v>
      </c>
      <c r="AD73" s="188">
        <f t="shared" si="33"/>
        <v>0</v>
      </c>
      <c r="AE73" s="188">
        <f t="shared" si="33"/>
        <v>0</v>
      </c>
      <c r="AF73" s="188">
        <f t="shared" si="33"/>
        <v>0</v>
      </c>
      <c r="AG73" s="188">
        <f t="shared" si="33"/>
        <v>0</v>
      </c>
      <c r="AH73" s="188">
        <f t="shared" si="33"/>
        <v>0</v>
      </c>
      <c r="AI73" s="188">
        <f t="shared" si="33"/>
        <v>0</v>
      </c>
      <c r="AJ73" s="188">
        <f t="shared" si="33"/>
        <v>0</v>
      </c>
      <c r="AK73" s="188">
        <f t="shared" si="33"/>
        <v>0</v>
      </c>
      <c r="AL73" s="188">
        <f t="shared" si="33"/>
        <v>0</v>
      </c>
      <c r="AM73" s="188">
        <f t="shared" si="33"/>
        <v>0</v>
      </c>
      <c r="AN73" s="188">
        <f t="shared" si="33"/>
        <v>0</v>
      </c>
      <c r="AO73" s="188">
        <f t="shared" si="33"/>
        <v>0</v>
      </c>
      <c r="AP73" s="188">
        <f t="shared" si="33"/>
        <v>0</v>
      </c>
      <c r="AQ73" s="188">
        <f t="shared" si="33"/>
        <v>0</v>
      </c>
      <c r="AR73" s="189">
        <f t="shared" si="33"/>
        <v>0</v>
      </c>
    </row>
    <row r="74" spans="2:44" s="13" customFormat="1">
      <c r="B74" s="40"/>
      <c r="C74" s="138"/>
      <c r="D74" s="204"/>
      <c r="F74" s="191"/>
      <c r="G74" s="191"/>
      <c r="H74" s="191"/>
      <c r="I74" s="191"/>
      <c r="J74" s="191"/>
      <c r="K74" s="191"/>
      <c r="L74" s="191"/>
      <c r="M74" s="191"/>
      <c r="N74" s="191"/>
      <c r="O74" s="191"/>
      <c r="P74" s="191"/>
      <c r="Q74" s="191"/>
      <c r="R74" s="191"/>
      <c r="S74" s="191"/>
      <c r="T74" s="191"/>
      <c r="U74" s="191"/>
      <c r="V74" s="191"/>
      <c r="W74" s="191"/>
      <c r="X74" s="191"/>
      <c r="Y74" s="191"/>
      <c r="Z74" s="191"/>
      <c r="AA74" s="191"/>
      <c r="AB74" s="191"/>
      <c r="AC74" s="191"/>
      <c r="AD74" s="191"/>
      <c r="AE74" s="191"/>
      <c r="AF74" s="191"/>
      <c r="AG74" s="191"/>
      <c r="AH74" s="191"/>
      <c r="AI74" s="191"/>
      <c r="AJ74" s="191"/>
      <c r="AK74" s="191"/>
      <c r="AL74" s="191"/>
      <c r="AM74" s="191"/>
      <c r="AN74" s="191"/>
      <c r="AO74" s="191"/>
      <c r="AP74" s="191"/>
      <c r="AQ74" s="191"/>
      <c r="AR74" s="191"/>
    </row>
    <row r="75" spans="2:44" s="13" customFormat="1">
      <c r="B75" s="186" t="s">
        <v>121</v>
      </c>
      <c r="E75" s="205">
        <f ca="1">INDEX($D$33:$D$72,Year,1)</f>
        <v>2.8486209860189354E-3</v>
      </c>
      <c r="F75" s="196">
        <f t="shared" ref="F75:AR75" ca="1" si="34">IF(Year&gt;Contract_Length,,E75-E76+INDEX($D$33:$D$72,Year,1))</f>
        <v>7.5793315418932784E-3</v>
      </c>
      <c r="G75" s="196">
        <f t="shared" ca="1" si="34"/>
        <v>1.951968331777542E-2</v>
      </c>
      <c r="H75" s="196">
        <f t="shared" ca="1" si="34"/>
        <v>4.7095523433161465E-2</v>
      </c>
      <c r="I75" s="196">
        <f t="shared" ca="1" si="34"/>
        <v>9.5724055099162639E-2</v>
      </c>
      <c r="J75" s="196">
        <f t="shared" ca="1" si="34"/>
        <v>0.16334836669947084</v>
      </c>
      <c r="K75" s="196">
        <f t="shared" ca="1" si="34"/>
        <v>0.20922941214716584</v>
      </c>
      <c r="L75" s="196">
        <f t="shared" ca="1" si="34"/>
        <v>0.22864144314543045</v>
      </c>
      <c r="M75" s="196">
        <f t="shared" ca="1" si="34"/>
        <v>0.23004718704971192</v>
      </c>
      <c r="N75" s="196">
        <f t="shared" ca="1" si="34"/>
        <v>0.22602747007145399</v>
      </c>
      <c r="O75" s="196">
        <f t="shared" ca="1" si="34"/>
        <v>0.21195763543926327</v>
      </c>
      <c r="P75" s="196">
        <f t="shared" ca="1" si="34"/>
        <v>0.19788780080707255</v>
      </c>
      <c r="Q75" s="196">
        <f t="shared" ca="1" si="34"/>
        <v>0.18381796617488183</v>
      </c>
      <c r="R75" s="196">
        <f t="shared" ca="1" si="34"/>
        <v>0.16974813154269111</v>
      </c>
      <c r="S75" s="196">
        <f t="shared" ca="1" si="34"/>
        <v>0.15567829691050039</v>
      </c>
      <c r="T75" s="196">
        <f t="shared" ca="1" si="34"/>
        <v>0.14160846227830967</v>
      </c>
      <c r="U75" s="196">
        <f t="shared" ca="1" si="34"/>
        <v>0.12753862764611895</v>
      </c>
      <c r="V75" s="196">
        <f t="shared" ca="1" si="34"/>
        <v>0.11346879301392822</v>
      </c>
      <c r="W75" s="196">
        <f t="shared" ca="1" si="34"/>
        <v>9.9398958381737484E-2</v>
      </c>
      <c r="X75" s="196">
        <f t="shared" ca="1" si="34"/>
        <v>8.5329123749546751E-2</v>
      </c>
      <c r="Y75" s="196">
        <f t="shared" si="34"/>
        <v>0</v>
      </c>
      <c r="Z75" s="196">
        <f t="shared" si="34"/>
        <v>0</v>
      </c>
      <c r="AA75" s="196">
        <f t="shared" si="34"/>
        <v>0</v>
      </c>
      <c r="AB75" s="196">
        <f t="shared" si="34"/>
        <v>0</v>
      </c>
      <c r="AC75" s="196">
        <f t="shared" si="34"/>
        <v>0</v>
      </c>
      <c r="AD75" s="196">
        <f t="shared" si="34"/>
        <v>0</v>
      </c>
      <c r="AE75" s="196">
        <f t="shared" si="34"/>
        <v>0</v>
      </c>
      <c r="AF75" s="196">
        <f t="shared" si="34"/>
        <v>0</v>
      </c>
      <c r="AG75" s="196">
        <f t="shared" si="34"/>
        <v>0</v>
      </c>
      <c r="AH75" s="196">
        <f t="shared" si="34"/>
        <v>0</v>
      </c>
      <c r="AI75" s="196">
        <f t="shared" si="34"/>
        <v>0</v>
      </c>
      <c r="AJ75" s="196">
        <f t="shared" si="34"/>
        <v>0</v>
      </c>
      <c r="AK75" s="196">
        <f t="shared" si="34"/>
        <v>0</v>
      </c>
      <c r="AL75" s="196">
        <f t="shared" si="34"/>
        <v>0</v>
      </c>
      <c r="AM75" s="196">
        <f t="shared" si="34"/>
        <v>0</v>
      </c>
      <c r="AN75" s="196">
        <f t="shared" si="34"/>
        <v>0</v>
      </c>
      <c r="AO75" s="196">
        <f t="shared" si="34"/>
        <v>0</v>
      </c>
      <c r="AP75" s="196">
        <f t="shared" si="34"/>
        <v>0</v>
      </c>
      <c r="AQ75" s="196">
        <f t="shared" si="34"/>
        <v>0</v>
      </c>
      <c r="AR75" s="197">
        <f t="shared" si="34"/>
        <v>0</v>
      </c>
    </row>
    <row r="76" spans="2:44" s="13" customFormat="1">
      <c r="B76" s="186" t="s">
        <v>122</v>
      </c>
      <c r="E76" s="206">
        <f ca="1">E73</f>
        <v>1.4243104930094678E-4</v>
      </c>
      <c r="F76" s="207">
        <f ca="1">F73</f>
        <v>3.860881295597113E-4</v>
      </c>
      <c r="G76" s="207">
        <f ca="1">G73</f>
        <v>1.0024101248318042E-3</v>
      </c>
      <c r="H76" s="207">
        <f t="shared" ref="H76:AR76" ca="1" si="35">H73</f>
        <v>2.4313226368426967E-3</v>
      </c>
      <c r="I76" s="207">
        <f t="shared" ca="1" si="35"/>
        <v>4.9843153519848905E-3</v>
      </c>
      <c r="J76" s="207">
        <f t="shared" ca="1" si="35"/>
        <v>8.6147466995995445E-3</v>
      </c>
      <c r="K76" s="207">
        <f t="shared" ca="1" si="35"/>
        <v>1.1339536306964271E-2</v>
      </c>
      <c r="L76" s="207">
        <f t="shared" ca="1" si="35"/>
        <v>1.2877114672225715E-2</v>
      </c>
      <c r="M76" s="207">
        <f t="shared" ca="1" si="35"/>
        <v>1.3591257601051074E-2</v>
      </c>
      <c r="N76" s="207">
        <f t="shared" ca="1" si="35"/>
        <v>1.4069834632190732E-2</v>
      </c>
      <c r="O76" s="207">
        <f t="shared" ca="1" si="35"/>
        <v>1.4069834632190732E-2</v>
      </c>
      <c r="P76" s="207">
        <f t="shared" ca="1" si="35"/>
        <v>1.4069834632190732E-2</v>
      </c>
      <c r="Q76" s="207">
        <f t="shared" ca="1" si="35"/>
        <v>1.4069834632190732E-2</v>
      </c>
      <c r="R76" s="207">
        <f t="shared" ca="1" si="35"/>
        <v>1.4069834632190732E-2</v>
      </c>
      <c r="S76" s="207">
        <f t="shared" ca="1" si="35"/>
        <v>1.4069834632190732E-2</v>
      </c>
      <c r="T76" s="207">
        <f t="shared" ca="1" si="35"/>
        <v>1.4069834632190732E-2</v>
      </c>
      <c r="U76" s="207">
        <f t="shared" ca="1" si="35"/>
        <v>1.4069834632190732E-2</v>
      </c>
      <c r="V76" s="207">
        <f t="shared" ca="1" si="35"/>
        <v>1.4069834632190732E-2</v>
      </c>
      <c r="W76" s="207">
        <f t="shared" ca="1" si="35"/>
        <v>1.4069834632190732E-2</v>
      </c>
      <c r="X76" s="207">
        <f t="shared" ca="1" si="35"/>
        <v>1.4069834632190732E-2</v>
      </c>
      <c r="Y76" s="207">
        <f t="shared" si="35"/>
        <v>0</v>
      </c>
      <c r="Z76" s="207">
        <f t="shared" si="35"/>
        <v>0</v>
      </c>
      <c r="AA76" s="207">
        <f t="shared" si="35"/>
        <v>0</v>
      </c>
      <c r="AB76" s="207">
        <f t="shared" si="35"/>
        <v>0</v>
      </c>
      <c r="AC76" s="207">
        <f t="shared" si="35"/>
        <v>0</v>
      </c>
      <c r="AD76" s="207">
        <f t="shared" si="35"/>
        <v>0</v>
      </c>
      <c r="AE76" s="207">
        <f t="shared" si="35"/>
        <v>0</v>
      </c>
      <c r="AF76" s="207">
        <f t="shared" si="35"/>
        <v>0</v>
      </c>
      <c r="AG76" s="207">
        <f t="shared" si="35"/>
        <v>0</v>
      </c>
      <c r="AH76" s="207">
        <f t="shared" si="35"/>
        <v>0</v>
      </c>
      <c r="AI76" s="207">
        <f t="shared" si="35"/>
        <v>0</v>
      </c>
      <c r="AJ76" s="207">
        <f t="shared" si="35"/>
        <v>0</v>
      </c>
      <c r="AK76" s="207">
        <f t="shared" si="35"/>
        <v>0</v>
      </c>
      <c r="AL76" s="207">
        <f t="shared" si="35"/>
        <v>0</v>
      </c>
      <c r="AM76" s="207">
        <f t="shared" si="35"/>
        <v>0</v>
      </c>
      <c r="AN76" s="207">
        <f t="shared" si="35"/>
        <v>0</v>
      </c>
      <c r="AO76" s="207">
        <f t="shared" si="35"/>
        <v>0</v>
      </c>
      <c r="AP76" s="207">
        <f t="shared" si="35"/>
        <v>0</v>
      </c>
      <c r="AQ76" s="207">
        <f t="shared" si="35"/>
        <v>0</v>
      </c>
      <c r="AR76" s="208">
        <f t="shared" si="35"/>
        <v>0</v>
      </c>
    </row>
    <row r="77" spans="2:44" s="13" customFormat="1">
      <c r="B77" s="186" t="s">
        <v>123</v>
      </c>
      <c r="E77" s="187">
        <f t="shared" ref="E77:AR77" ca="1" si="36">E75*IntRate_Cur</f>
        <v>1.4243104930094678E-4</v>
      </c>
      <c r="F77" s="188">
        <f t="shared" ca="1" si="36"/>
        <v>3.7896657709466394E-4</v>
      </c>
      <c r="G77" s="188">
        <f t="shared" ca="1" si="36"/>
        <v>9.7598416588877109E-4</v>
      </c>
      <c r="H77" s="188">
        <f t="shared" ca="1" si="36"/>
        <v>2.3547761716580734E-3</v>
      </c>
      <c r="I77" s="188">
        <f t="shared" ca="1" si="36"/>
        <v>4.7862027549581323E-3</v>
      </c>
      <c r="J77" s="188">
        <f t="shared" ca="1" si="36"/>
        <v>8.1674183349735429E-3</v>
      </c>
      <c r="K77" s="188">
        <f t="shared" ca="1" si="36"/>
        <v>1.0461470607358293E-2</v>
      </c>
      <c r="L77" s="188">
        <f t="shared" ca="1" si="36"/>
        <v>1.1432072157271524E-2</v>
      </c>
      <c r="M77" s="188">
        <f t="shared" ca="1" si="36"/>
        <v>1.1502359352485596E-2</v>
      </c>
      <c r="N77" s="188">
        <f t="shared" ca="1" si="36"/>
        <v>1.1301373503572701E-2</v>
      </c>
      <c r="O77" s="188">
        <f t="shared" ca="1" si="36"/>
        <v>1.0597881771963163E-2</v>
      </c>
      <c r="P77" s="188">
        <f t="shared" ca="1" si="36"/>
        <v>9.8943900403536279E-3</v>
      </c>
      <c r="Q77" s="188">
        <f t="shared" ca="1" si="36"/>
        <v>9.1908983087440922E-3</v>
      </c>
      <c r="R77" s="188">
        <f t="shared" ca="1" si="36"/>
        <v>8.4874065771345566E-3</v>
      </c>
      <c r="S77" s="188">
        <f t="shared" ca="1" si="36"/>
        <v>7.7839148455250201E-3</v>
      </c>
      <c r="T77" s="188">
        <f t="shared" ca="1" si="36"/>
        <v>7.0804231139154836E-3</v>
      </c>
      <c r="U77" s="188">
        <f t="shared" ca="1" si="36"/>
        <v>6.3769313823059479E-3</v>
      </c>
      <c r="V77" s="188">
        <f t="shared" ca="1" si="36"/>
        <v>5.6734396506964114E-3</v>
      </c>
      <c r="W77" s="188">
        <f t="shared" ca="1" si="36"/>
        <v>4.9699479190868749E-3</v>
      </c>
      <c r="X77" s="188">
        <f t="shared" ca="1" si="36"/>
        <v>4.2664561874773375E-3</v>
      </c>
      <c r="Y77" s="188">
        <f t="shared" si="36"/>
        <v>0</v>
      </c>
      <c r="Z77" s="188">
        <f t="shared" si="36"/>
        <v>0</v>
      </c>
      <c r="AA77" s="188">
        <f t="shared" si="36"/>
        <v>0</v>
      </c>
      <c r="AB77" s="188">
        <f t="shared" si="36"/>
        <v>0</v>
      </c>
      <c r="AC77" s="188">
        <f t="shared" si="36"/>
        <v>0</v>
      </c>
      <c r="AD77" s="188">
        <f t="shared" si="36"/>
        <v>0</v>
      </c>
      <c r="AE77" s="188">
        <f t="shared" si="36"/>
        <v>0</v>
      </c>
      <c r="AF77" s="188">
        <f t="shared" si="36"/>
        <v>0</v>
      </c>
      <c r="AG77" s="188">
        <f t="shared" si="36"/>
        <v>0</v>
      </c>
      <c r="AH77" s="188">
        <f t="shared" si="36"/>
        <v>0</v>
      </c>
      <c r="AI77" s="188">
        <f t="shared" si="36"/>
        <v>0</v>
      </c>
      <c r="AJ77" s="188">
        <f t="shared" si="36"/>
        <v>0</v>
      </c>
      <c r="AK77" s="188">
        <f t="shared" si="36"/>
        <v>0</v>
      </c>
      <c r="AL77" s="188">
        <f t="shared" si="36"/>
        <v>0</v>
      </c>
      <c r="AM77" s="188">
        <f t="shared" si="36"/>
        <v>0</v>
      </c>
      <c r="AN77" s="188">
        <f t="shared" si="36"/>
        <v>0</v>
      </c>
      <c r="AO77" s="188">
        <f t="shared" si="36"/>
        <v>0</v>
      </c>
      <c r="AP77" s="188">
        <f t="shared" si="36"/>
        <v>0</v>
      </c>
      <c r="AQ77" s="188">
        <f t="shared" si="36"/>
        <v>0</v>
      </c>
      <c r="AR77" s="189">
        <f t="shared" si="36"/>
        <v>0</v>
      </c>
    </row>
    <row r="78" spans="2:44" s="13" customFormat="1">
      <c r="B78" s="40"/>
      <c r="C78" s="209"/>
      <c r="D78" s="73"/>
      <c r="E78" s="210"/>
      <c r="F78" s="210"/>
      <c r="G78" s="210"/>
      <c r="H78" s="210"/>
      <c r="I78" s="210"/>
      <c r="J78" s="210"/>
      <c r="K78" s="210"/>
      <c r="L78" s="210"/>
      <c r="M78" s="210"/>
      <c r="N78" s="210"/>
      <c r="O78" s="73"/>
      <c r="P78" s="73"/>
      <c r="Q78" s="73"/>
      <c r="R78" s="73"/>
      <c r="S78" s="73"/>
      <c r="T78" s="73"/>
      <c r="U78" s="73"/>
      <c r="V78" s="73"/>
      <c r="W78" s="73"/>
      <c r="X78" s="73"/>
      <c r="Y78" s="73"/>
      <c r="Z78" s="73"/>
      <c r="AA78" s="73"/>
      <c r="AB78" s="73"/>
      <c r="AC78" s="73"/>
      <c r="AD78" s="73"/>
      <c r="AE78" s="73"/>
      <c r="AF78" s="73"/>
      <c r="AG78" s="73"/>
      <c r="AH78" s="73"/>
      <c r="AI78" s="73"/>
      <c r="AJ78" s="73"/>
      <c r="AK78" s="73"/>
      <c r="AL78" s="73"/>
      <c r="AM78" s="73"/>
      <c r="AN78" s="73"/>
      <c r="AO78" s="73"/>
      <c r="AP78" s="73"/>
      <c r="AQ78" s="73"/>
      <c r="AR78" s="73"/>
    </row>
    <row r="79" spans="2:44" s="13" customFormat="1">
      <c r="B79" s="4" t="s">
        <v>124</v>
      </c>
      <c r="C79" s="138"/>
      <c r="D79" s="211"/>
      <c r="E79" s="211"/>
      <c r="F79" s="211"/>
      <c r="G79" s="211"/>
      <c r="H79" s="211"/>
      <c r="I79" s="211"/>
      <c r="J79" s="211"/>
      <c r="K79" s="211"/>
      <c r="L79" s="211"/>
      <c r="M79" s="211"/>
      <c r="N79" s="211"/>
    </row>
    <row r="80" spans="2:44" s="13" customFormat="1">
      <c r="B80" s="6" t="s">
        <v>30</v>
      </c>
      <c r="C80" s="138"/>
      <c r="D80" s="211"/>
      <c r="E80" s="211"/>
      <c r="F80" s="211"/>
      <c r="G80" s="211"/>
      <c r="H80" s="211"/>
      <c r="I80" s="211"/>
      <c r="J80" s="211"/>
      <c r="K80" s="211"/>
      <c r="L80" s="211"/>
      <c r="M80" s="211"/>
      <c r="N80" s="211"/>
    </row>
    <row r="81" spans="1:44" s="13" customFormat="1">
      <c r="B81" s="138"/>
      <c r="C81" s="186" t="s">
        <v>121</v>
      </c>
      <c r="E81" s="205">
        <f t="shared" ref="E81:AR81" ca="1" si="37">IF(Year&lt;=Grace_Period,,INDEX(75:75,1,COLUMN()-Grace_Period))*IF(ServExt_LoanIntDen=lbl_Dom,1,INDEX(RealExRate_Risk,1,COLUMN()))*ServExt_LoanPct</f>
        <v>0</v>
      </c>
      <c r="F81" s="196">
        <f t="shared" ca="1" si="37"/>
        <v>0</v>
      </c>
      <c r="G81" s="196">
        <f t="shared" ca="1" si="37"/>
        <v>0</v>
      </c>
      <c r="H81" s="196">
        <f t="shared" ca="1" si="37"/>
        <v>0</v>
      </c>
      <c r="I81" s="196">
        <f t="shared" ca="1" si="37"/>
        <v>0</v>
      </c>
      <c r="J81" s="196">
        <f t="shared" ca="1" si="37"/>
        <v>0.18355237827854701</v>
      </c>
      <c r="K81" s="196">
        <f t="shared" ca="1" si="37"/>
        <v>0.56048018904155672</v>
      </c>
      <c r="L81" s="196">
        <f t="shared" ca="1" si="37"/>
        <v>1.510901346555992</v>
      </c>
      <c r="M81" s="196">
        <f t="shared" ca="1" si="37"/>
        <v>3.7040071557854231</v>
      </c>
      <c r="N81" s="196">
        <f t="shared" ca="1" si="37"/>
        <v>7.6418487565834328</v>
      </c>
      <c r="O81" s="196">
        <f t="shared" ca="1" si="37"/>
        <v>12.948953901615674</v>
      </c>
      <c r="P81" s="196">
        <f t="shared" ca="1" si="37"/>
        <v>18.526983244122924</v>
      </c>
      <c r="Q81" s="196">
        <f t="shared" ca="1" si="37"/>
        <v>20.568063606894775</v>
      </c>
      <c r="R81" s="196">
        <f t="shared" ca="1" si="37"/>
        <v>20.779657099243387</v>
      </c>
      <c r="S81" s="196">
        <f t="shared" ca="1" si="37"/>
        <v>20.453210343459794</v>
      </c>
      <c r="T81" s="196">
        <f t="shared" ca="1" si="37"/>
        <v>21.596770475992038</v>
      </c>
      <c r="U81" s="196">
        <f t="shared" ca="1" si="37"/>
        <v>21.55817043484025</v>
      </c>
      <c r="V81" s="196">
        <f t="shared" ca="1" si="37"/>
        <v>21.379656903188238</v>
      </c>
      <c r="W81" s="196">
        <f t="shared" ca="1" si="37"/>
        <v>21.526340850999471</v>
      </c>
      <c r="X81" s="196">
        <f t="shared" ca="1" si="37"/>
        <v>21.702332382214077</v>
      </c>
      <c r="Y81" s="196">
        <f t="shared" ca="1" si="37"/>
        <v>22.140405975256307</v>
      </c>
      <c r="Z81" s="196">
        <f t="shared" ca="1" si="37"/>
        <v>21.553690542977872</v>
      </c>
      <c r="AA81" s="196">
        <f t="shared" ca="1" si="37"/>
        <v>20.864385856088791</v>
      </c>
      <c r="AB81" s="196">
        <f t="shared" ca="1" si="37"/>
        <v>18.993933652912752</v>
      </c>
      <c r="AC81" s="196">
        <f t="shared" ca="1" si="37"/>
        <v>16.718482935930989</v>
      </c>
      <c r="AD81" s="196">
        <f t="shared" ca="1" si="37"/>
        <v>0</v>
      </c>
      <c r="AE81" s="196">
        <f t="shared" ca="1" si="37"/>
        <v>0</v>
      </c>
      <c r="AF81" s="196">
        <f t="shared" ca="1" si="37"/>
        <v>0</v>
      </c>
      <c r="AG81" s="196">
        <f t="shared" ca="1" si="37"/>
        <v>0</v>
      </c>
      <c r="AH81" s="196">
        <f t="shared" ca="1" si="37"/>
        <v>0</v>
      </c>
      <c r="AI81" s="196">
        <f t="shared" ca="1" si="37"/>
        <v>0</v>
      </c>
      <c r="AJ81" s="196">
        <f t="shared" ca="1" si="37"/>
        <v>0</v>
      </c>
      <c r="AK81" s="196">
        <f t="shared" ca="1" si="37"/>
        <v>0</v>
      </c>
      <c r="AL81" s="196">
        <f t="shared" ca="1" si="37"/>
        <v>0</v>
      </c>
      <c r="AM81" s="196">
        <f t="shared" ca="1" si="37"/>
        <v>0</v>
      </c>
      <c r="AN81" s="196">
        <f t="shared" ca="1" si="37"/>
        <v>0</v>
      </c>
      <c r="AO81" s="196">
        <f t="shared" ca="1" si="37"/>
        <v>0</v>
      </c>
      <c r="AP81" s="196">
        <f t="shared" ca="1" si="37"/>
        <v>0</v>
      </c>
      <c r="AQ81" s="196">
        <f t="shared" ca="1" si="37"/>
        <v>0</v>
      </c>
      <c r="AR81" s="197">
        <f t="shared" ca="1" si="37"/>
        <v>0</v>
      </c>
    </row>
    <row r="82" spans="1:44" s="13" customFormat="1">
      <c r="B82" s="138"/>
      <c r="C82" s="186" t="s">
        <v>122</v>
      </c>
      <c r="E82" s="206">
        <f t="shared" ref="E82:AR82" ca="1" si="38">IF(Year&lt;=Grace_Period,,INDEX(76:76,1,COLUMN()-Grace_Period))*IF(ServExt_LoanIntDen=lbl_Dom,1,INDEX(RealExRate_Risk,1,COLUMN()))*ServExt_LoanPct</f>
        <v>0</v>
      </c>
      <c r="F82" s="207">
        <f t="shared" ca="1" si="38"/>
        <v>0</v>
      </c>
      <c r="G82" s="207">
        <f t="shared" ca="1" si="38"/>
        <v>0</v>
      </c>
      <c r="H82" s="207">
        <f t="shared" ca="1" si="38"/>
        <v>0</v>
      </c>
      <c r="I82" s="207">
        <f t="shared" ca="1" si="38"/>
        <v>0</v>
      </c>
      <c r="J82" s="207">
        <f t="shared" ca="1" si="38"/>
        <v>9.1776189139273524E-3</v>
      </c>
      <c r="K82" s="207">
        <f t="shared" ca="1" si="38"/>
        <v>2.8550637565628079E-2</v>
      </c>
      <c r="L82" s="207">
        <f t="shared" ca="1" si="38"/>
        <v>7.7590541954670356E-2</v>
      </c>
      <c r="M82" s="207">
        <f t="shared" ca="1" si="38"/>
        <v>0.19122064664318553</v>
      </c>
      <c r="N82" s="207">
        <f t="shared" ca="1" si="38"/>
        <v>0.39790817507185444</v>
      </c>
      <c r="O82" s="207">
        <f t="shared" ca="1" si="38"/>
        <v>0.68290831516206185</v>
      </c>
      <c r="P82" s="207">
        <f t="shared" ca="1" si="38"/>
        <v>1.0041006997977955</v>
      </c>
      <c r="Q82" s="207">
        <f t="shared" ca="1" si="38"/>
        <v>1.1583959146161897</v>
      </c>
      <c r="R82" s="207">
        <f t="shared" ca="1" si="38"/>
        <v>1.2276684454146221</v>
      </c>
      <c r="S82" s="207">
        <f t="shared" ca="1" si="38"/>
        <v>1.2731783757917507</v>
      </c>
      <c r="T82" s="207">
        <f t="shared" ca="1" si="38"/>
        <v>1.4336024675726271</v>
      </c>
      <c r="U82" s="207">
        <f t="shared" ca="1" si="38"/>
        <v>1.5327872246480843</v>
      </c>
      <c r="V82" s="207">
        <f t="shared" ca="1" si="38"/>
        <v>1.6364463353633711</v>
      </c>
      <c r="W82" s="207">
        <f t="shared" ca="1" si="38"/>
        <v>1.7842438279420065</v>
      </c>
      <c r="X82" s="207">
        <f t="shared" ca="1" si="38"/>
        <v>1.9614052428010247</v>
      </c>
      <c r="Y82" s="207">
        <f t="shared" ca="1" si="38"/>
        <v>2.1998109841006195</v>
      </c>
      <c r="Z82" s="207">
        <f t="shared" ca="1" si="38"/>
        <v>2.3777648172172419</v>
      </c>
      <c r="AA82" s="207">
        <f t="shared" ca="1" si="38"/>
        <v>2.5871294732231309</v>
      </c>
      <c r="AB82" s="207">
        <f t="shared" ca="1" si="38"/>
        <v>2.6885745068369347</v>
      </c>
      <c r="AC82" s="207">
        <f t="shared" ca="1" si="38"/>
        <v>2.7566940790353667</v>
      </c>
      <c r="AD82" s="207">
        <f t="shared" ca="1" si="38"/>
        <v>0</v>
      </c>
      <c r="AE82" s="207">
        <f t="shared" ca="1" si="38"/>
        <v>0</v>
      </c>
      <c r="AF82" s="207">
        <f t="shared" ca="1" si="38"/>
        <v>0</v>
      </c>
      <c r="AG82" s="207">
        <f t="shared" ca="1" si="38"/>
        <v>0</v>
      </c>
      <c r="AH82" s="207">
        <f t="shared" ca="1" si="38"/>
        <v>0</v>
      </c>
      <c r="AI82" s="207">
        <f t="shared" ca="1" si="38"/>
        <v>0</v>
      </c>
      <c r="AJ82" s="207">
        <f t="shared" ca="1" si="38"/>
        <v>0</v>
      </c>
      <c r="AK82" s="207">
        <f t="shared" ca="1" si="38"/>
        <v>0</v>
      </c>
      <c r="AL82" s="207">
        <f t="shared" ca="1" si="38"/>
        <v>0</v>
      </c>
      <c r="AM82" s="207">
        <f t="shared" ca="1" si="38"/>
        <v>0</v>
      </c>
      <c r="AN82" s="207">
        <f t="shared" ca="1" si="38"/>
        <v>0</v>
      </c>
      <c r="AO82" s="207">
        <f t="shared" ca="1" si="38"/>
        <v>0</v>
      </c>
      <c r="AP82" s="207">
        <f t="shared" ca="1" si="38"/>
        <v>0</v>
      </c>
      <c r="AQ82" s="207">
        <f t="shared" ca="1" si="38"/>
        <v>0</v>
      </c>
      <c r="AR82" s="208">
        <f t="shared" ca="1" si="38"/>
        <v>0</v>
      </c>
    </row>
    <row r="83" spans="1:44" s="13" customFormat="1">
      <c r="B83" s="138"/>
      <c r="C83" s="186" t="s">
        <v>123</v>
      </c>
      <c r="E83" s="187">
        <f t="shared" ref="E83:AR83" ca="1" si="39">IF(Year&lt;=Grace_Period,,INDEX(77:77,1,COLUMN()-Grace_Period))*IF(ServExt_LoanIntDen=lbl_Dom,1,INDEX(RealExRate_Risk,1,COLUMN()))*ServExt_LoanPct</f>
        <v>0</v>
      </c>
      <c r="F83" s="188">
        <f t="shared" ca="1" si="39"/>
        <v>0</v>
      </c>
      <c r="G83" s="188">
        <f t="shared" ca="1" si="39"/>
        <v>0</v>
      </c>
      <c r="H83" s="188">
        <f t="shared" ca="1" si="39"/>
        <v>0</v>
      </c>
      <c r="I83" s="188">
        <f t="shared" ca="1" si="39"/>
        <v>0</v>
      </c>
      <c r="J83" s="188">
        <f t="shared" ca="1" si="39"/>
        <v>9.1776189139273524E-3</v>
      </c>
      <c r="K83" s="188">
        <f t="shared" ca="1" si="39"/>
        <v>2.8024009452077839E-2</v>
      </c>
      <c r="L83" s="188">
        <f t="shared" ca="1" si="39"/>
        <v>7.55450673277996E-2</v>
      </c>
      <c r="M83" s="188">
        <f t="shared" ca="1" si="39"/>
        <v>0.18520035778927116</v>
      </c>
      <c r="N83" s="188">
        <f t="shared" ca="1" si="39"/>
        <v>0.38209243782917168</v>
      </c>
      <c r="O83" s="188">
        <f t="shared" ca="1" si="39"/>
        <v>0.64744769508078381</v>
      </c>
      <c r="P83" s="188">
        <f t="shared" ca="1" si="39"/>
        <v>0.92634916220614616</v>
      </c>
      <c r="Q83" s="188">
        <f t="shared" ca="1" si="39"/>
        <v>1.0284031803447389</v>
      </c>
      <c r="R83" s="188">
        <f t="shared" ca="1" si="39"/>
        <v>1.0389828549621694</v>
      </c>
      <c r="S83" s="188">
        <f t="shared" ca="1" si="39"/>
        <v>1.0226605171729899</v>
      </c>
      <c r="T83" s="188">
        <f t="shared" ca="1" si="39"/>
        <v>1.079838523799602</v>
      </c>
      <c r="U83" s="188">
        <f t="shared" ca="1" si="39"/>
        <v>1.0779085217420123</v>
      </c>
      <c r="V83" s="188">
        <f t="shared" ca="1" si="39"/>
        <v>1.0689828451594119</v>
      </c>
      <c r="W83" s="188">
        <f t="shared" ca="1" si="39"/>
        <v>1.0763170425499737</v>
      </c>
      <c r="X83" s="188">
        <f t="shared" ca="1" si="39"/>
        <v>1.085116619110704</v>
      </c>
      <c r="Y83" s="188">
        <f t="shared" ca="1" si="39"/>
        <v>1.1070202987628155</v>
      </c>
      <c r="Z83" s="188">
        <f t="shared" ca="1" si="39"/>
        <v>1.0776845271488935</v>
      </c>
      <c r="AA83" s="188">
        <f t="shared" ca="1" si="39"/>
        <v>1.0432192928044397</v>
      </c>
      <c r="AB83" s="188">
        <f t="shared" ca="1" si="39"/>
        <v>0.94969668264563767</v>
      </c>
      <c r="AC83" s="188">
        <f t="shared" ca="1" si="39"/>
        <v>0.83592414679654947</v>
      </c>
      <c r="AD83" s="188">
        <f t="shared" ca="1" si="39"/>
        <v>0</v>
      </c>
      <c r="AE83" s="188">
        <f t="shared" ca="1" si="39"/>
        <v>0</v>
      </c>
      <c r="AF83" s="188">
        <f t="shared" ca="1" si="39"/>
        <v>0</v>
      </c>
      <c r="AG83" s="188">
        <f t="shared" ca="1" si="39"/>
        <v>0</v>
      </c>
      <c r="AH83" s="188">
        <f t="shared" ca="1" si="39"/>
        <v>0</v>
      </c>
      <c r="AI83" s="188">
        <f t="shared" ca="1" si="39"/>
        <v>0</v>
      </c>
      <c r="AJ83" s="188">
        <f t="shared" ca="1" si="39"/>
        <v>0</v>
      </c>
      <c r="AK83" s="188">
        <f t="shared" ca="1" si="39"/>
        <v>0</v>
      </c>
      <c r="AL83" s="188">
        <f t="shared" ca="1" si="39"/>
        <v>0</v>
      </c>
      <c r="AM83" s="188">
        <f t="shared" ca="1" si="39"/>
        <v>0</v>
      </c>
      <c r="AN83" s="188">
        <f t="shared" ca="1" si="39"/>
        <v>0</v>
      </c>
      <c r="AO83" s="188">
        <f t="shared" ca="1" si="39"/>
        <v>0</v>
      </c>
      <c r="AP83" s="188">
        <f t="shared" ca="1" si="39"/>
        <v>0</v>
      </c>
      <c r="AQ83" s="188">
        <f t="shared" ca="1" si="39"/>
        <v>0</v>
      </c>
      <c r="AR83" s="189">
        <f t="shared" ca="1" si="39"/>
        <v>0</v>
      </c>
    </row>
    <row r="84" spans="1:44" s="13" customFormat="1">
      <c r="B84" s="6" t="s">
        <v>31</v>
      </c>
      <c r="C84" s="186"/>
    </row>
    <row r="85" spans="1:44" s="13" customFormat="1">
      <c r="B85" s="138"/>
      <c r="C85" s="186" t="s">
        <v>121</v>
      </c>
      <c r="E85" s="205">
        <f t="shared" ref="E85:AR85" ca="1" si="40">IF(Year&lt;=Grace_Period,,INDEX(75:75,1,COLUMN()-Grace_Period))*IF(ServExt_LoanIntDen=lbl_Dom,1,INDEX(RealExRate_Risk,1,COLUMN()))*ServExt_CAPct</f>
        <v>0</v>
      </c>
      <c r="F85" s="196">
        <f t="shared" ca="1" si="40"/>
        <v>0</v>
      </c>
      <c r="G85" s="196">
        <f t="shared" ca="1" si="40"/>
        <v>0</v>
      </c>
      <c r="H85" s="196">
        <f t="shared" ca="1" si="40"/>
        <v>0</v>
      </c>
      <c r="I85" s="196">
        <f t="shared" ca="1" si="40"/>
        <v>0</v>
      </c>
      <c r="J85" s="196">
        <f t="shared" ca="1" si="40"/>
        <v>0.18355237827854701</v>
      </c>
      <c r="K85" s="196">
        <f t="shared" ca="1" si="40"/>
        <v>0.56048018904155672</v>
      </c>
      <c r="L85" s="196">
        <f t="shared" ca="1" si="40"/>
        <v>1.510901346555992</v>
      </c>
      <c r="M85" s="196">
        <f t="shared" ca="1" si="40"/>
        <v>3.7040071557854231</v>
      </c>
      <c r="N85" s="196">
        <f t="shared" ca="1" si="40"/>
        <v>7.6418487565834328</v>
      </c>
      <c r="O85" s="196">
        <f t="shared" ca="1" si="40"/>
        <v>12.948953901615674</v>
      </c>
      <c r="P85" s="196">
        <f t="shared" ca="1" si="40"/>
        <v>18.526983244122924</v>
      </c>
      <c r="Q85" s="196">
        <f t="shared" ca="1" si="40"/>
        <v>20.568063606894775</v>
      </c>
      <c r="R85" s="196">
        <f t="shared" ca="1" si="40"/>
        <v>20.779657099243387</v>
      </c>
      <c r="S85" s="196">
        <f t="shared" ca="1" si="40"/>
        <v>20.453210343459794</v>
      </c>
      <c r="T85" s="196">
        <f t="shared" ca="1" si="40"/>
        <v>21.596770475992038</v>
      </c>
      <c r="U85" s="196">
        <f t="shared" ca="1" si="40"/>
        <v>21.55817043484025</v>
      </c>
      <c r="V85" s="196">
        <f t="shared" ca="1" si="40"/>
        <v>21.379656903188238</v>
      </c>
      <c r="W85" s="196">
        <f t="shared" ca="1" si="40"/>
        <v>21.526340850999471</v>
      </c>
      <c r="X85" s="196">
        <f t="shared" ca="1" si="40"/>
        <v>21.702332382214077</v>
      </c>
      <c r="Y85" s="196">
        <f t="shared" ca="1" si="40"/>
        <v>22.140405975256307</v>
      </c>
      <c r="Z85" s="196">
        <f t="shared" ca="1" si="40"/>
        <v>21.553690542977872</v>
      </c>
      <c r="AA85" s="196">
        <f t="shared" ca="1" si="40"/>
        <v>20.864385856088791</v>
      </c>
      <c r="AB85" s="196">
        <f t="shared" ca="1" si="40"/>
        <v>18.993933652912752</v>
      </c>
      <c r="AC85" s="196">
        <f t="shared" ca="1" si="40"/>
        <v>16.718482935930989</v>
      </c>
      <c r="AD85" s="196">
        <f t="shared" ca="1" si="40"/>
        <v>0</v>
      </c>
      <c r="AE85" s="196">
        <f t="shared" ca="1" si="40"/>
        <v>0</v>
      </c>
      <c r="AF85" s="196">
        <f t="shared" ca="1" si="40"/>
        <v>0</v>
      </c>
      <c r="AG85" s="196">
        <f t="shared" ca="1" si="40"/>
        <v>0</v>
      </c>
      <c r="AH85" s="196">
        <f t="shared" ca="1" si="40"/>
        <v>0</v>
      </c>
      <c r="AI85" s="196">
        <f t="shared" ca="1" si="40"/>
        <v>0</v>
      </c>
      <c r="AJ85" s="196">
        <f t="shared" ca="1" si="40"/>
        <v>0</v>
      </c>
      <c r="AK85" s="196">
        <f t="shared" ca="1" si="40"/>
        <v>0</v>
      </c>
      <c r="AL85" s="196">
        <f t="shared" ca="1" si="40"/>
        <v>0</v>
      </c>
      <c r="AM85" s="196">
        <f t="shared" ca="1" si="40"/>
        <v>0</v>
      </c>
      <c r="AN85" s="196">
        <f t="shared" ca="1" si="40"/>
        <v>0</v>
      </c>
      <c r="AO85" s="196">
        <f t="shared" ca="1" si="40"/>
        <v>0</v>
      </c>
      <c r="AP85" s="196">
        <f t="shared" ca="1" si="40"/>
        <v>0</v>
      </c>
      <c r="AQ85" s="196">
        <f t="shared" ca="1" si="40"/>
        <v>0</v>
      </c>
      <c r="AR85" s="197">
        <f t="shared" ca="1" si="40"/>
        <v>0</v>
      </c>
    </row>
    <row r="86" spans="1:44" s="13" customFormat="1">
      <c r="B86" s="138"/>
      <c r="C86" s="186" t="s">
        <v>122</v>
      </c>
      <c r="E86" s="206">
        <f t="shared" ref="E86:AR86" ca="1" si="41">IF(Year&lt;=Grace_Period,,INDEX(76:76,1,COLUMN()-Grace_Period))*IF(ServExt_LoanIntDen=lbl_Dom,1,INDEX(RealExRate_Risk,1,COLUMN()))*ServExt_CAPct</f>
        <v>0</v>
      </c>
      <c r="F86" s="207">
        <f t="shared" ca="1" si="41"/>
        <v>0</v>
      </c>
      <c r="G86" s="207">
        <f t="shared" ca="1" si="41"/>
        <v>0</v>
      </c>
      <c r="H86" s="207">
        <f t="shared" ca="1" si="41"/>
        <v>0</v>
      </c>
      <c r="I86" s="207">
        <f t="shared" ca="1" si="41"/>
        <v>0</v>
      </c>
      <c r="J86" s="207">
        <f t="shared" ca="1" si="41"/>
        <v>9.1776189139273524E-3</v>
      </c>
      <c r="K86" s="207">
        <f t="shared" ca="1" si="41"/>
        <v>2.8550637565628079E-2</v>
      </c>
      <c r="L86" s="207">
        <f t="shared" ca="1" si="41"/>
        <v>7.7590541954670356E-2</v>
      </c>
      <c r="M86" s="207">
        <f t="shared" ca="1" si="41"/>
        <v>0.19122064664318553</v>
      </c>
      <c r="N86" s="207">
        <f t="shared" ca="1" si="41"/>
        <v>0.39790817507185444</v>
      </c>
      <c r="O86" s="207">
        <f t="shared" ca="1" si="41"/>
        <v>0.68290831516206185</v>
      </c>
      <c r="P86" s="207">
        <f t="shared" ca="1" si="41"/>
        <v>1.0041006997977955</v>
      </c>
      <c r="Q86" s="207">
        <f t="shared" ca="1" si="41"/>
        <v>1.1583959146161897</v>
      </c>
      <c r="R86" s="207">
        <f t="shared" ca="1" si="41"/>
        <v>1.2276684454146221</v>
      </c>
      <c r="S86" s="207">
        <f t="shared" ca="1" si="41"/>
        <v>1.2731783757917507</v>
      </c>
      <c r="T86" s="207">
        <f t="shared" ca="1" si="41"/>
        <v>1.4336024675726271</v>
      </c>
      <c r="U86" s="207">
        <f t="shared" ca="1" si="41"/>
        <v>1.5327872246480843</v>
      </c>
      <c r="V86" s="207">
        <f t="shared" ca="1" si="41"/>
        <v>1.6364463353633711</v>
      </c>
      <c r="W86" s="207">
        <f t="shared" ca="1" si="41"/>
        <v>1.7842438279420065</v>
      </c>
      <c r="X86" s="207">
        <f t="shared" ca="1" si="41"/>
        <v>1.9614052428010247</v>
      </c>
      <c r="Y86" s="207">
        <f t="shared" ca="1" si="41"/>
        <v>2.1998109841006195</v>
      </c>
      <c r="Z86" s="207">
        <f t="shared" ca="1" si="41"/>
        <v>2.3777648172172419</v>
      </c>
      <c r="AA86" s="207">
        <f t="shared" ca="1" si="41"/>
        <v>2.5871294732231309</v>
      </c>
      <c r="AB86" s="207">
        <f t="shared" ca="1" si="41"/>
        <v>2.6885745068369347</v>
      </c>
      <c r="AC86" s="207">
        <f t="shared" ca="1" si="41"/>
        <v>2.7566940790353667</v>
      </c>
      <c r="AD86" s="207">
        <f t="shared" ca="1" si="41"/>
        <v>0</v>
      </c>
      <c r="AE86" s="207">
        <f t="shared" ca="1" si="41"/>
        <v>0</v>
      </c>
      <c r="AF86" s="207">
        <f t="shared" ca="1" si="41"/>
        <v>0</v>
      </c>
      <c r="AG86" s="207">
        <f t="shared" ca="1" si="41"/>
        <v>0</v>
      </c>
      <c r="AH86" s="207">
        <f t="shared" ca="1" si="41"/>
        <v>0</v>
      </c>
      <c r="AI86" s="207">
        <f t="shared" ca="1" si="41"/>
        <v>0</v>
      </c>
      <c r="AJ86" s="207">
        <f t="shared" ca="1" si="41"/>
        <v>0</v>
      </c>
      <c r="AK86" s="207">
        <f t="shared" ca="1" si="41"/>
        <v>0</v>
      </c>
      <c r="AL86" s="207">
        <f t="shared" ca="1" si="41"/>
        <v>0</v>
      </c>
      <c r="AM86" s="207">
        <f t="shared" ca="1" si="41"/>
        <v>0</v>
      </c>
      <c r="AN86" s="207">
        <f t="shared" ca="1" si="41"/>
        <v>0</v>
      </c>
      <c r="AO86" s="207">
        <f t="shared" ca="1" si="41"/>
        <v>0</v>
      </c>
      <c r="AP86" s="207">
        <f t="shared" ca="1" si="41"/>
        <v>0</v>
      </c>
      <c r="AQ86" s="207">
        <f t="shared" ca="1" si="41"/>
        <v>0</v>
      </c>
      <c r="AR86" s="208">
        <f t="shared" ca="1" si="41"/>
        <v>0</v>
      </c>
    </row>
    <row r="87" spans="1:44" s="13" customFormat="1">
      <c r="B87" s="138"/>
      <c r="C87" s="186" t="s">
        <v>123</v>
      </c>
      <c r="E87" s="187">
        <f t="shared" ref="E87:AR87" ca="1" si="42">IF(Year&lt;=Grace_Period,,INDEX(77:77,1,COLUMN()-Grace_Period))*IF(ServExt_LoanIntDen=lbl_Dom,1,INDEX(RealExRate_Risk,1,COLUMN()))*ServExt_CAPct</f>
        <v>0</v>
      </c>
      <c r="F87" s="188">
        <f t="shared" ca="1" si="42"/>
        <v>0</v>
      </c>
      <c r="G87" s="188">
        <f t="shared" ca="1" si="42"/>
        <v>0</v>
      </c>
      <c r="H87" s="188">
        <f t="shared" ca="1" si="42"/>
        <v>0</v>
      </c>
      <c r="I87" s="188">
        <f t="shared" ca="1" si="42"/>
        <v>0</v>
      </c>
      <c r="J87" s="188">
        <f t="shared" ca="1" si="42"/>
        <v>9.1776189139273524E-3</v>
      </c>
      <c r="K87" s="188">
        <f t="shared" ca="1" si="42"/>
        <v>2.8024009452077839E-2</v>
      </c>
      <c r="L87" s="188">
        <f t="shared" ca="1" si="42"/>
        <v>7.55450673277996E-2</v>
      </c>
      <c r="M87" s="188">
        <f t="shared" ca="1" si="42"/>
        <v>0.18520035778927116</v>
      </c>
      <c r="N87" s="188">
        <f t="shared" ca="1" si="42"/>
        <v>0.38209243782917168</v>
      </c>
      <c r="O87" s="188">
        <f t="shared" ca="1" si="42"/>
        <v>0.64744769508078381</v>
      </c>
      <c r="P87" s="188">
        <f t="shared" ca="1" si="42"/>
        <v>0.92634916220614616</v>
      </c>
      <c r="Q87" s="188">
        <f t="shared" ca="1" si="42"/>
        <v>1.0284031803447389</v>
      </c>
      <c r="R87" s="188">
        <f t="shared" ca="1" si="42"/>
        <v>1.0389828549621694</v>
      </c>
      <c r="S87" s="188">
        <f t="shared" ca="1" si="42"/>
        <v>1.0226605171729899</v>
      </c>
      <c r="T87" s="188">
        <f t="shared" ca="1" si="42"/>
        <v>1.079838523799602</v>
      </c>
      <c r="U87" s="188">
        <f t="shared" ca="1" si="42"/>
        <v>1.0779085217420123</v>
      </c>
      <c r="V87" s="188">
        <f t="shared" ca="1" si="42"/>
        <v>1.0689828451594119</v>
      </c>
      <c r="W87" s="188">
        <f t="shared" ca="1" si="42"/>
        <v>1.0763170425499737</v>
      </c>
      <c r="X87" s="188">
        <f t="shared" ca="1" si="42"/>
        <v>1.085116619110704</v>
      </c>
      <c r="Y87" s="188">
        <f t="shared" ca="1" si="42"/>
        <v>1.1070202987628155</v>
      </c>
      <c r="Z87" s="188">
        <f t="shared" ca="1" si="42"/>
        <v>1.0776845271488935</v>
      </c>
      <c r="AA87" s="188">
        <f t="shared" ca="1" si="42"/>
        <v>1.0432192928044397</v>
      </c>
      <c r="AB87" s="188">
        <f t="shared" ca="1" si="42"/>
        <v>0.94969668264563767</v>
      </c>
      <c r="AC87" s="188">
        <f t="shared" ca="1" si="42"/>
        <v>0.83592414679654947</v>
      </c>
      <c r="AD87" s="188">
        <f t="shared" ca="1" si="42"/>
        <v>0</v>
      </c>
      <c r="AE87" s="188">
        <f t="shared" ca="1" si="42"/>
        <v>0</v>
      </c>
      <c r="AF87" s="188">
        <f t="shared" ca="1" si="42"/>
        <v>0</v>
      </c>
      <c r="AG87" s="188">
        <f t="shared" ca="1" si="42"/>
        <v>0</v>
      </c>
      <c r="AH87" s="188">
        <f t="shared" ca="1" si="42"/>
        <v>0</v>
      </c>
      <c r="AI87" s="188">
        <f t="shared" ca="1" si="42"/>
        <v>0</v>
      </c>
      <c r="AJ87" s="188">
        <f t="shared" ca="1" si="42"/>
        <v>0</v>
      </c>
      <c r="AK87" s="188">
        <f t="shared" ca="1" si="42"/>
        <v>0</v>
      </c>
      <c r="AL87" s="188">
        <f t="shared" ca="1" si="42"/>
        <v>0</v>
      </c>
      <c r="AM87" s="188">
        <f t="shared" ca="1" si="42"/>
        <v>0</v>
      </c>
      <c r="AN87" s="188">
        <f t="shared" ca="1" si="42"/>
        <v>0</v>
      </c>
      <c r="AO87" s="188">
        <f t="shared" ca="1" si="42"/>
        <v>0</v>
      </c>
      <c r="AP87" s="188">
        <f t="shared" ca="1" si="42"/>
        <v>0</v>
      </c>
      <c r="AQ87" s="188">
        <f t="shared" ca="1" si="42"/>
        <v>0</v>
      </c>
      <c r="AR87" s="189">
        <f t="shared" ca="1" si="42"/>
        <v>0</v>
      </c>
    </row>
    <row r="88" spans="1:44" s="3" customFormat="1"/>
    <row r="89" spans="1:44" s="3" customFormat="1" ht="13.5" customHeight="1"/>
    <row r="90" spans="1:44" s="45" customFormat="1" ht="17.399999999999999">
      <c r="A90" s="43" t="s">
        <v>125</v>
      </c>
      <c r="B90" s="44"/>
      <c r="C90" s="44"/>
      <c r="E90" s="3"/>
      <c r="F90" s="3"/>
      <c r="G90" s="3"/>
      <c r="H90" s="3"/>
      <c r="I90" s="3"/>
      <c r="J90" s="3"/>
      <c r="K90" s="3"/>
      <c r="L90" s="3"/>
      <c r="M90" s="3"/>
      <c r="N90" s="3"/>
    </row>
    <row r="91" spans="1:44" s="3" customFormat="1">
      <c r="B91" s="4" t="s">
        <v>163</v>
      </c>
      <c r="C91" s="12"/>
    </row>
    <row r="92" spans="1:44" s="13" customFormat="1">
      <c r="C92" s="138" t="s">
        <v>164</v>
      </c>
      <c r="D92" s="268">
        <f>IF(Year="",,IF(OR(Tariff_Period=1,MOD(Year,Tariff_Period)=0),Inflation_Risk,C92*EXP(Inflation_Speed*(Inflation_LT-C92))))</f>
        <v>0.05</v>
      </c>
      <c r="E92" s="268">
        <f>D92*EXP(Inflation_Speed*(Inflation_LT-D92))</f>
        <v>5.8091712136414154E-2</v>
      </c>
      <c r="F92" s="268">
        <f t="shared" ref="F92:AR92" si="43">IF(Year="",,IF(OR(Tariff_Period=1,MOD(Year,Tariff_Period)=1),Inflation_Risk,E92*EXP(Inflation_Speed*(Inflation_LT-E92))))</f>
        <v>6.4816775092882944E-2</v>
      </c>
      <c r="G92" s="268">
        <f t="shared" si="43"/>
        <v>6.9929008928705308E-2</v>
      </c>
      <c r="H92" s="268">
        <f t="shared" si="43"/>
        <v>7.3540444827524018E-2</v>
      </c>
      <c r="I92" s="268">
        <f t="shared" si="43"/>
        <v>7.5954410655356047E-2</v>
      </c>
      <c r="J92" s="268">
        <f t="shared" ca="1" si="43"/>
        <v>7.9098516926643561E-2</v>
      </c>
      <c r="K92" s="268">
        <f t="shared" ca="1" si="43"/>
        <v>7.9455851520056228E-2</v>
      </c>
      <c r="L92" s="268">
        <f t="shared" ca="1" si="43"/>
        <v>7.967232477463787E-2</v>
      </c>
      <c r="M92" s="268">
        <f t="shared" ca="1" si="43"/>
        <v>7.9802964999205833E-2</v>
      </c>
      <c r="N92" s="268">
        <f t="shared" ca="1" si="43"/>
        <v>7.9881623625460058E-2</v>
      </c>
      <c r="O92" s="268">
        <f t="shared" ca="1" si="43"/>
        <v>7.8186789952475841E-2</v>
      </c>
      <c r="P92" s="135">
        <f t="shared" ca="1" si="43"/>
        <v>7.8898858264385766E-2</v>
      </c>
      <c r="Q92" s="135">
        <f t="shared" ca="1" si="43"/>
        <v>7.9334450414426924E-2</v>
      </c>
      <c r="R92" s="135">
        <f t="shared" ca="1" si="43"/>
        <v>7.9598895226202698E-2</v>
      </c>
      <c r="S92" s="135">
        <f t="shared" ca="1" si="43"/>
        <v>7.9758692895983765E-2</v>
      </c>
      <c r="T92" s="135">
        <f t="shared" ca="1" si="43"/>
        <v>7.9958575832113035E-2</v>
      </c>
      <c r="U92" s="135">
        <f t="shared" ca="1" si="43"/>
        <v>7.9975138634650972E-2</v>
      </c>
      <c r="V92" s="135">
        <f t="shared" ca="1" si="43"/>
        <v>7.9985080708274162E-2</v>
      </c>
      <c r="W92" s="135">
        <f t="shared" ca="1" si="43"/>
        <v>7.9991047534587467E-2</v>
      </c>
      <c r="X92" s="135">
        <f t="shared" ca="1" si="43"/>
        <v>7.9994628200158166E-2</v>
      </c>
      <c r="Y92" s="135">
        <f t="shared" si="43"/>
        <v>0</v>
      </c>
      <c r="Z92" s="135">
        <f t="shared" si="43"/>
        <v>0</v>
      </c>
      <c r="AA92" s="135">
        <f t="shared" si="43"/>
        <v>0</v>
      </c>
      <c r="AB92" s="135">
        <f t="shared" si="43"/>
        <v>0</v>
      </c>
      <c r="AC92" s="135">
        <f t="shared" si="43"/>
        <v>0</v>
      </c>
      <c r="AD92" s="135">
        <f t="shared" si="43"/>
        <v>0</v>
      </c>
      <c r="AE92" s="135">
        <f t="shared" si="43"/>
        <v>0</v>
      </c>
      <c r="AF92" s="135">
        <f t="shared" si="43"/>
        <v>0</v>
      </c>
      <c r="AG92" s="135">
        <f t="shared" si="43"/>
        <v>0</v>
      </c>
      <c r="AH92" s="135">
        <f t="shared" si="43"/>
        <v>0</v>
      </c>
      <c r="AI92" s="135">
        <f t="shared" si="43"/>
        <v>0</v>
      </c>
      <c r="AJ92" s="135">
        <f t="shared" si="43"/>
        <v>0</v>
      </c>
      <c r="AK92" s="135">
        <f t="shared" si="43"/>
        <v>0</v>
      </c>
      <c r="AL92" s="135">
        <f t="shared" si="43"/>
        <v>0</v>
      </c>
      <c r="AM92" s="135">
        <f t="shared" si="43"/>
        <v>0</v>
      </c>
      <c r="AN92" s="135">
        <f t="shared" si="43"/>
        <v>0</v>
      </c>
      <c r="AO92" s="135">
        <f t="shared" si="43"/>
        <v>0</v>
      </c>
      <c r="AP92" s="135">
        <f t="shared" si="43"/>
        <v>0</v>
      </c>
      <c r="AQ92" s="135">
        <f t="shared" si="43"/>
        <v>0</v>
      </c>
      <c r="AR92" s="136">
        <f t="shared" si="43"/>
        <v>0</v>
      </c>
    </row>
    <row r="93" spans="1:44" s="74" customFormat="1">
      <c r="C93" s="132" t="s">
        <v>103</v>
      </c>
      <c r="D93" s="143">
        <f>1</f>
        <v>1</v>
      </c>
      <c r="E93" s="144">
        <f>D93*EXP(-E92)</f>
        <v>0.94356340725254528</v>
      </c>
      <c r="F93" s="144">
        <f t="shared" ref="F93:AR93" si="44">E93*EXP(-F92)</f>
        <v>0.88434458768139823</v>
      </c>
      <c r="G93" s="144">
        <f t="shared" si="44"/>
        <v>0.82461596651440661</v>
      </c>
      <c r="H93" s="144">
        <f t="shared" si="44"/>
        <v>0.76614951347377813</v>
      </c>
      <c r="I93" s="144">
        <f t="shared" si="44"/>
        <v>0.71011215854508192</v>
      </c>
      <c r="J93" s="269">
        <f t="shared" ca="1" si="44"/>
        <v>0.65610734446635266</v>
      </c>
      <c r="K93" s="269">
        <f t="shared" ca="1" si="44"/>
        <v>0.60599307517166134</v>
      </c>
      <c r="L93" s="144">
        <f t="shared" ca="1" si="44"/>
        <v>0.55958544573674873</v>
      </c>
      <c r="M93" s="144">
        <f t="shared" ca="1" si="44"/>
        <v>0.51666426307461399</v>
      </c>
      <c r="N93" s="144">
        <f t="shared" ca="1" si="44"/>
        <v>0.47699768875309545</v>
      </c>
      <c r="O93" s="144">
        <f t="shared" ca="1" si="44"/>
        <v>0.44112348850866034</v>
      </c>
      <c r="P93" s="144">
        <f t="shared" ca="1" si="44"/>
        <v>0.40765694403832708</v>
      </c>
      <c r="Q93" s="144">
        <f t="shared" ca="1" si="44"/>
        <v>0.37656532827549305</v>
      </c>
      <c r="R93" s="144">
        <f t="shared" ca="1" si="44"/>
        <v>0.34775306745862439</v>
      </c>
      <c r="S93" s="144">
        <f t="shared" ca="1" si="44"/>
        <v>0.32109401399602622</v>
      </c>
      <c r="T93" s="144">
        <f t="shared" ca="1" si="44"/>
        <v>0.29641941171978842</v>
      </c>
      <c r="U93" s="144">
        <f t="shared" ca="1" si="44"/>
        <v>0.27363640723497518</v>
      </c>
      <c r="V93" s="144">
        <f t="shared" ca="1" si="44"/>
        <v>0.25260200910006758</v>
      </c>
      <c r="W93" s="144">
        <f t="shared" ca="1" si="44"/>
        <v>0.23318313128495133</v>
      </c>
      <c r="X93" s="144">
        <f t="shared" ca="1" si="44"/>
        <v>0.21525631650150071</v>
      </c>
      <c r="Y93" s="144">
        <f t="shared" ca="1" si="44"/>
        <v>0.21525631650150071</v>
      </c>
      <c r="Z93" s="144">
        <f t="shared" ca="1" si="44"/>
        <v>0.21525631650150071</v>
      </c>
      <c r="AA93" s="144">
        <f t="shared" ca="1" si="44"/>
        <v>0.21525631650150071</v>
      </c>
      <c r="AB93" s="144">
        <f t="shared" ca="1" si="44"/>
        <v>0.21525631650150071</v>
      </c>
      <c r="AC93" s="144">
        <f t="shared" ca="1" si="44"/>
        <v>0.21525631650150071</v>
      </c>
      <c r="AD93" s="144">
        <f t="shared" ca="1" si="44"/>
        <v>0.21525631650150071</v>
      </c>
      <c r="AE93" s="144">
        <f t="shared" ca="1" si="44"/>
        <v>0.21525631650150071</v>
      </c>
      <c r="AF93" s="144">
        <f t="shared" ca="1" si="44"/>
        <v>0.21525631650150071</v>
      </c>
      <c r="AG93" s="144">
        <f t="shared" ca="1" si="44"/>
        <v>0.21525631650150071</v>
      </c>
      <c r="AH93" s="144">
        <f t="shared" ca="1" si="44"/>
        <v>0.21525631650150071</v>
      </c>
      <c r="AI93" s="144">
        <f t="shared" ca="1" si="44"/>
        <v>0.21525631650150071</v>
      </c>
      <c r="AJ93" s="144">
        <f t="shared" ca="1" si="44"/>
        <v>0.21525631650150071</v>
      </c>
      <c r="AK93" s="144">
        <f t="shared" ca="1" si="44"/>
        <v>0.21525631650150071</v>
      </c>
      <c r="AL93" s="144">
        <f t="shared" ca="1" si="44"/>
        <v>0.21525631650150071</v>
      </c>
      <c r="AM93" s="144">
        <f t="shared" ca="1" si="44"/>
        <v>0.21525631650150071</v>
      </c>
      <c r="AN93" s="144">
        <f t="shared" ca="1" si="44"/>
        <v>0.21525631650150071</v>
      </c>
      <c r="AO93" s="144">
        <f t="shared" ca="1" si="44"/>
        <v>0.21525631650150071</v>
      </c>
      <c r="AP93" s="144">
        <f t="shared" ca="1" si="44"/>
        <v>0.21525631650150071</v>
      </c>
      <c r="AQ93" s="144">
        <f t="shared" ca="1" si="44"/>
        <v>0.21525631650150071</v>
      </c>
      <c r="AR93" s="145">
        <f t="shared" ca="1" si="44"/>
        <v>0.21525631650150071</v>
      </c>
    </row>
    <row r="94" spans="1:44" s="3" customFormat="1"/>
    <row r="95" spans="1:44" s="3" customFormat="1">
      <c r="B95" s="4" t="s">
        <v>165</v>
      </c>
      <c r="C95" s="12"/>
    </row>
    <row r="96" spans="1:44" s="13" customFormat="1">
      <c r="C96" s="138" t="s">
        <v>166</v>
      </c>
      <c r="D96" s="147"/>
      <c r="E96" s="148">
        <f>D99</f>
        <v>100</v>
      </c>
      <c r="F96" s="148">
        <f t="shared" ref="F96:AR96" si="45">E99</f>
        <v>105.98121888933633</v>
      </c>
      <c r="G96" s="148">
        <f t="shared" si="45"/>
        <v>113.07809353159843</v>
      </c>
      <c r="H96" s="148">
        <f t="shared" si="45"/>
        <v>121.26857114190128</v>
      </c>
      <c r="I96" s="148">
        <f t="shared" si="45"/>
        <v>130.52282647363782</v>
      </c>
      <c r="J96" s="148">
        <f t="shared" si="45"/>
        <v>140.82282467164859</v>
      </c>
      <c r="K96" s="148">
        <f t="shared" ca="1" si="45"/>
        <v>152.41408413334466</v>
      </c>
      <c r="L96" s="148">
        <f t="shared" ca="1" si="45"/>
        <v>165.01838733334165</v>
      </c>
      <c r="M96" s="148">
        <f t="shared" ca="1" si="45"/>
        <v>178.70371855068583</v>
      </c>
      <c r="N96" s="148">
        <f t="shared" ca="1" si="45"/>
        <v>193.5492875100567</v>
      </c>
      <c r="O96" s="148">
        <f t="shared" ca="1" si="45"/>
        <v>209.64462167816129</v>
      </c>
      <c r="P96" s="148">
        <f t="shared" ca="1" si="45"/>
        <v>226.69389095121102</v>
      </c>
      <c r="Q96" s="148">
        <f t="shared" ca="1" si="45"/>
        <v>245.3042968172725</v>
      </c>
      <c r="R96" s="148">
        <f t="shared" ca="1" si="45"/>
        <v>265.55817142793506</v>
      </c>
      <c r="S96" s="148">
        <f t="shared" ca="1" si="45"/>
        <v>287.56036785181777</v>
      </c>
      <c r="T96" s="148">
        <f t="shared" ca="1" si="45"/>
        <v>311.43526705931561</v>
      </c>
      <c r="U96" s="148">
        <f t="shared" ca="1" si="45"/>
        <v>337.35982208389299</v>
      </c>
      <c r="V96" s="148">
        <f t="shared" ca="1" si="45"/>
        <v>365.44844675631464</v>
      </c>
      <c r="W96" s="148">
        <f t="shared" ca="1" si="45"/>
        <v>395.87966998467272</v>
      </c>
      <c r="X96" s="148">
        <f t="shared" ca="1" si="45"/>
        <v>428.84748759034113</v>
      </c>
      <c r="Y96" s="148">
        <f t="shared" ca="1" si="45"/>
        <v>464.56244176835986</v>
      </c>
      <c r="Z96" s="148">
        <f t="shared" si="45"/>
        <v>0</v>
      </c>
      <c r="AA96" s="148">
        <f t="shared" si="45"/>
        <v>0</v>
      </c>
      <c r="AB96" s="148">
        <f t="shared" si="45"/>
        <v>0</v>
      </c>
      <c r="AC96" s="148">
        <f t="shared" si="45"/>
        <v>0</v>
      </c>
      <c r="AD96" s="148">
        <f t="shared" si="45"/>
        <v>0</v>
      </c>
      <c r="AE96" s="148">
        <f t="shared" si="45"/>
        <v>0</v>
      </c>
      <c r="AF96" s="148">
        <f t="shared" si="45"/>
        <v>0</v>
      </c>
      <c r="AG96" s="148">
        <f t="shared" si="45"/>
        <v>0</v>
      </c>
      <c r="AH96" s="148">
        <f t="shared" si="45"/>
        <v>0</v>
      </c>
      <c r="AI96" s="148">
        <f t="shared" si="45"/>
        <v>0</v>
      </c>
      <c r="AJ96" s="148">
        <f t="shared" si="45"/>
        <v>0</v>
      </c>
      <c r="AK96" s="148">
        <f t="shared" si="45"/>
        <v>0</v>
      </c>
      <c r="AL96" s="148">
        <f t="shared" si="45"/>
        <v>0</v>
      </c>
      <c r="AM96" s="148">
        <f t="shared" si="45"/>
        <v>0</v>
      </c>
      <c r="AN96" s="148">
        <f t="shared" si="45"/>
        <v>0</v>
      </c>
      <c r="AO96" s="148">
        <f t="shared" si="45"/>
        <v>0</v>
      </c>
      <c r="AP96" s="148">
        <f t="shared" si="45"/>
        <v>0</v>
      </c>
      <c r="AQ96" s="148">
        <f t="shared" si="45"/>
        <v>0</v>
      </c>
      <c r="AR96" s="149">
        <f t="shared" si="45"/>
        <v>0</v>
      </c>
    </row>
    <row r="97" spans="2:44" s="13" customFormat="1">
      <c r="C97" s="13" t="s">
        <v>128</v>
      </c>
      <c r="D97" s="213"/>
      <c r="E97" s="165">
        <f>E96*DepRate</f>
        <v>5</v>
      </c>
      <c r="F97" s="165">
        <f t="shared" ref="F97:AR97" si="46">F96*DepRate</f>
        <v>5.2990609444668166</v>
      </c>
      <c r="G97" s="165">
        <f t="shared" si="46"/>
        <v>5.6539046765799217</v>
      </c>
      <c r="H97" s="165">
        <f t="shared" si="46"/>
        <v>6.0634285570950643</v>
      </c>
      <c r="I97" s="165">
        <f t="shared" si="46"/>
        <v>6.526141323681891</v>
      </c>
      <c r="J97" s="165">
        <f t="shared" si="46"/>
        <v>7.0411412335824295</v>
      </c>
      <c r="K97" s="165">
        <f t="shared" ca="1" si="46"/>
        <v>7.6207042066672335</v>
      </c>
      <c r="L97" s="165">
        <f t="shared" ca="1" si="46"/>
        <v>8.2509193666670821</v>
      </c>
      <c r="M97" s="165">
        <f t="shared" ca="1" si="46"/>
        <v>8.9351859275342917</v>
      </c>
      <c r="N97" s="165">
        <f t="shared" ca="1" si="46"/>
        <v>9.6774643755028364</v>
      </c>
      <c r="O97" s="165">
        <f t="shared" ca="1" si="46"/>
        <v>10.482231083908065</v>
      </c>
      <c r="P97" s="165">
        <f t="shared" ca="1" si="46"/>
        <v>11.334694547560552</v>
      </c>
      <c r="Q97" s="165">
        <f t="shared" ca="1" si="46"/>
        <v>12.265214840863626</v>
      </c>
      <c r="R97" s="165">
        <f t="shared" ca="1" si="46"/>
        <v>13.277908571396754</v>
      </c>
      <c r="S97" s="165">
        <f t="shared" ca="1" si="46"/>
        <v>14.378018392590889</v>
      </c>
      <c r="T97" s="165">
        <f t="shared" ca="1" si="46"/>
        <v>15.571763352965782</v>
      </c>
      <c r="U97" s="165">
        <f t="shared" ca="1" si="46"/>
        <v>16.867991104194651</v>
      </c>
      <c r="V97" s="165">
        <f t="shared" ca="1" si="46"/>
        <v>18.272422337815733</v>
      </c>
      <c r="W97" s="165">
        <f t="shared" ca="1" si="46"/>
        <v>19.793983499233637</v>
      </c>
      <c r="X97" s="165">
        <f t="shared" ca="1" si="46"/>
        <v>21.442374379517059</v>
      </c>
      <c r="Y97" s="165">
        <f t="shared" ca="1" si="46"/>
        <v>23.228122088417994</v>
      </c>
      <c r="Z97" s="165">
        <f t="shared" si="46"/>
        <v>0</v>
      </c>
      <c r="AA97" s="165">
        <f t="shared" si="46"/>
        <v>0</v>
      </c>
      <c r="AB97" s="165">
        <f t="shared" si="46"/>
        <v>0</v>
      </c>
      <c r="AC97" s="165">
        <f t="shared" si="46"/>
        <v>0</v>
      </c>
      <c r="AD97" s="165">
        <f t="shared" si="46"/>
        <v>0</v>
      </c>
      <c r="AE97" s="165">
        <f t="shared" si="46"/>
        <v>0</v>
      </c>
      <c r="AF97" s="165">
        <f t="shared" si="46"/>
        <v>0</v>
      </c>
      <c r="AG97" s="165">
        <f t="shared" si="46"/>
        <v>0</v>
      </c>
      <c r="AH97" s="165">
        <f t="shared" si="46"/>
        <v>0</v>
      </c>
      <c r="AI97" s="165">
        <f t="shared" si="46"/>
        <v>0</v>
      </c>
      <c r="AJ97" s="165">
        <f t="shared" si="46"/>
        <v>0</v>
      </c>
      <c r="AK97" s="165">
        <f t="shared" si="46"/>
        <v>0</v>
      </c>
      <c r="AL97" s="165">
        <f t="shared" si="46"/>
        <v>0</v>
      </c>
      <c r="AM97" s="165">
        <f t="shared" si="46"/>
        <v>0</v>
      </c>
      <c r="AN97" s="165">
        <f t="shared" si="46"/>
        <v>0</v>
      </c>
      <c r="AO97" s="165">
        <f t="shared" si="46"/>
        <v>0</v>
      </c>
      <c r="AP97" s="165">
        <f t="shared" si="46"/>
        <v>0</v>
      </c>
      <c r="AQ97" s="165">
        <f t="shared" si="46"/>
        <v>0</v>
      </c>
      <c r="AR97" s="166">
        <f t="shared" si="46"/>
        <v>0</v>
      </c>
    </row>
    <row r="98" spans="2:44" s="13" customFormat="1">
      <c r="C98" s="138" t="s">
        <v>129</v>
      </c>
      <c r="D98" s="213"/>
      <c r="E98" s="165">
        <f>E99-E96+E97</f>
        <v>10.981218889336333</v>
      </c>
      <c r="F98" s="165">
        <f t="shared" ref="F98:AR98" si="47">F99-F96+F97</f>
        <v>12.39593558672891</v>
      </c>
      <c r="G98" s="165">
        <f t="shared" si="47"/>
        <v>13.844382286882771</v>
      </c>
      <c r="H98" s="165">
        <f t="shared" si="47"/>
        <v>15.31768388883161</v>
      </c>
      <c r="I98" s="165">
        <f t="shared" si="47"/>
        <v>16.82613952169266</v>
      </c>
      <c r="J98" s="165">
        <f t="shared" ca="1" si="47"/>
        <v>18.632400695278498</v>
      </c>
      <c r="K98" s="165">
        <f t="shared" ca="1" si="47"/>
        <v>20.225007406664226</v>
      </c>
      <c r="L98" s="165">
        <f t="shared" ca="1" si="47"/>
        <v>21.936250584011269</v>
      </c>
      <c r="M98" s="165">
        <f t="shared" ca="1" si="47"/>
        <v>23.780754886905157</v>
      </c>
      <c r="N98" s="165">
        <f t="shared" ca="1" si="47"/>
        <v>25.772798543607422</v>
      </c>
      <c r="O98" s="165">
        <f t="shared" ca="1" si="47"/>
        <v>27.531500356957796</v>
      </c>
      <c r="P98" s="165">
        <f t="shared" ca="1" si="47"/>
        <v>29.945100413622036</v>
      </c>
      <c r="Q98" s="165">
        <f t="shared" ca="1" si="47"/>
        <v>32.519089451526192</v>
      </c>
      <c r="R98" s="165">
        <f t="shared" ca="1" si="47"/>
        <v>35.280104995279459</v>
      </c>
      <c r="S98" s="165">
        <f t="shared" ca="1" si="47"/>
        <v>38.252917600088722</v>
      </c>
      <c r="T98" s="165">
        <f t="shared" ca="1" si="47"/>
        <v>41.496318377543169</v>
      </c>
      <c r="U98" s="165">
        <f t="shared" ca="1" si="47"/>
        <v>44.956615776616296</v>
      </c>
      <c r="V98" s="165">
        <f t="shared" ca="1" si="47"/>
        <v>48.703645566173812</v>
      </c>
      <c r="W98" s="165">
        <f t="shared" ca="1" si="47"/>
        <v>52.761801104902048</v>
      </c>
      <c r="X98" s="165">
        <f t="shared" ca="1" si="47"/>
        <v>57.157328557535791</v>
      </c>
      <c r="Y98" s="165">
        <f t="shared" ca="1" si="47"/>
        <v>-441.33431967994187</v>
      </c>
      <c r="Z98" s="165">
        <f t="shared" si="47"/>
        <v>0</v>
      </c>
      <c r="AA98" s="165">
        <f t="shared" si="47"/>
        <v>0</v>
      </c>
      <c r="AB98" s="165">
        <f t="shared" si="47"/>
        <v>0</v>
      </c>
      <c r="AC98" s="165">
        <f t="shared" si="47"/>
        <v>0</v>
      </c>
      <c r="AD98" s="165">
        <f t="shared" si="47"/>
        <v>0</v>
      </c>
      <c r="AE98" s="165">
        <f t="shared" si="47"/>
        <v>0</v>
      </c>
      <c r="AF98" s="165">
        <f t="shared" si="47"/>
        <v>0</v>
      </c>
      <c r="AG98" s="165">
        <f t="shared" si="47"/>
        <v>0</v>
      </c>
      <c r="AH98" s="165">
        <f t="shared" si="47"/>
        <v>0</v>
      </c>
      <c r="AI98" s="165">
        <f t="shared" si="47"/>
        <v>0</v>
      </c>
      <c r="AJ98" s="165">
        <f t="shared" si="47"/>
        <v>0</v>
      </c>
      <c r="AK98" s="165">
        <f t="shared" si="47"/>
        <v>0</v>
      </c>
      <c r="AL98" s="165">
        <f t="shared" si="47"/>
        <v>0</v>
      </c>
      <c r="AM98" s="165">
        <f t="shared" si="47"/>
        <v>0</v>
      </c>
      <c r="AN98" s="165">
        <f t="shared" si="47"/>
        <v>0</v>
      </c>
      <c r="AO98" s="165">
        <f t="shared" si="47"/>
        <v>0</v>
      </c>
      <c r="AP98" s="165">
        <f t="shared" si="47"/>
        <v>0</v>
      </c>
      <c r="AQ98" s="165">
        <f t="shared" si="47"/>
        <v>0</v>
      </c>
      <c r="AR98" s="166">
        <f t="shared" si="47"/>
        <v>0</v>
      </c>
    </row>
    <row r="99" spans="2:44" s="13" customFormat="1">
      <c r="C99" s="138" t="s">
        <v>167</v>
      </c>
      <c r="D99" s="150">
        <f>InitAssetBase/MonDenValue</f>
        <v>100</v>
      </c>
      <c r="E99" s="151">
        <f>IF(Year="",,E96*EXP(Inflation_TariffSetting))</f>
        <v>105.98121888933633</v>
      </c>
      <c r="F99" s="151">
        <f t="shared" ref="F99:AR99" si="48">IF(Year="",,IF(MOD(Year,Tariff_Period)=1,E99*EXP(Inflation_Risk),E99*EXP(Inflation_TariffSetting)))</f>
        <v>113.07809353159843</v>
      </c>
      <c r="G99" s="151">
        <f t="shared" si="48"/>
        <v>121.26857114190128</v>
      </c>
      <c r="H99" s="151">
        <f t="shared" si="48"/>
        <v>130.52282647363782</v>
      </c>
      <c r="I99" s="151">
        <f t="shared" si="48"/>
        <v>140.82282467164859</v>
      </c>
      <c r="J99" s="151">
        <f t="shared" ca="1" si="48"/>
        <v>152.41408413334466</v>
      </c>
      <c r="K99" s="151">
        <f t="shared" ca="1" si="48"/>
        <v>165.01838733334165</v>
      </c>
      <c r="L99" s="151">
        <f t="shared" ca="1" si="48"/>
        <v>178.70371855068583</v>
      </c>
      <c r="M99" s="151">
        <f t="shared" ca="1" si="48"/>
        <v>193.5492875100567</v>
      </c>
      <c r="N99" s="151">
        <f t="shared" ca="1" si="48"/>
        <v>209.64462167816129</v>
      </c>
      <c r="O99" s="151">
        <f t="shared" ca="1" si="48"/>
        <v>226.69389095121102</v>
      </c>
      <c r="P99" s="151">
        <f t="shared" ca="1" si="48"/>
        <v>245.3042968172725</v>
      </c>
      <c r="Q99" s="151">
        <f t="shared" ca="1" si="48"/>
        <v>265.55817142793506</v>
      </c>
      <c r="R99" s="151">
        <f t="shared" ca="1" si="48"/>
        <v>287.56036785181777</v>
      </c>
      <c r="S99" s="151">
        <f t="shared" ca="1" si="48"/>
        <v>311.43526705931561</v>
      </c>
      <c r="T99" s="151">
        <f t="shared" ca="1" si="48"/>
        <v>337.35982208389299</v>
      </c>
      <c r="U99" s="151">
        <f t="shared" ca="1" si="48"/>
        <v>365.44844675631464</v>
      </c>
      <c r="V99" s="151">
        <f t="shared" ca="1" si="48"/>
        <v>395.87966998467272</v>
      </c>
      <c r="W99" s="151">
        <f t="shared" ca="1" si="48"/>
        <v>428.84748759034113</v>
      </c>
      <c r="X99" s="151">
        <f t="shared" ca="1" si="48"/>
        <v>464.56244176835986</v>
      </c>
      <c r="Y99" s="151">
        <f t="shared" si="48"/>
        <v>0</v>
      </c>
      <c r="Z99" s="151">
        <f t="shared" si="48"/>
        <v>0</v>
      </c>
      <c r="AA99" s="151">
        <f t="shared" si="48"/>
        <v>0</v>
      </c>
      <c r="AB99" s="151">
        <f t="shared" si="48"/>
        <v>0</v>
      </c>
      <c r="AC99" s="151">
        <f t="shared" si="48"/>
        <v>0</v>
      </c>
      <c r="AD99" s="151">
        <f t="shared" si="48"/>
        <v>0</v>
      </c>
      <c r="AE99" s="151">
        <f t="shared" si="48"/>
        <v>0</v>
      </c>
      <c r="AF99" s="151">
        <f t="shared" si="48"/>
        <v>0</v>
      </c>
      <c r="AG99" s="151">
        <f t="shared" si="48"/>
        <v>0</v>
      </c>
      <c r="AH99" s="151">
        <f t="shared" si="48"/>
        <v>0</v>
      </c>
      <c r="AI99" s="151">
        <f t="shared" si="48"/>
        <v>0</v>
      </c>
      <c r="AJ99" s="151">
        <f t="shared" si="48"/>
        <v>0</v>
      </c>
      <c r="AK99" s="151">
        <f t="shared" si="48"/>
        <v>0</v>
      </c>
      <c r="AL99" s="151">
        <f t="shared" si="48"/>
        <v>0</v>
      </c>
      <c r="AM99" s="151">
        <f t="shared" si="48"/>
        <v>0</v>
      </c>
      <c r="AN99" s="151">
        <f t="shared" si="48"/>
        <v>0</v>
      </c>
      <c r="AO99" s="151">
        <f t="shared" si="48"/>
        <v>0</v>
      </c>
      <c r="AP99" s="151">
        <f t="shared" si="48"/>
        <v>0</v>
      </c>
      <c r="AQ99" s="151">
        <f t="shared" si="48"/>
        <v>0</v>
      </c>
      <c r="AR99" s="152">
        <f t="shared" si="48"/>
        <v>0</v>
      </c>
    </row>
    <row r="100" spans="2:44" s="3" customFormat="1">
      <c r="B100" s="4" t="s">
        <v>168</v>
      </c>
      <c r="C100" s="12"/>
      <c r="E100" s="212"/>
      <c r="F100" s="212"/>
      <c r="G100" s="212"/>
      <c r="H100" s="212"/>
      <c r="I100" s="212"/>
      <c r="J100" s="212"/>
      <c r="K100" s="212"/>
      <c r="L100" s="212"/>
      <c r="M100" s="212"/>
      <c r="N100" s="212"/>
    </row>
    <row r="101" spans="2:44" s="13" customFormat="1">
      <c r="C101" s="138" t="s">
        <v>131</v>
      </c>
      <c r="D101" s="147"/>
      <c r="E101" s="148">
        <f>D104</f>
        <v>0</v>
      </c>
      <c r="F101" s="148">
        <f>E104</f>
        <v>0.55173822553788499</v>
      </c>
      <c r="G101" s="148">
        <f t="shared" ref="G101:AR101" si="49">F104</f>
        <v>1.5081568841729602</v>
      </c>
      <c r="H101" s="148">
        <f t="shared" si="49"/>
        <v>4.1147247593386007</v>
      </c>
      <c r="I101" s="148">
        <f t="shared" si="49"/>
        <v>10.515531906161323</v>
      </c>
      <c r="J101" s="148">
        <f t="shared" si="49"/>
        <v>23.041496347070989</v>
      </c>
      <c r="K101" s="148">
        <f t="shared" ca="1" si="49"/>
        <v>39.620818835538358</v>
      </c>
      <c r="L101" s="148">
        <f t="shared" ca="1" si="49"/>
        <v>52.934012068590206</v>
      </c>
      <c r="M101" s="148">
        <f t="shared" ca="1" si="49"/>
        <v>59.332578883322206</v>
      </c>
      <c r="N101" s="148">
        <f t="shared" ca="1" si="49"/>
        <v>60.646485981728503</v>
      </c>
      <c r="O101" s="148">
        <f t="shared" ca="1" si="49"/>
        <v>60.533882328753833</v>
      </c>
      <c r="P101" s="148">
        <f t="shared" ca="1" si="49"/>
        <v>57.507188212316144</v>
      </c>
      <c r="Q101" s="148">
        <f t="shared" ca="1" si="49"/>
        <v>54.631828801700337</v>
      </c>
      <c r="R101" s="148">
        <f t="shared" ca="1" si="49"/>
        <v>51.900237361615318</v>
      </c>
      <c r="S101" s="148">
        <f t="shared" ca="1" si="49"/>
        <v>49.30522549353455</v>
      </c>
      <c r="T101" s="148">
        <f t="shared" ca="1" si="49"/>
        <v>46.839964218857823</v>
      </c>
      <c r="U101" s="148">
        <f t="shared" ca="1" si="49"/>
        <v>44.497966007914933</v>
      </c>
      <c r="V101" s="148">
        <f t="shared" ca="1" si="49"/>
        <v>42.273067707519189</v>
      </c>
      <c r="W101" s="148">
        <f t="shared" ca="1" si="49"/>
        <v>40.159414322143228</v>
      </c>
      <c r="X101" s="148">
        <f t="shared" ca="1" si="49"/>
        <v>38.151443606036068</v>
      </c>
      <c r="Y101" s="148">
        <f t="shared" ca="1" si="49"/>
        <v>36.243871425734262</v>
      </c>
      <c r="Z101" s="148">
        <f t="shared" ca="1" si="49"/>
        <v>34.43167785444755</v>
      </c>
      <c r="AA101" s="148">
        <f t="shared" ca="1" si="49"/>
        <v>32.710093961725171</v>
      </c>
      <c r="AB101" s="148">
        <f t="shared" ca="1" si="49"/>
        <v>31.074589263638913</v>
      </c>
      <c r="AC101" s="148">
        <f t="shared" ca="1" si="49"/>
        <v>29.520859800456968</v>
      </c>
      <c r="AD101" s="148">
        <f t="shared" ca="1" si="49"/>
        <v>28.044816810434121</v>
      </c>
      <c r="AE101" s="148">
        <f t="shared" ca="1" si="49"/>
        <v>26.642575969912414</v>
      </c>
      <c r="AF101" s="148">
        <f t="shared" ca="1" si="49"/>
        <v>25.310447171416794</v>
      </c>
      <c r="AG101" s="148">
        <f t="shared" ca="1" si="49"/>
        <v>24.044924812845952</v>
      </c>
      <c r="AH101" s="148">
        <f t="shared" ca="1" si="49"/>
        <v>22.842678572203653</v>
      </c>
      <c r="AI101" s="148">
        <f t="shared" ca="1" si="49"/>
        <v>21.700544643593471</v>
      </c>
      <c r="AJ101" s="148">
        <f t="shared" ca="1" si="49"/>
        <v>20.615517411413798</v>
      </c>
      <c r="AK101" s="148">
        <f t="shared" ca="1" si="49"/>
        <v>19.584741540843108</v>
      </c>
      <c r="AL101" s="148">
        <f t="shared" ca="1" si="49"/>
        <v>18.605504463800951</v>
      </c>
      <c r="AM101" s="148">
        <f t="shared" ca="1" si="49"/>
        <v>17.675229240610904</v>
      </c>
      <c r="AN101" s="148">
        <f t="shared" ca="1" si="49"/>
        <v>16.791467778580358</v>
      </c>
      <c r="AO101" s="148">
        <f t="shared" ca="1" si="49"/>
        <v>15.95189438965134</v>
      </c>
      <c r="AP101" s="148">
        <f t="shared" ca="1" si="49"/>
        <v>15.154299670168772</v>
      </c>
      <c r="AQ101" s="148">
        <f t="shared" ca="1" si="49"/>
        <v>14.396584686660333</v>
      </c>
      <c r="AR101" s="149">
        <f t="shared" ca="1" si="49"/>
        <v>13.676755452327317</v>
      </c>
    </row>
    <row r="102" spans="2:44" s="13" customFormat="1">
      <c r="C102" s="13" t="s">
        <v>132</v>
      </c>
      <c r="D102" s="213"/>
      <c r="E102" s="165">
        <f>Connections_New*InvestPerConnection/(DeflateFactor_TariffSetting*MonDenValue)</f>
        <v>0.58077707951356317</v>
      </c>
      <c r="F102" s="165">
        <f t="shared" ref="F102:AR102" si="50">Connections_New*InvestPerConnection/(DeflateFactor_TariffSetting*MonDenValue)</f>
        <v>1.0357953367494417</v>
      </c>
      <c r="G102" s="165">
        <f t="shared" si="50"/>
        <v>2.8231323361834617</v>
      </c>
      <c r="H102" s="165">
        <f t="shared" si="50"/>
        <v>6.9542561945154242</v>
      </c>
      <c r="I102" s="165">
        <f t="shared" si="50"/>
        <v>13.738674774966036</v>
      </c>
      <c r="J102" s="165">
        <f t="shared" ca="1" si="50"/>
        <v>18.664628742969384</v>
      </c>
      <c r="K102" s="165">
        <f t="shared" ca="1" si="50"/>
        <v>16.099193868240807</v>
      </c>
      <c r="L102" s="165">
        <f t="shared" ca="1" si="50"/>
        <v>9.5213341243805392</v>
      </c>
      <c r="M102" s="165">
        <f t="shared" ca="1" si="50"/>
        <v>4.5058274132341181</v>
      </c>
      <c r="N102" s="165">
        <f t="shared" ca="1" si="50"/>
        <v>3.0733901538018435</v>
      </c>
      <c r="O102" s="165">
        <f t="shared" ca="1" si="50"/>
        <v>0</v>
      </c>
      <c r="P102" s="165">
        <f t="shared" ca="1" si="50"/>
        <v>0</v>
      </c>
      <c r="Q102" s="165">
        <f t="shared" ca="1" si="50"/>
        <v>0</v>
      </c>
      <c r="R102" s="165">
        <f t="shared" ca="1" si="50"/>
        <v>0</v>
      </c>
      <c r="S102" s="165">
        <f t="shared" ca="1" si="50"/>
        <v>0</v>
      </c>
      <c r="T102" s="165">
        <f t="shared" ca="1" si="50"/>
        <v>0</v>
      </c>
      <c r="U102" s="165">
        <f t="shared" ca="1" si="50"/>
        <v>0</v>
      </c>
      <c r="V102" s="165">
        <f t="shared" ca="1" si="50"/>
        <v>0</v>
      </c>
      <c r="W102" s="165">
        <f t="shared" ca="1" si="50"/>
        <v>0</v>
      </c>
      <c r="X102" s="165">
        <f t="shared" ca="1" si="50"/>
        <v>0</v>
      </c>
      <c r="Y102" s="165">
        <f t="shared" ca="1" si="50"/>
        <v>0</v>
      </c>
      <c r="Z102" s="165">
        <f t="shared" ca="1" si="50"/>
        <v>0</v>
      </c>
      <c r="AA102" s="165">
        <f t="shared" ca="1" si="50"/>
        <v>0</v>
      </c>
      <c r="AB102" s="165">
        <f t="shared" ca="1" si="50"/>
        <v>0</v>
      </c>
      <c r="AC102" s="165">
        <f t="shared" ca="1" si="50"/>
        <v>0</v>
      </c>
      <c r="AD102" s="165">
        <f t="shared" ca="1" si="50"/>
        <v>0</v>
      </c>
      <c r="AE102" s="165">
        <f t="shared" ca="1" si="50"/>
        <v>0</v>
      </c>
      <c r="AF102" s="165">
        <f t="shared" ca="1" si="50"/>
        <v>0</v>
      </c>
      <c r="AG102" s="165">
        <f t="shared" ca="1" si="50"/>
        <v>0</v>
      </c>
      <c r="AH102" s="165">
        <f t="shared" ca="1" si="50"/>
        <v>0</v>
      </c>
      <c r="AI102" s="165">
        <f t="shared" ca="1" si="50"/>
        <v>0</v>
      </c>
      <c r="AJ102" s="165">
        <f t="shared" ca="1" si="50"/>
        <v>0</v>
      </c>
      <c r="AK102" s="165">
        <f t="shared" ca="1" si="50"/>
        <v>0</v>
      </c>
      <c r="AL102" s="165">
        <f t="shared" ca="1" si="50"/>
        <v>0</v>
      </c>
      <c r="AM102" s="165">
        <f t="shared" ca="1" si="50"/>
        <v>0</v>
      </c>
      <c r="AN102" s="165">
        <f t="shared" ca="1" si="50"/>
        <v>0</v>
      </c>
      <c r="AO102" s="165">
        <f t="shared" ca="1" si="50"/>
        <v>0</v>
      </c>
      <c r="AP102" s="165">
        <f t="shared" ca="1" si="50"/>
        <v>0</v>
      </c>
      <c r="AQ102" s="165">
        <f t="shared" ca="1" si="50"/>
        <v>0</v>
      </c>
      <c r="AR102" s="166">
        <f t="shared" ca="1" si="50"/>
        <v>0</v>
      </c>
    </row>
    <row r="103" spans="2:44" s="13" customFormat="1">
      <c r="C103" s="138" t="s">
        <v>128</v>
      </c>
      <c r="D103" s="213"/>
      <c r="E103" s="165">
        <f>(E101+E102)*DepRate</f>
        <v>2.903885397567816E-2</v>
      </c>
      <c r="F103" s="165">
        <f t="shared" ref="F103:AR103" si="51">(F101+F102)*DepRate</f>
        <v>7.9376678114366328E-2</v>
      </c>
      <c r="G103" s="165">
        <f t="shared" si="51"/>
        <v>0.21656446101782112</v>
      </c>
      <c r="H103" s="165">
        <f t="shared" si="51"/>
        <v>0.55344904769270131</v>
      </c>
      <c r="I103" s="165">
        <f t="shared" si="51"/>
        <v>1.2127103340563679</v>
      </c>
      <c r="J103" s="165">
        <f t="shared" ca="1" si="51"/>
        <v>2.0853062545020187</v>
      </c>
      <c r="K103" s="165">
        <f t="shared" ca="1" si="51"/>
        <v>2.7860006351889584</v>
      </c>
      <c r="L103" s="165">
        <f t="shared" ca="1" si="51"/>
        <v>3.1227673096485375</v>
      </c>
      <c r="M103" s="165">
        <f t="shared" ca="1" si="51"/>
        <v>3.1919203148278164</v>
      </c>
      <c r="N103" s="165">
        <f t="shared" ca="1" si="51"/>
        <v>3.1859938067765174</v>
      </c>
      <c r="O103" s="165">
        <f t="shared" ca="1" si="51"/>
        <v>3.0266941164376919</v>
      </c>
      <c r="P103" s="165">
        <f t="shared" ca="1" si="51"/>
        <v>2.8753594106158076</v>
      </c>
      <c r="Q103" s="165">
        <f t="shared" ca="1" si="51"/>
        <v>2.7315914400850172</v>
      </c>
      <c r="R103" s="165">
        <f t="shared" ca="1" si="51"/>
        <v>2.5950118680807659</v>
      </c>
      <c r="S103" s="165">
        <f t="shared" ca="1" si="51"/>
        <v>2.4652612746767275</v>
      </c>
      <c r="T103" s="165">
        <f t="shared" ca="1" si="51"/>
        <v>2.3419982109428914</v>
      </c>
      <c r="U103" s="165">
        <f t="shared" ca="1" si="51"/>
        <v>2.2248983003957465</v>
      </c>
      <c r="V103" s="165">
        <f t="shared" ca="1" si="51"/>
        <v>2.1136533853759594</v>
      </c>
      <c r="W103" s="165">
        <f t="shared" ca="1" si="51"/>
        <v>2.0079707161071614</v>
      </c>
      <c r="X103" s="165">
        <f t="shared" ca="1" si="51"/>
        <v>1.9075721803018035</v>
      </c>
      <c r="Y103" s="165">
        <f t="shared" ca="1" si="51"/>
        <v>1.8121935712867132</v>
      </c>
      <c r="Z103" s="165">
        <f t="shared" ca="1" si="51"/>
        <v>1.7215838927223777</v>
      </c>
      <c r="AA103" s="165">
        <f t="shared" ca="1" si="51"/>
        <v>1.6355046980862586</v>
      </c>
      <c r="AB103" s="165">
        <f t="shared" ca="1" si="51"/>
        <v>1.5537294631819458</v>
      </c>
      <c r="AC103" s="165">
        <f t="shared" ca="1" si="51"/>
        <v>1.4760429900228484</v>
      </c>
      <c r="AD103" s="165">
        <f t="shared" ca="1" si="51"/>
        <v>1.4022408405217062</v>
      </c>
      <c r="AE103" s="165">
        <f t="shared" ca="1" si="51"/>
        <v>1.3321287984956207</v>
      </c>
      <c r="AF103" s="165">
        <f t="shared" ca="1" si="51"/>
        <v>1.2655223585708397</v>
      </c>
      <c r="AG103" s="165">
        <f t="shared" ca="1" si="51"/>
        <v>1.2022462406422978</v>
      </c>
      <c r="AH103" s="165">
        <f t="shared" ca="1" si="51"/>
        <v>1.1421339286101826</v>
      </c>
      <c r="AI103" s="165">
        <f t="shared" ca="1" si="51"/>
        <v>1.0850272321796737</v>
      </c>
      <c r="AJ103" s="165">
        <f t="shared" ca="1" si="51"/>
        <v>1.03077587057069</v>
      </c>
      <c r="AK103" s="165">
        <f t="shared" ca="1" si="51"/>
        <v>0.97923707704215546</v>
      </c>
      <c r="AL103" s="165">
        <f t="shared" ca="1" si="51"/>
        <v>0.93027522319004763</v>
      </c>
      <c r="AM103" s="165">
        <f t="shared" ca="1" si="51"/>
        <v>0.88376146203054518</v>
      </c>
      <c r="AN103" s="165">
        <f t="shared" ca="1" si="51"/>
        <v>0.83957338892901801</v>
      </c>
      <c r="AO103" s="165">
        <f t="shared" ca="1" si="51"/>
        <v>0.79759471948256699</v>
      </c>
      <c r="AP103" s="165">
        <f t="shared" ca="1" si="51"/>
        <v>0.75771498350843869</v>
      </c>
      <c r="AQ103" s="165">
        <f t="shared" ca="1" si="51"/>
        <v>0.71982923433301671</v>
      </c>
      <c r="AR103" s="166">
        <f t="shared" ca="1" si="51"/>
        <v>0.68383777261636591</v>
      </c>
    </row>
    <row r="104" spans="2:44" s="13" customFormat="1">
      <c r="C104" s="138" t="s">
        <v>133</v>
      </c>
      <c r="D104" s="150">
        <v>0</v>
      </c>
      <c r="E104" s="151">
        <f>E101+E102-E103</f>
        <v>0.55173822553788499</v>
      </c>
      <c r="F104" s="151">
        <f>F101+F102-F103</f>
        <v>1.5081568841729602</v>
      </c>
      <c r="G104" s="151">
        <f t="shared" ref="G104:AR104" si="52">G101+G102-G103</f>
        <v>4.1147247593386007</v>
      </c>
      <c r="H104" s="151">
        <f t="shared" si="52"/>
        <v>10.515531906161323</v>
      </c>
      <c r="I104" s="151">
        <f t="shared" si="52"/>
        <v>23.041496347070989</v>
      </c>
      <c r="J104" s="151">
        <f t="shared" ca="1" si="52"/>
        <v>39.620818835538358</v>
      </c>
      <c r="K104" s="151">
        <f t="shared" ca="1" si="52"/>
        <v>52.934012068590206</v>
      </c>
      <c r="L104" s="151">
        <f t="shared" ca="1" si="52"/>
        <v>59.332578883322206</v>
      </c>
      <c r="M104" s="151">
        <f t="shared" ca="1" si="52"/>
        <v>60.646485981728503</v>
      </c>
      <c r="N104" s="151">
        <f t="shared" ca="1" si="52"/>
        <v>60.533882328753833</v>
      </c>
      <c r="O104" s="151">
        <f t="shared" ca="1" si="52"/>
        <v>57.507188212316144</v>
      </c>
      <c r="P104" s="151">
        <f t="shared" ca="1" si="52"/>
        <v>54.631828801700337</v>
      </c>
      <c r="Q104" s="151">
        <f t="shared" ca="1" si="52"/>
        <v>51.900237361615318</v>
      </c>
      <c r="R104" s="151">
        <f t="shared" ca="1" si="52"/>
        <v>49.30522549353455</v>
      </c>
      <c r="S104" s="151">
        <f t="shared" ca="1" si="52"/>
        <v>46.839964218857823</v>
      </c>
      <c r="T104" s="151">
        <f t="shared" ca="1" si="52"/>
        <v>44.497966007914933</v>
      </c>
      <c r="U104" s="151">
        <f t="shared" ca="1" si="52"/>
        <v>42.273067707519189</v>
      </c>
      <c r="V104" s="151">
        <f t="shared" ca="1" si="52"/>
        <v>40.159414322143228</v>
      </c>
      <c r="W104" s="151">
        <f t="shared" ca="1" si="52"/>
        <v>38.151443606036068</v>
      </c>
      <c r="X104" s="151">
        <f t="shared" ca="1" si="52"/>
        <v>36.243871425734262</v>
      </c>
      <c r="Y104" s="151">
        <f t="shared" ca="1" si="52"/>
        <v>34.43167785444755</v>
      </c>
      <c r="Z104" s="151">
        <f t="shared" ca="1" si="52"/>
        <v>32.710093961725171</v>
      </c>
      <c r="AA104" s="151">
        <f t="shared" ca="1" si="52"/>
        <v>31.074589263638913</v>
      </c>
      <c r="AB104" s="151">
        <f t="shared" ca="1" si="52"/>
        <v>29.520859800456968</v>
      </c>
      <c r="AC104" s="151">
        <f t="shared" ca="1" si="52"/>
        <v>28.044816810434121</v>
      </c>
      <c r="AD104" s="151">
        <f t="shared" ca="1" si="52"/>
        <v>26.642575969912414</v>
      </c>
      <c r="AE104" s="151">
        <f t="shared" ca="1" si="52"/>
        <v>25.310447171416794</v>
      </c>
      <c r="AF104" s="151">
        <f t="shared" ca="1" si="52"/>
        <v>24.044924812845952</v>
      </c>
      <c r="AG104" s="151">
        <f t="shared" ca="1" si="52"/>
        <v>22.842678572203653</v>
      </c>
      <c r="AH104" s="151">
        <f t="shared" ca="1" si="52"/>
        <v>21.700544643593471</v>
      </c>
      <c r="AI104" s="151">
        <f t="shared" ca="1" si="52"/>
        <v>20.615517411413798</v>
      </c>
      <c r="AJ104" s="151">
        <f t="shared" ca="1" si="52"/>
        <v>19.584741540843108</v>
      </c>
      <c r="AK104" s="151">
        <f t="shared" ca="1" si="52"/>
        <v>18.605504463800951</v>
      </c>
      <c r="AL104" s="151">
        <f t="shared" ca="1" si="52"/>
        <v>17.675229240610904</v>
      </c>
      <c r="AM104" s="151">
        <f t="shared" ca="1" si="52"/>
        <v>16.791467778580358</v>
      </c>
      <c r="AN104" s="151">
        <f t="shared" ca="1" si="52"/>
        <v>15.95189438965134</v>
      </c>
      <c r="AO104" s="151">
        <f t="shared" ca="1" si="52"/>
        <v>15.154299670168772</v>
      </c>
      <c r="AP104" s="151">
        <f t="shared" ca="1" si="52"/>
        <v>14.396584686660333</v>
      </c>
      <c r="AQ104" s="151">
        <f t="shared" ca="1" si="52"/>
        <v>13.676755452327317</v>
      </c>
      <c r="AR104" s="152">
        <f t="shared" ca="1" si="52"/>
        <v>12.992917679710951</v>
      </c>
    </row>
    <row r="105" spans="2:44" s="3" customFormat="1">
      <c r="B105" s="4" t="s">
        <v>53</v>
      </c>
      <c r="E105" s="175"/>
      <c r="F105" s="175"/>
      <c r="G105" s="175"/>
      <c r="H105" s="175"/>
      <c r="I105" s="175"/>
      <c r="J105" s="175"/>
      <c r="K105" s="175"/>
      <c r="L105" s="175"/>
      <c r="M105" s="175"/>
      <c r="N105" s="175"/>
      <c r="O105" s="175"/>
      <c r="P105" s="175"/>
      <c r="Q105" s="175"/>
      <c r="R105" s="175"/>
      <c r="S105" s="175"/>
    </row>
    <row r="106" spans="2:44" s="13" customFormat="1">
      <c r="C106" s="138" t="str">
        <f>INDEX(lbl_ResetTypes,4,1)</f>
        <v>No reset</v>
      </c>
      <c r="E106" s="147">
        <f>BilledDemand_Det</f>
        <v>1.4117051345640335</v>
      </c>
      <c r="F106" s="148">
        <f>IF(Year="",,IF('Analysis - No risk'!E21=0,E106,(E106/('Analysis - No risk'!E$17)*EXP(Demand_Growth)*Connections)))</f>
        <v>1.4663223205731397</v>
      </c>
      <c r="G106" s="148">
        <f>IF(Year="",,IF('Analysis - No risk'!F21=0,F106,(F106/('Analysis - No risk'!F$17)*EXP(Demand_Growth)*Connections)))</f>
        <v>1.5636137776346486</v>
      </c>
      <c r="H106" s="148">
        <f>IF(Year="",,IF('Analysis - No risk'!G21=0,G106,(G106/('Analysis - No risk'!G$17)*EXP(Demand_Growth)*Connections)))</f>
        <v>1.7532026231958298</v>
      </c>
      <c r="I106" s="148">
        <f>IF(Year="",,IF('Analysis - No risk'!H21=0,H106,(H106/('Analysis - No risk'!H$17)*EXP(Demand_Growth)*Connections)))</f>
        <v>2.083778215198731</v>
      </c>
      <c r="J106" s="148">
        <f>IF(Year="",,IF('Analysis - No risk'!I21=0,I106,(I106/('Analysis - No risk'!I$17)*EXP(Demand_Growth)*Connections)))</f>
        <v>2.5038488888808801</v>
      </c>
      <c r="K106" s="148">
        <f>IF(Year="",,IF('Analysis - No risk'!J21=0,J106,(J106/('Analysis - No risk'!J$17)*EXP(Demand_Growth)*Connections)))</f>
        <v>2.8616341902584765</v>
      </c>
      <c r="L106" s="148">
        <f>IF(Year="",,IF('Analysis - No risk'!K21=0,K106,(K106/('Analysis - No risk'!K$17)*EXP(Demand_Growth)*Connections)))</f>
        <v>3.0906042901457171</v>
      </c>
      <c r="M106" s="148">
        <f>IF(Year="",,IF('Analysis - No risk'!L21=0,L106,(L106/('Analysis - No risk'!L$17)*EXP(Demand_Growth)*Connections)))</f>
        <v>3.2293361036334907</v>
      </c>
      <c r="N106" s="148">
        <f>IF(Year="",,IF('Analysis - No risk'!M21=0,M106,(M106/('Analysis - No risk'!M$17)*EXP(Demand_Growth)*Connections)))</f>
        <v>3.3435900504634635</v>
      </c>
      <c r="O106" s="148">
        <f>IF(Year="",,IF('Analysis - No risk'!N21=0,N106,(N106/('Analysis - No risk'!N$17)*EXP(Demand_Growth)*Connections)))</f>
        <v>3.4111350499829531</v>
      </c>
      <c r="P106" s="148">
        <f>IF(Year="",,IF('Analysis - No risk'!O21=0,O106,(O106/('Analysis - No risk'!O$17)*EXP(Demand_Growth)*Connections)))</f>
        <v>3.4800445490048433</v>
      </c>
      <c r="Q106" s="148">
        <f>IF(Year="",,IF('Analysis - No risk'!P21=0,P106,(P106/('Analysis - No risk'!P$17)*EXP(Demand_Growth)*Connections)))</f>
        <v>3.5503461122475484</v>
      </c>
      <c r="R106" s="148">
        <f>IF(Year="",,IF('Analysis - No risk'!Q21=0,Q106,(Q106/('Analysis - No risk'!Q$17)*EXP(Demand_Growth)*Connections)))</f>
        <v>3.6220678612737314</v>
      </c>
      <c r="S106" s="148">
        <f>IF(Year="",,IF('Analysis - No risk'!R21=0,R106,(R106/('Analysis - No risk'!R$17)*EXP(Demand_Growth)*Connections)))</f>
        <v>3.6952384857393059</v>
      </c>
      <c r="T106" s="148">
        <f>IF(Year="",,IF('Analysis - No risk'!S21=0,S106,(S106/('Analysis - No risk'!S$17)*EXP(Demand_Growth)*Connections)))</f>
        <v>3.7698872548696798</v>
      </c>
      <c r="U106" s="148">
        <f>IF(Year="",,IF('Analysis - No risk'!T21=0,T106,(T106/('Analysis - No risk'!T$17)*EXP(Demand_Growth)*Connections)))</f>
        <v>3.8460440291678353</v>
      </c>
      <c r="V106" s="148">
        <f>IF(Year="",,IF('Analysis - No risk'!U21=0,U106,(U106/('Analysis - No risk'!U$17)*EXP(Demand_Growth)*Connections)))</f>
        <v>3.9237392723589291</v>
      </c>
      <c r="W106" s="148">
        <f>IF(Year="",,IF('Analysis - No risk'!V21=0,V106,(V106/('Analysis - No risk'!V$17)*EXP(Demand_Growth)*Connections)))</f>
        <v>4.0030040635761868</v>
      </c>
      <c r="X106" s="148">
        <f>IF(Year="",,IF('Analysis - No risk'!W21=0,W106,(W106/('Analysis - No risk'!W$17)*EXP(Demand_Growth)*Connections)))</f>
        <v>4.0838701097929739</v>
      </c>
      <c r="Y106" s="148">
        <f>IF(Year="",,IF('Analysis - No risk'!X21=0,X106,(X106/('Analysis - No risk'!X$17)*EXP(Demand_Growth)*Connections)))</f>
        <v>0</v>
      </c>
      <c r="Z106" s="148">
        <f>IF(Year="",,IF('Analysis - No risk'!Y21=0,Y106,(Y106/('Analysis - No risk'!Y$17)*EXP(Demand_Growth)*Connections)))</f>
        <v>0</v>
      </c>
      <c r="AA106" s="148">
        <f>IF(Year="",,IF('Analysis - No risk'!Z21=0,Z106,(Z106/('Analysis - No risk'!Z$17)*EXP(Demand_Growth)*Connections)))</f>
        <v>0</v>
      </c>
      <c r="AB106" s="148">
        <f>IF(Year="",,IF('Analysis - No risk'!AA21=0,AA106,(AA106/('Analysis - No risk'!AA$17)*EXP(Demand_Growth)*Connections)))</f>
        <v>0</v>
      </c>
      <c r="AC106" s="148">
        <f>IF(Year="",,IF('Analysis - No risk'!AB21=0,AB106,(AB106/('Analysis - No risk'!AB$17)*EXP(Demand_Growth)*Connections)))</f>
        <v>0</v>
      </c>
      <c r="AD106" s="148">
        <f>IF(Year="",,IF('Analysis - No risk'!AC21=0,AC106,(AC106/('Analysis - No risk'!AC$17)*EXP(Demand_Growth)*Connections)))</f>
        <v>0</v>
      </c>
      <c r="AE106" s="148">
        <f>IF(Year="",,IF('Analysis - No risk'!AD21=0,AD106,(AD106/('Analysis - No risk'!AD$17)*EXP(Demand_Growth)*Connections)))</f>
        <v>0</v>
      </c>
      <c r="AF106" s="148">
        <f>IF(Year="",,IF('Analysis - No risk'!AE21=0,AE106,(AE106/('Analysis - No risk'!AE$17)*EXP(Demand_Growth)*Connections)))</f>
        <v>0</v>
      </c>
      <c r="AG106" s="148">
        <f>IF(Year="",,IF('Analysis - No risk'!AF21=0,AF106,(AF106/('Analysis - No risk'!AF$17)*EXP(Demand_Growth)*Connections)))</f>
        <v>0</v>
      </c>
      <c r="AH106" s="148">
        <f>IF(Year="",,IF('Analysis - No risk'!AG21=0,AG106,(AG106/('Analysis - No risk'!AG$17)*EXP(Demand_Growth)*Connections)))</f>
        <v>0</v>
      </c>
      <c r="AI106" s="148">
        <f>IF(Year="",,IF('Analysis - No risk'!AH21=0,AH106,(AH106/('Analysis - No risk'!AH$17)*EXP(Demand_Growth)*Connections)))</f>
        <v>0</v>
      </c>
      <c r="AJ106" s="148">
        <f>IF(Year="",,IF('Analysis - No risk'!AI21=0,AI106,(AI106/('Analysis - No risk'!AI$17)*EXP(Demand_Growth)*Connections)))</f>
        <v>0</v>
      </c>
      <c r="AK106" s="148">
        <f>IF(Year="",,IF('Analysis - No risk'!AJ21=0,AJ106,(AJ106/('Analysis - No risk'!AJ$17)*EXP(Demand_Growth)*Connections)))</f>
        <v>0</v>
      </c>
      <c r="AL106" s="148">
        <f>IF(Year="",,IF('Analysis - No risk'!AK21=0,AK106,(AK106/('Analysis - No risk'!AK$17)*EXP(Demand_Growth)*Connections)))</f>
        <v>0</v>
      </c>
      <c r="AM106" s="148">
        <f>IF(Year="",,IF('Analysis - No risk'!AL21=0,AL106,(AL106/('Analysis - No risk'!AL$17)*EXP(Demand_Growth)*Connections)))</f>
        <v>0</v>
      </c>
      <c r="AN106" s="148">
        <f>IF(Year="",,IF('Analysis - No risk'!AM21=0,AM106,(AM106/('Analysis - No risk'!AM$17)*EXP(Demand_Growth)*Connections)))</f>
        <v>0</v>
      </c>
      <c r="AO106" s="148">
        <f>IF(Year="",,IF('Analysis - No risk'!AN21=0,AN106,(AN106/('Analysis - No risk'!AN$17)*EXP(Demand_Growth)*Connections)))</f>
        <v>0</v>
      </c>
      <c r="AP106" s="148">
        <f>IF(Year="",,IF('Analysis - No risk'!AO21=0,AO106,(AO106/('Analysis - No risk'!AO$17)*EXP(Demand_Growth)*Connections)))</f>
        <v>0</v>
      </c>
      <c r="AQ106" s="148">
        <f>IF(Year="",,IF('Analysis - No risk'!AP21=0,AP106,(AP106/('Analysis - No risk'!AP$17)*EXP(Demand_Growth)*Connections)))</f>
        <v>0</v>
      </c>
      <c r="AR106" s="149">
        <f>IF(Year="",,IF('Analysis - No risk'!AQ21=0,AQ106,(AQ106/('Analysis - No risk'!AQ$17)*EXP(Demand_Growth)*Connections)))</f>
        <v>0</v>
      </c>
    </row>
    <row r="107" spans="2:44" s="13" customFormat="1">
      <c r="C107" s="138" t="str">
        <f>INDEX(lbl_ResetTypes,1,1)</f>
        <v>Full reset</v>
      </c>
      <c r="E107" s="221">
        <f>BilledDemand_Det</f>
        <v>1.4117051345640335</v>
      </c>
      <c r="F107" s="222">
        <f>IF(Year="",,IF(MOD(Year,Tariff_Period)=1,BilledDemand_Risk,(E107/('Analysis - No risk'!E$17)*EXP(Demand_Growth)*Connections)))</f>
        <v>1.4663223205731397</v>
      </c>
      <c r="G107" s="222">
        <f>IF(Year="",,IF(MOD(Year,Tariff_Period)=1,BilledDemand_Risk,(F107/('Analysis - No risk'!F$17)*EXP(Demand_Growth)*Connections)))</f>
        <v>1.5636137776346486</v>
      </c>
      <c r="H107" s="222">
        <f>IF(Year="",,IF(MOD(Year,Tariff_Period)=1,BilledDemand_Risk,(G107/('Analysis - No risk'!G$17)*EXP(Demand_Growth)*Connections)))</f>
        <v>1.7532026231958298</v>
      </c>
      <c r="I107" s="222">
        <f>IF(Year="",,IF(MOD(Year,Tariff_Period)=1,BilledDemand_Risk,(H107/('Analysis - No risk'!H$17)*EXP(Demand_Growth)*Connections)))</f>
        <v>2.083778215198731</v>
      </c>
      <c r="J107" s="222">
        <f ca="1">IF(Year="",,IF(MOD(Year,Tariff_Period)=1,BilledDemand_Risk,(I107/('Analysis - No risk'!I$17)*EXP(Demand_Growth)*Connections)))</f>
        <v>2.720400670622908</v>
      </c>
      <c r="K107" s="222">
        <f ca="1">IF(Year="",,IF(MOD(Year,Tariff_Period)=1,BilledDemand_Risk,(J107/('Analysis - No risk'!J$17)*EXP(Demand_Growth)*Connections)))</f>
        <v>3.109129949825403</v>
      </c>
      <c r="L107" s="222">
        <f ca="1">IF(Year="",,IF(MOD(Year,Tariff_Period)=1,BilledDemand_Risk,(K107/('Analysis - No risk'!K$17)*EXP(Demand_Growth)*Connections)))</f>
        <v>3.3579031150319709</v>
      </c>
      <c r="M107" s="222">
        <f ca="1">IF(Year="",,IF(MOD(Year,Tariff_Period)=1,BilledDemand_Risk,(L107/('Analysis - No risk'!L$17)*EXP(Demand_Growth)*Connections)))</f>
        <v>3.5086335046033468</v>
      </c>
      <c r="N107" s="222">
        <f ca="1">IF(Year="",,IF(MOD(Year,Tariff_Period)=1,BilledDemand_Risk,(M107/('Analysis - No risk'!M$17)*EXP(Demand_Growth)*Connections)))</f>
        <v>3.6327689965485082</v>
      </c>
      <c r="O107" s="222">
        <f ca="1">IF(Year="",,IF(MOD(Year,Tariff_Period)=1,BilledDemand_Risk,(N107/('Analysis - No risk'!N$17)*EXP(Demand_Growth)*Connections)))</f>
        <v>3.3079984468096715</v>
      </c>
      <c r="P107" s="222">
        <f ca="1">IF(Year="",,IF(MOD(Year,Tariff_Period)=1,BilledDemand_Risk,(O107/('Analysis - No risk'!O$17)*EXP(Demand_Growth)*Connections)))</f>
        <v>3.3748244482416538</v>
      </c>
      <c r="Q107" s="222">
        <f ca="1">IF(Year="",,IF(MOD(Year,Tariff_Period)=1,BilledDemand_Risk,(P107/('Analysis - No risk'!P$17)*EXP(Demand_Growth)*Connections)))</f>
        <v>3.443000424451192</v>
      </c>
      <c r="R107" s="222">
        <f ca="1">IF(Year="",,IF(MOD(Year,Tariff_Period)=1,BilledDemand_Risk,(Q107/('Analysis - No risk'!Q$17)*EXP(Demand_Growth)*Connections)))</f>
        <v>3.5125536467377954</v>
      </c>
      <c r="S107" s="222">
        <f ca="1">IF(Year="",,IF(MOD(Year,Tariff_Period)=1,BilledDemand_Risk,(R107/('Analysis - No risk'!R$17)*EXP(Demand_Growth)*Connections)))</f>
        <v>3.5835119373177671</v>
      </c>
      <c r="T107" s="222">
        <f ca="1">IF(Year="",,IF(MOD(Year,Tariff_Period)=1,BilledDemand_Risk,(S107/('Analysis - No risk'!S$17)*EXP(Demand_Growth)*Connections)))</f>
        <v>3.7612423433640232</v>
      </c>
      <c r="U107" s="222">
        <f ca="1">IF(Year="",,IF(MOD(Year,Tariff_Period)=1,BilledDemand_Risk,(T107/('Analysis - No risk'!T$17)*EXP(Demand_Growth)*Connections)))</f>
        <v>3.8372244788653518</v>
      </c>
      <c r="V107" s="222">
        <f ca="1">IF(Year="",,IF(MOD(Year,Tariff_Period)=1,BilledDemand_Risk,(U107/('Analysis - No risk'!U$17)*EXP(Demand_Growth)*Connections)))</f>
        <v>3.9147415553219016</v>
      </c>
      <c r="W107" s="222">
        <f ca="1">IF(Year="",,IF(MOD(Year,Tariff_Period)=1,BilledDemand_Risk,(V107/('Analysis - No risk'!V$17)*EXP(Demand_Growth)*Connections)))</f>
        <v>3.9938245805978303</v>
      </c>
      <c r="X107" s="222">
        <f ca="1">IF(Year="",,IF(MOD(Year,Tariff_Period)=1,BilledDemand_Risk,(W107/('Analysis - No risk'!W$17)*EXP(Demand_Growth)*Connections)))</f>
        <v>4.0745051889577022</v>
      </c>
      <c r="Y107" s="222">
        <f>IF(Year="",,IF(MOD(Year,Tariff_Period)=1,BilledDemand_Risk,(X107/('Analysis - No risk'!X$17)*EXP(Demand_Growth)*Connections)))</f>
        <v>0</v>
      </c>
      <c r="Z107" s="222">
        <f>IF(Year="",,IF(MOD(Year,Tariff_Period)=1,BilledDemand_Risk,(Y107/('Analysis - No risk'!Y$17)*EXP(Demand_Growth)*Connections)))</f>
        <v>0</v>
      </c>
      <c r="AA107" s="222">
        <f>IF(Year="",,IF(MOD(Year,Tariff_Period)=1,BilledDemand_Risk,(Z107/('Analysis - No risk'!Z$17)*EXP(Demand_Growth)*Connections)))</f>
        <v>0</v>
      </c>
      <c r="AB107" s="222">
        <f>IF(Year="",,IF(MOD(Year,Tariff_Period)=1,BilledDemand_Risk,(AA107/('Analysis - No risk'!AA$17)*EXP(Demand_Growth)*Connections)))</f>
        <v>0</v>
      </c>
      <c r="AC107" s="222">
        <f>IF(Year="",,IF(MOD(Year,Tariff_Period)=1,BilledDemand_Risk,(AB107/('Analysis - No risk'!AB$17)*EXP(Demand_Growth)*Connections)))</f>
        <v>0</v>
      </c>
      <c r="AD107" s="222">
        <f>IF(Year="",,IF(MOD(Year,Tariff_Period)=1,BilledDemand_Risk,(AC107/('Analysis - No risk'!AC$17)*EXP(Demand_Growth)*Connections)))</f>
        <v>0</v>
      </c>
      <c r="AE107" s="222">
        <f>IF(Year="",,IF(MOD(Year,Tariff_Period)=1,BilledDemand_Risk,(AD107/('Analysis - No risk'!AD$17)*EXP(Demand_Growth)*Connections)))</f>
        <v>0</v>
      </c>
      <c r="AF107" s="222">
        <f>IF(Year="",,IF(MOD(Year,Tariff_Period)=1,BilledDemand_Risk,(AE107/('Analysis - No risk'!AE$17)*EXP(Demand_Growth)*Connections)))</f>
        <v>0</v>
      </c>
      <c r="AG107" s="222">
        <f>IF(Year="",,IF(MOD(Year,Tariff_Period)=1,BilledDemand_Risk,(AF107/('Analysis - No risk'!AF$17)*EXP(Demand_Growth)*Connections)))</f>
        <v>0</v>
      </c>
      <c r="AH107" s="222">
        <f>IF(Year="",,IF(MOD(Year,Tariff_Period)=1,BilledDemand_Risk,(AG107/('Analysis - No risk'!AG$17)*EXP(Demand_Growth)*Connections)))</f>
        <v>0</v>
      </c>
      <c r="AI107" s="222">
        <f>IF(Year="",,IF(MOD(Year,Tariff_Period)=1,BilledDemand_Risk,(AH107/('Analysis - No risk'!AH$17)*EXP(Demand_Growth)*Connections)))</f>
        <v>0</v>
      </c>
      <c r="AJ107" s="222">
        <f>IF(Year="",,IF(MOD(Year,Tariff_Period)=1,BilledDemand_Risk,(AI107/('Analysis - No risk'!AI$17)*EXP(Demand_Growth)*Connections)))</f>
        <v>0</v>
      </c>
      <c r="AK107" s="222">
        <f>IF(Year="",,IF(MOD(Year,Tariff_Period)=1,BilledDemand_Risk,(AJ107/('Analysis - No risk'!AJ$17)*EXP(Demand_Growth)*Connections)))</f>
        <v>0</v>
      </c>
      <c r="AL107" s="222">
        <f>IF(Year="",,IF(MOD(Year,Tariff_Period)=1,BilledDemand_Risk,(AK107/('Analysis - No risk'!AK$17)*EXP(Demand_Growth)*Connections)))</f>
        <v>0</v>
      </c>
      <c r="AM107" s="222">
        <f>IF(Year="",,IF(MOD(Year,Tariff_Period)=1,BilledDemand_Risk,(AL107/('Analysis - No risk'!AL$17)*EXP(Demand_Growth)*Connections)))</f>
        <v>0</v>
      </c>
      <c r="AN107" s="222">
        <f>IF(Year="",,IF(MOD(Year,Tariff_Period)=1,BilledDemand_Risk,(AM107/('Analysis - No risk'!AM$17)*EXP(Demand_Growth)*Connections)))</f>
        <v>0</v>
      </c>
      <c r="AO107" s="222">
        <f>IF(Year="",,IF(MOD(Year,Tariff_Period)=1,BilledDemand_Risk,(AN107/('Analysis - No risk'!AN$17)*EXP(Demand_Growth)*Connections)))</f>
        <v>0</v>
      </c>
      <c r="AP107" s="222">
        <f>IF(Year="",,IF(MOD(Year,Tariff_Period)=1,BilledDemand_Risk,(AO107/('Analysis - No risk'!AO$17)*EXP(Demand_Growth)*Connections)))</f>
        <v>0</v>
      </c>
      <c r="AQ107" s="222">
        <f>IF(Year="",,IF(MOD(Year,Tariff_Period)=1,BilledDemand_Risk,(AP107/('Analysis - No risk'!AP$17)*EXP(Demand_Growth)*Connections)))</f>
        <v>0</v>
      </c>
      <c r="AR107" s="223">
        <f>IF(Year="",,IF(MOD(Year,Tariff_Period)=1,BilledDemand_Risk,(AQ107/('Analysis - No risk'!AQ$17)*EXP(Demand_Growth)*Connections)))</f>
        <v>0</v>
      </c>
    </row>
    <row r="108" spans="2:44" s="174" customFormat="1">
      <c r="C108" s="270" t="s">
        <v>134</v>
      </c>
      <c r="E108" s="236"/>
      <c r="F108" s="236"/>
      <c r="G108" s="236"/>
      <c r="H108" s="236"/>
      <c r="I108" s="236"/>
      <c r="J108" s="236"/>
      <c r="K108" s="236"/>
      <c r="L108" s="236"/>
      <c r="M108" s="236"/>
      <c r="N108" s="236"/>
      <c r="O108" s="236"/>
      <c r="P108" s="236"/>
      <c r="Q108" s="236"/>
      <c r="R108" s="236"/>
      <c r="S108" s="236"/>
    </row>
    <row r="109" spans="2:44" s="13" customFormat="1">
      <c r="C109" s="271" t="s">
        <v>134</v>
      </c>
      <c r="D109" s="215"/>
      <c r="E109" s="216">
        <f t="shared" ref="E109:AR109" si="53">E107*DiscountFactor</f>
        <v>1.3162651429969998</v>
      </c>
      <c r="F109" s="148">
        <f t="shared" si="53"/>
        <v>1.2747593851393468</v>
      </c>
      <c r="G109" s="148">
        <f t="shared" si="53"/>
        <v>1.2674406949325776</v>
      </c>
      <c r="H109" s="148">
        <f t="shared" si="53"/>
        <v>1.3250420380889369</v>
      </c>
      <c r="I109" s="148">
        <f t="shared" si="53"/>
        <v>1.4684136898658642</v>
      </c>
      <c r="J109" s="148">
        <f t="shared" ca="1" si="53"/>
        <v>1.7874306092555301</v>
      </c>
      <c r="K109" s="148">
        <f t="shared" ca="1" si="53"/>
        <v>1.9047350702123116</v>
      </c>
      <c r="L109" s="148">
        <f t="shared" ca="1" si="53"/>
        <v>1.9180646948324322</v>
      </c>
      <c r="M109" s="148">
        <f t="shared" ca="1" si="53"/>
        <v>1.8686694372898387</v>
      </c>
      <c r="N109" s="148">
        <f t="shared" ca="1" si="53"/>
        <v>1.8039796957550556</v>
      </c>
      <c r="O109" s="148">
        <f t="shared" ca="1" si="53"/>
        <v>1.5316465108261235</v>
      </c>
      <c r="P109" s="148">
        <f t="shared" ca="1" si="53"/>
        <v>1.4569472290316601</v>
      </c>
      <c r="Q109" s="148">
        <f t="shared" ca="1" si="53"/>
        <v>1.3858910741996961</v>
      </c>
      <c r="R109" s="148">
        <f t="shared" ca="1" si="53"/>
        <v>1.3183003689316533</v>
      </c>
      <c r="S109" s="148">
        <f t="shared" ca="1" si="53"/>
        <v>1.2540061012579358</v>
      </c>
      <c r="T109" s="148">
        <f t="shared" ca="1" si="53"/>
        <v>1.2272173793202941</v>
      </c>
      <c r="U109" s="148">
        <f t="shared" ca="1" si="53"/>
        <v>1.1673652814681177</v>
      </c>
      <c r="V109" s="148">
        <f t="shared" ca="1" si="53"/>
        <v>1.1104322048730317</v>
      </c>
      <c r="W109" s="148">
        <f t="shared" ca="1" si="53"/>
        <v>1.056275787188433</v>
      </c>
      <c r="X109" s="148">
        <f t="shared" ca="1" si="53"/>
        <v>1.0047606091612915</v>
      </c>
      <c r="Y109" s="148">
        <f t="shared" si="53"/>
        <v>0</v>
      </c>
      <c r="Z109" s="148">
        <f t="shared" si="53"/>
        <v>0</v>
      </c>
      <c r="AA109" s="148">
        <f t="shared" si="53"/>
        <v>0</v>
      </c>
      <c r="AB109" s="148">
        <f t="shared" si="53"/>
        <v>0</v>
      </c>
      <c r="AC109" s="148">
        <f t="shared" si="53"/>
        <v>0</v>
      </c>
      <c r="AD109" s="148">
        <f t="shared" si="53"/>
        <v>0</v>
      </c>
      <c r="AE109" s="148">
        <f t="shared" si="53"/>
        <v>0</v>
      </c>
      <c r="AF109" s="148">
        <f t="shared" si="53"/>
        <v>0</v>
      </c>
      <c r="AG109" s="148">
        <f t="shared" si="53"/>
        <v>0</v>
      </c>
      <c r="AH109" s="148">
        <f t="shared" si="53"/>
        <v>0</v>
      </c>
      <c r="AI109" s="148">
        <f t="shared" si="53"/>
        <v>0</v>
      </c>
      <c r="AJ109" s="148">
        <f t="shared" si="53"/>
        <v>0</v>
      </c>
      <c r="AK109" s="148">
        <f t="shared" si="53"/>
        <v>0</v>
      </c>
      <c r="AL109" s="148">
        <f t="shared" si="53"/>
        <v>0</v>
      </c>
      <c r="AM109" s="148">
        <f t="shared" si="53"/>
        <v>0</v>
      </c>
      <c r="AN109" s="148">
        <f t="shared" si="53"/>
        <v>0</v>
      </c>
      <c r="AO109" s="148">
        <f t="shared" si="53"/>
        <v>0</v>
      </c>
      <c r="AP109" s="148">
        <f t="shared" si="53"/>
        <v>0</v>
      </c>
      <c r="AQ109" s="148">
        <f t="shared" si="53"/>
        <v>0</v>
      </c>
      <c r="AR109" s="149">
        <f t="shared" si="53"/>
        <v>0</v>
      </c>
    </row>
    <row r="110" spans="2:44" s="13" customFormat="1">
      <c r="C110" s="271" t="s">
        <v>135</v>
      </c>
      <c r="D110" s="217"/>
      <c r="E110" s="218">
        <f t="shared" ref="E110:AR110" si="54">IF(Year="","",IF(OR(Tariff_Period=1,MOD(Year,Tariff_Period)=1),E109,D110+E109))</f>
        <v>1.3162651429969998</v>
      </c>
      <c r="F110" s="151">
        <f t="shared" si="54"/>
        <v>2.5910245281363466</v>
      </c>
      <c r="G110" s="151">
        <f t="shared" si="54"/>
        <v>3.858465223068924</v>
      </c>
      <c r="H110" s="151">
        <f t="shared" si="54"/>
        <v>5.1835072611578612</v>
      </c>
      <c r="I110" s="151">
        <f t="shared" si="54"/>
        <v>6.6519209510237252</v>
      </c>
      <c r="J110" s="151">
        <f t="shared" ca="1" si="54"/>
        <v>1.7874306092555301</v>
      </c>
      <c r="K110" s="151">
        <f t="shared" ca="1" si="54"/>
        <v>3.6921656794678417</v>
      </c>
      <c r="L110" s="151">
        <f t="shared" ca="1" si="54"/>
        <v>5.6102303743002739</v>
      </c>
      <c r="M110" s="151">
        <f t="shared" ca="1" si="54"/>
        <v>7.4788998115901126</v>
      </c>
      <c r="N110" s="151">
        <f t="shared" ca="1" si="54"/>
        <v>9.282879507345168</v>
      </c>
      <c r="O110" s="151">
        <f t="shared" ca="1" si="54"/>
        <v>1.5316465108261235</v>
      </c>
      <c r="P110" s="151">
        <f t="shared" ca="1" si="54"/>
        <v>2.9885937398577838</v>
      </c>
      <c r="Q110" s="151">
        <f t="shared" ca="1" si="54"/>
        <v>4.3744848140574799</v>
      </c>
      <c r="R110" s="151">
        <f t="shared" ca="1" si="54"/>
        <v>5.6927851829891329</v>
      </c>
      <c r="S110" s="151">
        <f t="shared" ca="1" si="54"/>
        <v>6.9467912842470687</v>
      </c>
      <c r="T110" s="151">
        <f t="shared" ca="1" si="54"/>
        <v>1.2272173793202941</v>
      </c>
      <c r="U110" s="151">
        <f t="shared" ca="1" si="54"/>
        <v>2.3945826607884118</v>
      </c>
      <c r="V110" s="151">
        <f t="shared" ca="1" si="54"/>
        <v>3.5050148656614435</v>
      </c>
      <c r="W110" s="151">
        <f t="shared" ca="1" si="54"/>
        <v>4.5612906528498769</v>
      </c>
      <c r="X110" s="151">
        <f t="shared" ca="1" si="54"/>
        <v>5.5660512620111682</v>
      </c>
      <c r="Y110" s="151" t="str">
        <f t="shared" si="54"/>
        <v/>
      </c>
      <c r="Z110" s="151" t="str">
        <f t="shared" si="54"/>
        <v/>
      </c>
      <c r="AA110" s="151" t="str">
        <f t="shared" si="54"/>
        <v/>
      </c>
      <c r="AB110" s="151" t="str">
        <f t="shared" si="54"/>
        <v/>
      </c>
      <c r="AC110" s="151" t="str">
        <f t="shared" si="54"/>
        <v/>
      </c>
      <c r="AD110" s="151" t="str">
        <f t="shared" si="54"/>
        <v/>
      </c>
      <c r="AE110" s="151" t="str">
        <f t="shared" si="54"/>
        <v/>
      </c>
      <c r="AF110" s="151" t="str">
        <f t="shared" si="54"/>
        <v/>
      </c>
      <c r="AG110" s="151" t="str">
        <f t="shared" si="54"/>
        <v/>
      </c>
      <c r="AH110" s="151" t="str">
        <f t="shared" si="54"/>
        <v/>
      </c>
      <c r="AI110" s="151" t="str">
        <f t="shared" si="54"/>
        <v/>
      </c>
      <c r="AJ110" s="151" t="str">
        <f t="shared" si="54"/>
        <v/>
      </c>
      <c r="AK110" s="151" t="str">
        <f t="shared" si="54"/>
        <v/>
      </c>
      <c r="AL110" s="151" t="str">
        <f t="shared" si="54"/>
        <v/>
      </c>
      <c r="AM110" s="151" t="str">
        <f t="shared" si="54"/>
        <v/>
      </c>
      <c r="AN110" s="151" t="str">
        <f t="shared" si="54"/>
        <v/>
      </c>
      <c r="AO110" s="151" t="str">
        <f t="shared" si="54"/>
        <v/>
      </c>
      <c r="AP110" s="151" t="str">
        <f t="shared" si="54"/>
        <v/>
      </c>
      <c r="AQ110" s="151" t="str">
        <f t="shared" si="54"/>
        <v/>
      </c>
      <c r="AR110" s="152" t="str">
        <f t="shared" si="54"/>
        <v/>
      </c>
    </row>
    <row r="111" spans="2:44" s="13" customFormat="1">
      <c r="B111" s="138"/>
      <c r="C111" s="193" t="str">
        <f>CONCATENATE(Tariff_Period," year discounted demand")</f>
        <v>5 year discounted demand</v>
      </c>
      <c r="D111" s="219">
        <f>IF(Year&gt;Contract_Length,"",IF(Year&lt;INT(Contract_Length/Tariff_Period)*Tariff_Period,IF(MOD(Year,Tariff_Period)=0,INDEX(110:110,1,COLUMN()+Tariff_Period),),IF(Year=INT(Contract_Length/Tariff_Period)*Tariff_Period,INDEX(110:110,1,Contract_Length+4),)))</f>
        <v>6.6519209510237252</v>
      </c>
      <c r="E111" s="151">
        <f t="shared" ref="E111:AR111" si="55">IF(Year&gt;Contract_Length,"",IF(Year&lt;INT(Contract_Length/Tariff_Period)*Tariff_Period,IF(MOD(Year,Tariff_Period)=0,INDEX(110:110,1,COLUMN()+Tariff_Period),),IF(Year=INT(Contract_Length/Tariff_Period)*Tariff_Period,INDEX(110:110,1,Contract_Length+4),)))</f>
        <v>0</v>
      </c>
      <c r="F111" s="151">
        <f t="shared" si="55"/>
        <v>0</v>
      </c>
      <c r="G111" s="151">
        <f t="shared" si="55"/>
        <v>0</v>
      </c>
      <c r="H111" s="151">
        <f t="shared" si="55"/>
        <v>0</v>
      </c>
      <c r="I111" s="151">
        <f t="shared" ca="1" si="55"/>
        <v>9.282879507345168</v>
      </c>
      <c r="J111" s="151">
        <f t="shared" si="55"/>
        <v>0</v>
      </c>
      <c r="K111" s="151">
        <f t="shared" si="55"/>
        <v>0</v>
      </c>
      <c r="L111" s="151">
        <f t="shared" si="55"/>
        <v>0</v>
      </c>
      <c r="M111" s="151">
        <f t="shared" si="55"/>
        <v>0</v>
      </c>
      <c r="N111" s="151">
        <f t="shared" ca="1" si="55"/>
        <v>6.9467912842470687</v>
      </c>
      <c r="O111" s="151">
        <f t="shared" si="55"/>
        <v>0</v>
      </c>
      <c r="P111" s="151">
        <f t="shared" si="55"/>
        <v>0</v>
      </c>
      <c r="Q111" s="151">
        <f t="shared" si="55"/>
        <v>0</v>
      </c>
      <c r="R111" s="151">
        <f t="shared" si="55"/>
        <v>0</v>
      </c>
      <c r="S111" s="151">
        <f t="shared" ca="1" si="55"/>
        <v>5.5660512620111682</v>
      </c>
      <c r="T111" s="151">
        <f t="shared" si="55"/>
        <v>0</v>
      </c>
      <c r="U111" s="151">
        <f t="shared" si="55"/>
        <v>0</v>
      </c>
      <c r="V111" s="151">
        <f t="shared" si="55"/>
        <v>0</v>
      </c>
      <c r="W111" s="151">
        <f t="shared" si="55"/>
        <v>0</v>
      </c>
      <c r="X111" s="151">
        <f t="shared" ca="1" si="55"/>
        <v>5.5660512620111682</v>
      </c>
      <c r="Y111" s="151" t="str">
        <f t="shared" si="55"/>
        <v/>
      </c>
      <c r="Z111" s="151" t="str">
        <f t="shared" si="55"/>
        <v/>
      </c>
      <c r="AA111" s="151" t="str">
        <f t="shared" si="55"/>
        <v/>
      </c>
      <c r="AB111" s="151" t="str">
        <f t="shared" si="55"/>
        <v/>
      </c>
      <c r="AC111" s="151" t="str">
        <f t="shared" si="55"/>
        <v/>
      </c>
      <c r="AD111" s="151" t="str">
        <f t="shared" si="55"/>
        <v/>
      </c>
      <c r="AE111" s="151" t="str">
        <f t="shared" si="55"/>
        <v/>
      </c>
      <c r="AF111" s="151" t="str">
        <f t="shared" si="55"/>
        <v/>
      </c>
      <c r="AG111" s="151" t="str">
        <f t="shared" si="55"/>
        <v/>
      </c>
      <c r="AH111" s="151" t="str">
        <f t="shared" si="55"/>
        <v/>
      </c>
      <c r="AI111" s="151" t="str">
        <f t="shared" si="55"/>
        <v/>
      </c>
      <c r="AJ111" s="151" t="str">
        <f t="shared" si="55"/>
        <v/>
      </c>
      <c r="AK111" s="151" t="str">
        <f t="shared" si="55"/>
        <v/>
      </c>
      <c r="AL111" s="151" t="str">
        <f t="shared" si="55"/>
        <v/>
      </c>
      <c r="AM111" s="151" t="str">
        <f t="shared" si="55"/>
        <v/>
      </c>
      <c r="AN111" s="151" t="str">
        <f t="shared" si="55"/>
        <v/>
      </c>
      <c r="AO111" s="151" t="str">
        <f t="shared" si="55"/>
        <v/>
      </c>
      <c r="AP111" s="151" t="str">
        <f t="shared" si="55"/>
        <v/>
      </c>
      <c r="AQ111" s="151" t="str">
        <f t="shared" si="55"/>
        <v/>
      </c>
      <c r="AR111" s="152" t="str">
        <f t="shared" si="55"/>
        <v/>
      </c>
    </row>
    <row r="112" spans="2:44" s="174" customFormat="1">
      <c r="C112" s="257"/>
      <c r="O112" s="236"/>
      <c r="P112" s="236"/>
      <c r="Q112" s="236"/>
      <c r="R112" s="236"/>
      <c r="S112" s="236"/>
    </row>
    <row r="113" spans="2:44" s="3" customFormat="1">
      <c r="B113" s="4" t="s">
        <v>136</v>
      </c>
    </row>
    <row r="114" spans="2:44" s="13" customFormat="1">
      <c r="C114" s="138" t="s">
        <v>31</v>
      </c>
      <c r="E114" s="147">
        <f t="shared" ref="E114:AR114" si="56">IF(Year="",,DisRate_Cur*SUM(E101:E102)*ServExt_CAPct)</f>
        <v>2.0327197782974711E-2</v>
      </c>
      <c r="F114" s="148">
        <f t="shared" si="56"/>
        <v>5.5563674680056435E-2</v>
      </c>
      <c r="G114" s="148">
        <f t="shared" si="56"/>
        <v>0.15159512271247477</v>
      </c>
      <c r="H114" s="148">
        <f t="shared" si="56"/>
        <v>0.3874143333848909</v>
      </c>
      <c r="I114" s="148">
        <f t="shared" si="56"/>
        <v>0.84889723383945759</v>
      </c>
      <c r="J114" s="148">
        <f t="shared" ca="1" si="56"/>
        <v>1.4597143781514132</v>
      </c>
      <c r="K114" s="148">
        <f t="shared" ca="1" si="56"/>
        <v>1.9502004446322709</v>
      </c>
      <c r="L114" s="148">
        <f t="shared" ca="1" si="56"/>
        <v>2.1859371167539763</v>
      </c>
      <c r="M114" s="148">
        <f t="shared" ca="1" si="56"/>
        <v>2.2343442203794717</v>
      </c>
      <c r="N114" s="148">
        <f t="shared" ca="1" si="56"/>
        <v>2.2301956647435626</v>
      </c>
      <c r="O114" s="148">
        <f t="shared" ca="1" si="56"/>
        <v>2.1186858815063845</v>
      </c>
      <c r="P114" s="148">
        <f t="shared" ca="1" si="56"/>
        <v>2.0127515874310653</v>
      </c>
      <c r="Q114" s="148">
        <f t="shared" ca="1" si="56"/>
        <v>1.912114008059512</v>
      </c>
      <c r="R114" s="148">
        <f t="shared" ca="1" si="56"/>
        <v>1.8165083076565363</v>
      </c>
      <c r="S114" s="148">
        <f t="shared" ca="1" si="56"/>
        <v>1.7256828922737095</v>
      </c>
      <c r="T114" s="148">
        <f t="shared" ca="1" si="56"/>
        <v>1.639398747660024</v>
      </c>
      <c r="U114" s="148">
        <f t="shared" ca="1" si="56"/>
        <v>1.5574288102770228</v>
      </c>
      <c r="V114" s="148">
        <f t="shared" ca="1" si="56"/>
        <v>1.4795573697631719</v>
      </c>
      <c r="W114" s="148">
        <f t="shared" ca="1" si="56"/>
        <v>1.4055795012750132</v>
      </c>
      <c r="X114" s="148">
        <f t="shared" ca="1" si="56"/>
        <v>1.3353005262112625</v>
      </c>
      <c r="Y114" s="148">
        <f t="shared" si="56"/>
        <v>0</v>
      </c>
      <c r="Z114" s="148">
        <f t="shared" si="56"/>
        <v>0</v>
      </c>
      <c r="AA114" s="148">
        <f t="shared" si="56"/>
        <v>0</v>
      </c>
      <c r="AB114" s="148">
        <f t="shared" si="56"/>
        <v>0</v>
      </c>
      <c r="AC114" s="148">
        <f t="shared" si="56"/>
        <v>0</v>
      </c>
      <c r="AD114" s="148">
        <f t="shared" si="56"/>
        <v>0</v>
      </c>
      <c r="AE114" s="148">
        <f t="shared" si="56"/>
        <v>0</v>
      </c>
      <c r="AF114" s="148">
        <f t="shared" si="56"/>
        <v>0</v>
      </c>
      <c r="AG114" s="148">
        <f t="shared" si="56"/>
        <v>0</v>
      </c>
      <c r="AH114" s="148">
        <f t="shared" si="56"/>
        <v>0</v>
      </c>
      <c r="AI114" s="148">
        <f t="shared" si="56"/>
        <v>0</v>
      </c>
      <c r="AJ114" s="148">
        <f t="shared" si="56"/>
        <v>0</v>
      </c>
      <c r="AK114" s="148">
        <f t="shared" si="56"/>
        <v>0</v>
      </c>
      <c r="AL114" s="148">
        <f t="shared" si="56"/>
        <v>0</v>
      </c>
      <c r="AM114" s="148">
        <f t="shared" si="56"/>
        <v>0</v>
      </c>
      <c r="AN114" s="148">
        <f t="shared" si="56"/>
        <v>0</v>
      </c>
      <c r="AO114" s="148">
        <f t="shared" si="56"/>
        <v>0</v>
      </c>
      <c r="AP114" s="148">
        <f t="shared" si="56"/>
        <v>0</v>
      </c>
      <c r="AQ114" s="148">
        <f t="shared" si="56"/>
        <v>0</v>
      </c>
      <c r="AR114" s="149">
        <f t="shared" si="56"/>
        <v>0</v>
      </c>
    </row>
    <row r="115" spans="2:44" s="13" customFormat="1">
      <c r="C115" s="138" t="s">
        <v>30</v>
      </c>
      <c r="E115" s="221">
        <f t="shared" ref="E115:AR115" si="57">IF(Year="",,DisRate_Cur*SUM(E101:E102)*ServExt_LoanPct)</f>
        <v>2.0327197782974711E-2</v>
      </c>
      <c r="F115" s="222">
        <f t="shared" si="57"/>
        <v>5.5563674680056435E-2</v>
      </c>
      <c r="G115" s="222">
        <f t="shared" si="57"/>
        <v>0.15159512271247477</v>
      </c>
      <c r="H115" s="222">
        <f t="shared" si="57"/>
        <v>0.3874143333848909</v>
      </c>
      <c r="I115" s="222">
        <f t="shared" si="57"/>
        <v>0.84889723383945759</v>
      </c>
      <c r="J115" s="222">
        <f t="shared" ca="1" si="57"/>
        <v>1.4597143781514132</v>
      </c>
      <c r="K115" s="222">
        <f t="shared" ca="1" si="57"/>
        <v>1.9502004446322709</v>
      </c>
      <c r="L115" s="222">
        <f t="shared" ca="1" si="57"/>
        <v>2.1859371167539763</v>
      </c>
      <c r="M115" s="222">
        <f t="shared" ca="1" si="57"/>
        <v>2.2343442203794717</v>
      </c>
      <c r="N115" s="222">
        <f t="shared" ca="1" si="57"/>
        <v>2.2301956647435626</v>
      </c>
      <c r="O115" s="222">
        <f t="shared" ca="1" si="57"/>
        <v>2.1186858815063845</v>
      </c>
      <c r="P115" s="222">
        <f t="shared" ca="1" si="57"/>
        <v>2.0127515874310653</v>
      </c>
      <c r="Q115" s="222">
        <f t="shared" ca="1" si="57"/>
        <v>1.912114008059512</v>
      </c>
      <c r="R115" s="222">
        <f t="shared" ca="1" si="57"/>
        <v>1.8165083076565363</v>
      </c>
      <c r="S115" s="222">
        <f t="shared" ca="1" si="57"/>
        <v>1.7256828922737095</v>
      </c>
      <c r="T115" s="222">
        <f t="shared" ca="1" si="57"/>
        <v>1.639398747660024</v>
      </c>
      <c r="U115" s="222">
        <f t="shared" ca="1" si="57"/>
        <v>1.5574288102770228</v>
      </c>
      <c r="V115" s="222">
        <f t="shared" ca="1" si="57"/>
        <v>1.4795573697631719</v>
      </c>
      <c r="W115" s="222">
        <f t="shared" ca="1" si="57"/>
        <v>1.4055795012750132</v>
      </c>
      <c r="X115" s="222">
        <f t="shared" ca="1" si="57"/>
        <v>1.3353005262112625</v>
      </c>
      <c r="Y115" s="222">
        <f t="shared" si="57"/>
        <v>0</v>
      </c>
      <c r="Z115" s="222">
        <f t="shared" si="57"/>
        <v>0</v>
      </c>
      <c r="AA115" s="222">
        <f t="shared" si="57"/>
        <v>0</v>
      </c>
      <c r="AB115" s="222">
        <f t="shared" si="57"/>
        <v>0</v>
      </c>
      <c r="AC115" s="222">
        <f t="shared" si="57"/>
        <v>0</v>
      </c>
      <c r="AD115" s="222">
        <f t="shared" si="57"/>
        <v>0</v>
      </c>
      <c r="AE115" s="222">
        <f t="shared" si="57"/>
        <v>0</v>
      </c>
      <c r="AF115" s="222">
        <f t="shared" si="57"/>
        <v>0</v>
      </c>
      <c r="AG115" s="222">
        <f t="shared" si="57"/>
        <v>0</v>
      </c>
      <c r="AH115" s="222">
        <f t="shared" si="57"/>
        <v>0</v>
      </c>
      <c r="AI115" s="222">
        <f t="shared" si="57"/>
        <v>0</v>
      </c>
      <c r="AJ115" s="222">
        <f t="shared" si="57"/>
        <v>0</v>
      </c>
      <c r="AK115" s="222">
        <f t="shared" si="57"/>
        <v>0</v>
      </c>
      <c r="AL115" s="222">
        <f t="shared" si="57"/>
        <v>0</v>
      </c>
      <c r="AM115" s="222">
        <f t="shared" si="57"/>
        <v>0</v>
      </c>
      <c r="AN115" s="222">
        <f t="shared" si="57"/>
        <v>0</v>
      </c>
      <c r="AO115" s="222">
        <f t="shared" si="57"/>
        <v>0</v>
      </c>
      <c r="AP115" s="222">
        <f t="shared" si="57"/>
        <v>0</v>
      </c>
      <c r="AQ115" s="222">
        <f t="shared" si="57"/>
        <v>0</v>
      </c>
      <c r="AR115" s="223">
        <f t="shared" si="57"/>
        <v>0</v>
      </c>
    </row>
    <row r="116" spans="2:44" s="3" customFormat="1">
      <c r="B116" s="4" t="s">
        <v>137</v>
      </c>
      <c r="E116" s="13"/>
      <c r="F116" s="13"/>
      <c r="G116" s="13"/>
      <c r="H116" s="13"/>
      <c r="I116" s="13"/>
      <c r="J116" s="13"/>
      <c r="K116" s="13"/>
      <c r="L116" s="13"/>
      <c r="M116" s="13"/>
      <c r="N116" s="13"/>
    </row>
    <row r="117" spans="2:44" s="13" customFormat="1">
      <c r="C117" s="138" t="s">
        <v>31</v>
      </c>
      <c r="E117" s="147">
        <f t="shared" ref="E117:AR117" si="58">IF(Year="",,E103*ServExt_CAPct*DeflateFactor_TariffSetting)</f>
        <v>1.3700000000000002E-2</v>
      </c>
      <c r="F117" s="148">
        <f t="shared" si="58"/>
        <v>3.5098167839284176E-2</v>
      </c>
      <c r="G117" s="148">
        <f t="shared" si="58"/>
        <v>8.9291256167441047E-2</v>
      </c>
      <c r="H117" s="148">
        <f t="shared" si="58"/>
        <v>0.21201235931114448</v>
      </c>
      <c r="I117" s="148">
        <f t="shared" si="58"/>
        <v>0.4305801765033474</v>
      </c>
      <c r="J117" s="148">
        <f t="shared" ca="1" si="58"/>
        <v>0.68409237452019778</v>
      </c>
      <c r="K117" s="148">
        <f t="shared" ca="1" si="58"/>
        <v>0.84414854617417934</v>
      </c>
      <c r="L117" s="148">
        <f t="shared" ca="1" si="58"/>
        <v>0.87372756845091226</v>
      </c>
      <c r="M117" s="148">
        <f t="shared" ca="1" si="58"/>
        <v>0.82457557862670183</v>
      </c>
      <c r="N117" s="148">
        <f t="shared" ca="1" si="58"/>
        <v>0.75985584110703752</v>
      </c>
      <c r="O117" s="148">
        <f t="shared" ca="1" si="58"/>
        <v>0.66757293364581605</v>
      </c>
      <c r="P117" s="148">
        <f t="shared" ca="1" si="58"/>
        <v>0.58608011517174274</v>
      </c>
      <c r="Q117" s="148">
        <f t="shared" ca="1" si="58"/>
        <v>0.51431131367507066</v>
      </c>
      <c r="R117" s="148">
        <f t="shared" ca="1" si="58"/>
        <v>0.45121166860831075</v>
      </c>
      <c r="S117" s="148">
        <f t="shared" ca="1" si="58"/>
        <v>0.39579031911745527</v>
      </c>
      <c r="T117" s="148">
        <f t="shared" ca="1" si="58"/>
        <v>0.34710686596824442</v>
      </c>
      <c r="U117" s="148">
        <f t="shared" ca="1" si="58"/>
        <v>0.3044065886917473</v>
      </c>
      <c r="V117" s="148">
        <f t="shared" ca="1" si="58"/>
        <v>0.26695654584356338</v>
      </c>
      <c r="W117" s="148">
        <f t="shared" ca="1" si="58"/>
        <v>0.23411244955517696</v>
      </c>
      <c r="X117" s="148">
        <f t="shared" ca="1" si="58"/>
        <v>0.20530848049625139</v>
      </c>
      <c r="Y117" s="148">
        <f t="shared" si="58"/>
        <v>0</v>
      </c>
      <c r="Z117" s="148">
        <f t="shared" si="58"/>
        <v>0</v>
      </c>
      <c r="AA117" s="148">
        <f t="shared" si="58"/>
        <v>0</v>
      </c>
      <c r="AB117" s="148">
        <f t="shared" si="58"/>
        <v>0</v>
      </c>
      <c r="AC117" s="148">
        <f t="shared" si="58"/>
        <v>0</v>
      </c>
      <c r="AD117" s="148">
        <f t="shared" si="58"/>
        <v>0</v>
      </c>
      <c r="AE117" s="148">
        <f t="shared" si="58"/>
        <v>0</v>
      </c>
      <c r="AF117" s="148">
        <f t="shared" si="58"/>
        <v>0</v>
      </c>
      <c r="AG117" s="148">
        <f t="shared" si="58"/>
        <v>0</v>
      </c>
      <c r="AH117" s="148">
        <f t="shared" si="58"/>
        <v>0</v>
      </c>
      <c r="AI117" s="148">
        <f t="shared" si="58"/>
        <v>0</v>
      </c>
      <c r="AJ117" s="148">
        <f t="shared" si="58"/>
        <v>0</v>
      </c>
      <c r="AK117" s="148">
        <f t="shared" si="58"/>
        <v>0</v>
      </c>
      <c r="AL117" s="148">
        <f t="shared" si="58"/>
        <v>0</v>
      </c>
      <c r="AM117" s="148">
        <f t="shared" si="58"/>
        <v>0</v>
      </c>
      <c r="AN117" s="148">
        <f t="shared" si="58"/>
        <v>0</v>
      </c>
      <c r="AO117" s="148">
        <f t="shared" si="58"/>
        <v>0</v>
      </c>
      <c r="AP117" s="148">
        <f t="shared" si="58"/>
        <v>0</v>
      </c>
      <c r="AQ117" s="148">
        <f t="shared" si="58"/>
        <v>0</v>
      </c>
      <c r="AR117" s="149">
        <f t="shared" si="58"/>
        <v>0</v>
      </c>
    </row>
    <row r="118" spans="2:44" s="13" customFormat="1">
      <c r="C118" s="138" t="s">
        <v>30</v>
      </c>
      <c r="E118" s="150">
        <f>IF(Year="",,E103*ServExt_LoanPct*DeflateFactor_TariffSetting)</f>
        <v>1.3700000000000002E-2</v>
      </c>
      <c r="F118" s="151">
        <f t="shared" ref="F118:AR118" si="59">IF(Year="",,F103*ServExt_LoanPct*DeflateFactor_TariffSetting)</f>
        <v>3.5098167839284176E-2</v>
      </c>
      <c r="G118" s="151">
        <f t="shared" si="59"/>
        <v>8.9291256167441047E-2</v>
      </c>
      <c r="H118" s="151">
        <f t="shared" si="59"/>
        <v>0.21201235931114448</v>
      </c>
      <c r="I118" s="151">
        <f t="shared" si="59"/>
        <v>0.4305801765033474</v>
      </c>
      <c r="J118" s="151">
        <f t="shared" ca="1" si="59"/>
        <v>0.68409237452019778</v>
      </c>
      <c r="K118" s="151">
        <f t="shared" ca="1" si="59"/>
        <v>0.84414854617417934</v>
      </c>
      <c r="L118" s="151">
        <f t="shared" ca="1" si="59"/>
        <v>0.87372756845091226</v>
      </c>
      <c r="M118" s="151">
        <f t="shared" ca="1" si="59"/>
        <v>0.82457557862670183</v>
      </c>
      <c r="N118" s="151">
        <f t="shared" ca="1" si="59"/>
        <v>0.75985584110703752</v>
      </c>
      <c r="O118" s="151">
        <f t="shared" ca="1" si="59"/>
        <v>0.66757293364581605</v>
      </c>
      <c r="P118" s="151">
        <f t="shared" ca="1" si="59"/>
        <v>0.58608011517174274</v>
      </c>
      <c r="Q118" s="151">
        <f t="shared" ca="1" si="59"/>
        <v>0.51431131367507066</v>
      </c>
      <c r="R118" s="151">
        <f t="shared" ca="1" si="59"/>
        <v>0.45121166860831075</v>
      </c>
      <c r="S118" s="151">
        <f t="shared" ca="1" si="59"/>
        <v>0.39579031911745527</v>
      </c>
      <c r="T118" s="151">
        <f t="shared" ca="1" si="59"/>
        <v>0.34710686596824442</v>
      </c>
      <c r="U118" s="151">
        <f t="shared" ca="1" si="59"/>
        <v>0.3044065886917473</v>
      </c>
      <c r="V118" s="151">
        <f t="shared" ca="1" si="59"/>
        <v>0.26695654584356338</v>
      </c>
      <c r="W118" s="151">
        <f t="shared" ca="1" si="59"/>
        <v>0.23411244955517696</v>
      </c>
      <c r="X118" s="151">
        <f t="shared" ca="1" si="59"/>
        <v>0.20530848049625139</v>
      </c>
      <c r="Y118" s="151">
        <f t="shared" si="59"/>
        <v>0</v>
      </c>
      <c r="Z118" s="151">
        <f t="shared" si="59"/>
        <v>0</v>
      </c>
      <c r="AA118" s="151">
        <f t="shared" si="59"/>
        <v>0</v>
      </c>
      <c r="AB118" s="151">
        <f t="shared" si="59"/>
        <v>0</v>
      </c>
      <c r="AC118" s="151">
        <f t="shared" si="59"/>
        <v>0</v>
      </c>
      <c r="AD118" s="151">
        <f t="shared" si="59"/>
        <v>0</v>
      </c>
      <c r="AE118" s="151">
        <f t="shared" si="59"/>
        <v>0</v>
      </c>
      <c r="AF118" s="151">
        <f t="shared" si="59"/>
        <v>0</v>
      </c>
      <c r="AG118" s="151">
        <f t="shared" si="59"/>
        <v>0</v>
      </c>
      <c r="AH118" s="151">
        <f t="shared" si="59"/>
        <v>0</v>
      </c>
      <c r="AI118" s="151">
        <f t="shared" si="59"/>
        <v>0</v>
      </c>
      <c r="AJ118" s="151">
        <f t="shared" si="59"/>
        <v>0</v>
      </c>
      <c r="AK118" s="151">
        <f t="shared" si="59"/>
        <v>0</v>
      </c>
      <c r="AL118" s="151">
        <f t="shared" si="59"/>
        <v>0</v>
      </c>
      <c r="AM118" s="151">
        <f t="shared" si="59"/>
        <v>0</v>
      </c>
      <c r="AN118" s="151">
        <f t="shared" si="59"/>
        <v>0</v>
      </c>
      <c r="AO118" s="151">
        <f t="shared" si="59"/>
        <v>0</v>
      </c>
      <c r="AP118" s="151">
        <f t="shared" si="59"/>
        <v>0</v>
      </c>
      <c r="AQ118" s="151">
        <f t="shared" si="59"/>
        <v>0</v>
      </c>
      <c r="AR118" s="152">
        <f t="shared" si="59"/>
        <v>0</v>
      </c>
    </row>
    <row r="119" spans="2:44" s="13" customFormat="1">
      <c r="B119" s="4" t="s">
        <v>138</v>
      </c>
      <c r="E119" s="221">
        <f t="shared" ref="E119:AR119" si="60">IF(Year="",,E98*DeflateFactor_TariffSetting)</f>
        <v>10.361476311008202</v>
      </c>
      <c r="F119" s="222">
        <f t="shared" si="60"/>
        <v>10.96227854537095</v>
      </c>
      <c r="G119" s="222">
        <f t="shared" si="60"/>
        <v>11.416298680292767</v>
      </c>
      <c r="H119" s="222">
        <f t="shared" si="60"/>
        <v>11.735636058973467</v>
      </c>
      <c r="I119" s="222">
        <f t="shared" si="60"/>
        <v>11.948446255729888</v>
      </c>
      <c r="J119" s="222">
        <f t="shared" ca="1" si="60"/>
        <v>12.224854941212199</v>
      </c>
      <c r="K119" s="222">
        <f t="shared" ca="1" si="60"/>
        <v>12.256214433734081</v>
      </c>
      <c r="L119" s="222">
        <f t="shared" ca="1" si="60"/>
        <v>12.275206560846961</v>
      </c>
      <c r="M119" s="222">
        <f t="shared" ca="1" si="60"/>
        <v>12.286666199000878</v>
      </c>
      <c r="N119" s="222">
        <f t="shared" ca="1" si="60"/>
        <v>12.293565337999885</v>
      </c>
      <c r="O119" s="222">
        <f t="shared" ca="1" si="60"/>
        <v>12.14479148133865</v>
      </c>
      <c r="P119" s="222">
        <f t="shared" ca="1" si="60"/>
        <v>12.207328123538003</v>
      </c>
      <c r="Q119" s="222">
        <f t="shared" ca="1" si="60"/>
        <v>12.245561594534083</v>
      </c>
      <c r="R119" s="222">
        <f t="shared" ca="1" si="60"/>
        <v>12.268764732370769</v>
      </c>
      <c r="S119" s="222">
        <f t="shared" ca="1" si="60"/>
        <v>12.282782859271725</v>
      </c>
      <c r="T119" s="222">
        <f t="shared" ca="1" si="60"/>
        <v>12.30031428200839</v>
      </c>
      <c r="U119" s="222">
        <f t="shared" ca="1" si="60"/>
        <v>12.301766822556486</v>
      </c>
      <c r="V119" s="222">
        <f t="shared" ca="1" si="60"/>
        <v>12.302638720513103</v>
      </c>
      <c r="W119" s="222">
        <f t="shared" ca="1" si="60"/>
        <v>12.303161993874864</v>
      </c>
      <c r="X119" s="222">
        <f t="shared" ca="1" si="60"/>
        <v>12.303476006361189</v>
      </c>
      <c r="Y119" s="222">
        <f t="shared" si="60"/>
        <v>0</v>
      </c>
      <c r="Z119" s="222">
        <f t="shared" si="60"/>
        <v>0</v>
      </c>
      <c r="AA119" s="222">
        <f t="shared" si="60"/>
        <v>0</v>
      </c>
      <c r="AB119" s="222">
        <f t="shared" si="60"/>
        <v>0</v>
      </c>
      <c r="AC119" s="222">
        <f t="shared" si="60"/>
        <v>0</v>
      </c>
      <c r="AD119" s="222">
        <f t="shared" si="60"/>
        <v>0</v>
      </c>
      <c r="AE119" s="222">
        <f t="shared" si="60"/>
        <v>0</v>
      </c>
      <c r="AF119" s="222">
        <f t="shared" si="60"/>
        <v>0</v>
      </c>
      <c r="AG119" s="222">
        <f t="shared" si="60"/>
        <v>0</v>
      </c>
      <c r="AH119" s="222">
        <f t="shared" si="60"/>
        <v>0</v>
      </c>
      <c r="AI119" s="222">
        <f t="shared" si="60"/>
        <v>0</v>
      </c>
      <c r="AJ119" s="222">
        <f t="shared" si="60"/>
        <v>0</v>
      </c>
      <c r="AK119" s="222">
        <f t="shared" si="60"/>
        <v>0</v>
      </c>
      <c r="AL119" s="222">
        <f t="shared" si="60"/>
        <v>0</v>
      </c>
      <c r="AM119" s="222">
        <f t="shared" si="60"/>
        <v>0</v>
      </c>
      <c r="AN119" s="222">
        <f t="shared" si="60"/>
        <v>0</v>
      </c>
      <c r="AO119" s="222">
        <f t="shared" si="60"/>
        <v>0</v>
      </c>
      <c r="AP119" s="222">
        <f t="shared" si="60"/>
        <v>0</v>
      </c>
      <c r="AQ119" s="222">
        <f t="shared" si="60"/>
        <v>0</v>
      </c>
      <c r="AR119" s="223">
        <f t="shared" si="60"/>
        <v>0</v>
      </c>
    </row>
    <row r="120" spans="2:44" s="13" customFormat="1">
      <c r="B120" s="4" t="s">
        <v>169</v>
      </c>
    </row>
    <row r="121" spans="2:44" s="13" customFormat="1">
      <c r="C121" s="138" t="str">
        <f>INDEX(lbl_ResetTypes,4,1)</f>
        <v>No reset</v>
      </c>
      <c r="E121" s="147">
        <f>RealExRate_Det</f>
        <v>105.12710963760242</v>
      </c>
      <c r="F121" s="148">
        <f t="shared" ref="F121:AR121" si="61">IF(Year="",,E121*EXP(ExRate_Growth))</f>
        <v>110.51709180756478</v>
      </c>
      <c r="G121" s="148">
        <f t="shared" si="61"/>
        <v>116.18342427282835</v>
      </c>
      <c r="H121" s="148">
        <f t="shared" si="61"/>
        <v>122.14027581601702</v>
      </c>
      <c r="I121" s="148">
        <f t="shared" si="61"/>
        <v>128.40254166877421</v>
      </c>
      <c r="J121" s="148">
        <f t="shared" si="61"/>
        <v>134.98588075760037</v>
      </c>
      <c r="K121" s="148">
        <f t="shared" si="61"/>
        <v>141.90675485932579</v>
      </c>
      <c r="L121" s="148">
        <f t="shared" si="61"/>
        <v>149.18246976412712</v>
      </c>
      <c r="M121" s="148">
        <f t="shared" si="61"/>
        <v>156.831218549017</v>
      </c>
      <c r="N121" s="148">
        <f t="shared" si="61"/>
        <v>164.87212707001294</v>
      </c>
      <c r="O121" s="148">
        <f t="shared" si="61"/>
        <v>173.32530178673966</v>
      </c>
      <c r="P121" s="148">
        <f t="shared" si="61"/>
        <v>182.21188003905104</v>
      </c>
      <c r="Q121" s="148">
        <f t="shared" si="61"/>
        <v>191.55408290138976</v>
      </c>
      <c r="R121" s="148">
        <f t="shared" si="61"/>
        <v>201.37527074704784</v>
      </c>
      <c r="S121" s="148">
        <f t="shared" si="61"/>
        <v>211.70000166126766</v>
      </c>
      <c r="T121" s="148">
        <f t="shared" si="61"/>
        <v>222.55409284924698</v>
      </c>
      <c r="U121" s="148">
        <f t="shared" si="61"/>
        <v>233.96468519259935</v>
      </c>
      <c r="V121" s="148">
        <f t="shared" si="61"/>
        <v>245.96031111569525</v>
      </c>
      <c r="W121" s="148">
        <f t="shared" si="61"/>
        <v>258.57096593158491</v>
      </c>
      <c r="X121" s="148">
        <f t="shared" si="61"/>
        <v>271.82818284590485</v>
      </c>
      <c r="Y121" s="148">
        <f t="shared" si="61"/>
        <v>0</v>
      </c>
      <c r="Z121" s="148">
        <f t="shared" si="61"/>
        <v>0</v>
      </c>
      <c r="AA121" s="148">
        <f t="shared" si="61"/>
        <v>0</v>
      </c>
      <c r="AB121" s="148">
        <f t="shared" si="61"/>
        <v>0</v>
      </c>
      <c r="AC121" s="148">
        <f t="shared" si="61"/>
        <v>0</v>
      </c>
      <c r="AD121" s="148">
        <f t="shared" si="61"/>
        <v>0</v>
      </c>
      <c r="AE121" s="148">
        <f t="shared" si="61"/>
        <v>0</v>
      </c>
      <c r="AF121" s="148">
        <f t="shared" si="61"/>
        <v>0</v>
      </c>
      <c r="AG121" s="148">
        <f t="shared" si="61"/>
        <v>0</v>
      </c>
      <c r="AH121" s="148">
        <f t="shared" si="61"/>
        <v>0</v>
      </c>
      <c r="AI121" s="148">
        <f t="shared" si="61"/>
        <v>0</v>
      </c>
      <c r="AJ121" s="148">
        <f t="shared" si="61"/>
        <v>0</v>
      </c>
      <c r="AK121" s="148">
        <f t="shared" si="61"/>
        <v>0</v>
      </c>
      <c r="AL121" s="148">
        <f t="shared" si="61"/>
        <v>0</v>
      </c>
      <c r="AM121" s="148">
        <f t="shared" si="61"/>
        <v>0</v>
      </c>
      <c r="AN121" s="148">
        <f t="shared" si="61"/>
        <v>0</v>
      </c>
      <c r="AO121" s="148">
        <f t="shared" si="61"/>
        <v>0</v>
      </c>
      <c r="AP121" s="148">
        <f t="shared" si="61"/>
        <v>0</v>
      </c>
      <c r="AQ121" s="148">
        <f t="shared" si="61"/>
        <v>0</v>
      </c>
      <c r="AR121" s="149">
        <f t="shared" si="61"/>
        <v>0</v>
      </c>
    </row>
    <row r="122" spans="2:44" s="13" customFormat="1">
      <c r="C122" s="138" t="str">
        <f>INDEX(lbl_ResetTypes,1,1)</f>
        <v>Full reset</v>
      </c>
      <c r="E122" s="221">
        <f>RealExRate_Det</f>
        <v>105.12710963760242</v>
      </c>
      <c r="F122" s="222">
        <f t="shared" ref="F122:AR122" si="62">IF(Year="",,IF(MOD(Year,Tariff_Period)=1,RealExRate_Risk,E122*EXP(ExRate_Growth)))</f>
        <v>110.51709180756478</v>
      </c>
      <c r="G122" s="222">
        <f t="shared" si="62"/>
        <v>116.18342427282835</v>
      </c>
      <c r="H122" s="222">
        <f t="shared" si="62"/>
        <v>122.14027581601702</v>
      </c>
      <c r="I122" s="222">
        <f t="shared" si="62"/>
        <v>128.40254166877421</v>
      </c>
      <c r="J122" s="222">
        <f t="shared" ca="1" si="62"/>
        <v>128.87104264092991</v>
      </c>
      <c r="K122" s="222">
        <f t="shared" ca="1" si="62"/>
        <v>135.47840228825174</v>
      </c>
      <c r="L122" s="222">
        <f t="shared" ca="1" si="62"/>
        <v>142.42452850884246</v>
      </c>
      <c r="M122" s="222">
        <f t="shared" ca="1" si="62"/>
        <v>149.72679023632912</v>
      </c>
      <c r="N122" s="222">
        <f t="shared" ca="1" si="62"/>
        <v>157.4034469286087</v>
      </c>
      <c r="O122" s="222">
        <f t="shared" ca="1" si="62"/>
        <v>158.54402664997841</v>
      </c>
      <c r="P122" s="222">
        <f t="shared" ca="1" si="62"/>
        <v>166.67275272019239</v>
      </c>
      <c r="Q122" s="222">
        <f t="shared" ca="1" si="62"/>
        <v>175.21824748816661</v>
      </c>
      <c r="R122" s="222">
        <f t="shared" ca="1" si="62"/>
        <v>184.20187914197044</v>
      </c>
      <c r="S122" s="222">
        <f t="shared" ca="1" si="62"/>
        <v>193.64611144010314</v>
      </c>
      <c r="T122" s="222">
        <f t="shared" ca="1" si="62"/>
        <v>203.7838404003202</v>
      </c>
      <c r="U122" s="222">
        <f t="shared" ca="1" si="62"/>
        <v>214.23206132136133</v>
      </c>
      <c r="V122" s="222">
        <f t="shared" ca="1" si="62"/>
        <v>225.21597398420315</v>
      </c>
      <c r="W122" s="222">
        <f t="shared" ca="1" si="62"/>
        <v>236.76304389176735</v>
      </c>
      <c r="X122" s="222">
        <f t="shared" ca="1" si="62"/>
        <v>248.90214473342297</v>
      </c>
      <c r="Y122" s="222">
        <f t="shared" si="62"/>
        <v>0</v>
      </c>
      <c r="Z122" s="222">
        <f t="shared" si="62"/>
        <v>0</v>
      </c>
      <c r="AA122" s="222">
        <f t="shared" si="62"/>
        <v>0</v>
      </c>
      <c r="AB122" s="222">
        <f t="shared" si="62"/>
        <v>0</v>
      </c>
      <c r="AC122" s="222">
        <f t="shared" si="62"/>
        <v>0</v>
      </c>
      <c r="AD122" s="222">
        <f t="shared" si="62"/>
        <v>0</v>
      </c>
      <c r="AE122" s="222">
        <f t="shared" si="62"/>
        <v>0</v>
      </c>
      <c r="AF122" s="222">
        <f t="shared" si="62"/>
        <v>0</v>
      </c>
      <c r="AG122" s="222">
        <f t="shared" si="62"/>
        <v>0</v>
      </c>
      <c r="AH122" s="222">
        <f t="shared" si="62"/>
        <v>0</v>
      </c>
      <c r="AI122" s="222">
        <f t="shared" si="62"/>
        <v>0</v>
      </c>
      <c r="AJ122" s="222">
        <f t="shared" si="62"/>
        <v>0</v>
      </c>
      <c r="AK122" s="222">
        <f t="shared" si="62"/>
        <v>0</v>
      </c>
      <c r="AL122" s="222">
        <f t="shared" si="62"/>
        <v>0</v>
      </c>
      <c r="AM122" s="222">
        <f t="shared" si="62"/>
        <v>0</v>
      </c>
      <c r="AN122" s="222">
        <f t="shared" si="62"/>
        <v>0</v>
      </c>
      <c r="AO122" s="222">
        <f t="shared" si="62"/>
        <v>0</v>
      </c>
      <c r="AP122" s="222">
        <f t="shared" si="62"/>
        <v>0</v>
      </c>
      <c r="AQ122" s="222">
        <f t="shared" si="62"/>
        <v>0</v>
      </c>
      <c r="AR122" s="223">
        <f t="shared" si="62"/>
        <v>0</v>
      </c>
    </row>
    <row r="123" spans="2:44" s="13" customFormat="1">
      <c r="B123" s="4" t="s">
        <v>141</v>
      </c>
      <c r="C123" s="138"/>
      <c r="E123" s="219">
        <f t="shared" ref="E123:AR123" si="63">IF(Year="",,Man_Fee)</f>
        <v>0</v>
      </c>
      <c r="F123" s="151">
        <f t="shared" si="63"/>
        <v>0</v>
      </c>
      <c r="G123" s="151">
        <f t="shared" si="63"/>
        <v>0</v>
      </c>
      <c r="H123" s="151">
        <f t="shared" si="63"/>
        <v>0</v>
      </c>
      <c r="I123" s="151">
        <f t="shared" si="63"/>
        <v>0</v>
      </c>
      <c r="J123" s="151">
        <f t="shared" si="63"/>
        <v>0</v>
      </c>
      <c r="K123" s="151">
        <f t="shared" si="63"/>
        <v>0</v>
      </c>
      <c r="L123" s="151">
        <f t="shared" si="63"/>
        <v>0</v>
      </c>
      <c r="M123" s="151">
        <f t="shared" si="63"/>
        <v>0</v>
      </c>
      <c r="N123" s="151">
        <f t="shared" si="63"/>
        <v>0</v>
      </c>
      <c r="O123" s="151">
        <f t="shared" si="63"/>
        <v>0</v>
      </c>
      <c r="P123" s="151">
        <f t="shared" si="63"/>
        <v>0</v>
      </c>
      <c r="Q123" s="151">
        <f t="shared" si="63"/>
        <v>0</v>
      </c>
      <c r="R123" s="151">
        <f t="shared" si="63"/>
        <v>0</v>
      </c>
      <c r="S123" s="151">
        <f t="shared" si="63"/>
        <v>0</v>
      </c>
      <c r="T123" s="151">
        <f t="shared" si="63"/>
        <v>0</v>
      </c>
      <c r="U123" s="151">
        <f t="shared" si="63"/>
        <v>0</v>
      </c>
      <c r="V123" s="151">
        <f t="shared" si="63"/>
        <v>0</v>
      </c>
      <c r="W123" s="151">
        <f t="shared" si="63"/>
        <v>0</v>
      </c>
      <c r="X123" s="151">
        <f t="shared" si="63"/>
        <v>0</v>
      </c>
      <c r="Y123" s="151">
        <f t="shared" si="63"/>
        <v>0</v>
      </c>
      <c r="Z123" s="151">
        <f t="shared" si="63"/>
        <v>0</v>
      </c>
      <c r="AA123" s="151">
        <f t="shared" si="63"/>
        <v>0</v>
      </c>
      <c r="AB123" s="151">
        <f t="shared" si="63"/>
        <v>0</v>
      </c>
      <c r="AC123" s="151">
        <f t="shared" si="63"/>
        <v>0</v>
      </c>
      <c r="AD123" s="151">
        <f t="shared" si="63"/>
        <v>0</v>
      </c>
      <c r="AE123" s="151">
        <f t="shared" si="63"/>
        <v>0</v>
      </c>
      <c r="AF123" s="151">
        <f t="shared" si="63"/>
        <v>0</v>
      </c>
      <c r="AG123" s="151">
        <f t="shared" si="63"/>
        <v>0</v>
      </c>
      <c r="AH123" s="151">
        <f t="shared" si="63"/>
        <v>0</v>
      </c>
      <c r="AI123" s="151">
        <f t="shared" si="63"/>
        <v>0</v>
      </c>
      <c r="AJ123" s="151">
        <f t="shared" si="63"/>
        <v>0</v>
      </c>
      <c r="AK123" s="151">
        <f t="shared" si="63"/>
        <v>0</v>
      </c>
      <c r="AL123" s="151">
        <f t="shared" si="63"/>
        <v>0</v>
      </c>
      <c r="AM123" s="151">
        <f t="shared" si="63"/>
        <v>0</v>
      </c>
      <c r="AN123" s="151">
        <f t="shared" si="63"/>
        <v>0</v>
      </c>
      <c r="AO123" s="151">
        <f t="shared" si="63"/>
        <v>0</v>
      </c>
      <c r="AP123" s="151">
        <f t="shared" si="63"/>
        <v>0</v>
      </c>
      <c r="AQ123" s="151">
        <f t="shared" si="63"/>
        <v>0</v>
      </c>
      <c r="AR123" s="152">
        <f t="shared" si="63"/>
        <v>0</v>
      </c>
    </row>
    <row r="124" spans="2:44" s="3" customFormat="1">
      <c r="E124" s="13"/>
      <c r="F124" s="13"/>
      <c r="G124" s="13"/>
      <c r="H124" s="13"/>
      <c r="I124" s="13"/>
      <c r="J124" s="13"/>
      <c r="K124" s="13"/>
      <c r="L124" s="13"/>
      <c r="M124" s="13"/>
      <c r="N124" s="13"/>
      <c r="AB124" s="13"/>
      <c r="AC124" s="13"/>
      <c r="AD124" s="13"/>
      <c r="AE124" s="13"/>
      <c r="AF124" s="13"/>
      <c r="AG124" s="13"/>
      <c r="AH124" s="13"/>
      <c r="AI124" s="13"/>
      <c r="AJ124" s="13"/>
      <c r="AK124" s="13"/>
      <c r="AL124" s="13"/>
      <c r="AM124" s="13"/>
      <c r="AN124" s="13"/>
      <c r="AO124" s="13"/>
      <c r="AP124" s="13"/>
      <c r="AQ124" s="13"/>
      <c r="AR124" s="13"/>
    </row>
    <row r="125" spans="2:44" s="3" customFormat="1">
      <c r="B125" s="4" t="s">
        <v>142</v>
      </c>
      <c r="E125" s="13"/>
    </row>
    <row r="126" spans="2:44" s="3" customFormat="1">
      <c r="B126" s="214" t="s">
        <v>31</v>
      </c>
      <c r="E126" s="13"/>
    </row>
    <row r="127" spans="2:44" s="13" customFormat="1">
      <c r="B127" s="214"/>
      <c r="C127" s="13" t="s">
        <v>143</v>
      </c>
      <c r="E127" s="147">
        <f t="shared" ref="E127:AR127" si="64">IF(Year="",,SUM(E$114,E$117,-E123))</f>
        <v>3.4027197782974715E-2</v>
      </c>
      <c r="F127" s="148">
        <f t="shared" si="64"/>
        <v>9.0661842519340619E-2</v>
      </c>
      <c r="G127" s="148">
        <f t="shared" si="64"/>
        <v>0.24088637887991582</v>
      </c>
      <c r="H127" s="148">
        <f t="shared" si="64"/>
        <v>0.59942669269603543</v>
      </c>
      <c r="I127" s="148">
        <f t="shared" si="64"/>
        <v>1.279477410342805</v>
      </c>
      <c r="J127" s="148">
        <f t="shared" ca="1" si="64"/>
        <v>2.1438067526716109</v>
      </c>
      <c r="K127" s="148">
        <f t="shared" ca="1" si="64"/>
        <v>2.7943489908064505</v>
      </c>
      <c r="L127" s="148">
        <f t="shared" ca="1" si="64"/>
        <v>3.0596646852048885</v>
      </c>
      <c r="M127" s="148">
        <f t="shared" ca="1" si="64"/>
        <v>3.0589197990061736</v>
      </c>
      <c r="N127" s="148">
        <f t="shared" ca="1" si="64"/>
        <v>2.9900515058505999</v>
      </c>
      <c r="O127" s="148">
        <f t="shared" ca="1" si="64"/>
        <v>2.7862588151522005</v>
      </c>
      <c r="P127" s="148">
        <f t="shared" ca="1" si="64"/>
        <v>2.598831702602808</v>
      </c>
      <c r="Q127" s="148">
        <f t="shared" ca="1" si="64"/>
        <v>2.4264253217345826</v>
      </c>
      <c r="R127" s="148">
        <f t="shared" ca="1" si="64"/>
        <v>2.2677199762648472</v>
      </c>
      <c r="S127" s="148">
        <f t="shared" ca="1" si="64"/>
        <v>2.121473211391165</v>
      </c>
      <c r="T127" s="148">
        <f t="shared" ca="1" si="64"/>
        <v>1.9865056136282684</v>
      </c>
      <c r="U127" s="148">
        <f t="shared" ca="1" si="64"/>
        <v>1.8618353989687701</v>
      </c>
      <c r="V127" s="148">
        <f t="shared" ca="1" si="64"/>
        <v>1.7465139156067353</v>
      </c>
      <c r="W127" s="148">
        <f t="shared" ca="1" si="64"/>
        <v>1.6396919508301901</v>
      </c>
      <c r="X127" s="148">
        <f t="shared" ca="1" si="64"/>
        <v>1.540609006707514</v>
      </c>
      <c r="Y127" s="148">
        <f t="shared" si="64"/>
        <v>0</v>
      </c>
      <c r="Z127" s="148">
        <f t="shared" si="64"/>
        <v>0</v>
      </c>
      <c r="AA127" s="148">
        <f t="shared" si="64"/>
        <v>0</v>
      </c>
      <c r="AB127" s="148">
        <f t="shared" si="64"/>
        <v>0</v>
      </c>
      <c r="AC127" s="148">
        <f t="shared" si="64"/>
        <v>0</v>
      </c>
      <c r="AD127" s="148">
        <f t="shared" si="64"/>
        <v>0</v>
      </c>
      <c r="AE127" s="148">
        <f t="shared" si="64"/>
        <v>0</v>
      </c>
      <c r="AF127" s="148">
        <f t="shared" si="64"/>
        <v>0</v>
      </c>
      <c r="AG127" s="148">
        <f t="shared" si="64"/>
        <v>0</v>
      </c>
      <c r="AH127" s="148">
        <f t="shared" si="64"/>
        <v>0</v>
      </c>
      <c r="AI127" s="148">
        <f t="shared" si="64"/>
        <v>0</v>
      </c>
      <c r="AJ127" s="148">
        <f t="shared" si="64"/>
        <v>0</v>
      </c>
      <c r="AK127" s="148">
        <f t="shared" si="64"/>
        <v>0</v>
      </c>
      <c r="AL127" s="148">
        <f t="shared" si="64"/>
        <v>0</v>
      </c>
      <c r="AM127" s="148">
        <f t="shared" si="64"/>
        <v>0</v>
      </c>
      <c r="AN127" s="148">
        <f t="shared" si="64"/>
        <v>0</v>
      </c>
      <c r="AO127" s="148">
        <f t="shared" si="64"/>
        <v>0</v>
      </c>
      <c r="AP127" s="148">
        <f t="shared" si="64"/>
        <v>0</v>
      </c>
      <c r="AQ127" s="148">
        <f t="shared" si="64"/>
        <v>0</v>
      </c>
      <c r="AR127" s="149">
        <f t="shared" si="64"/>
        <v>0</v>
      </c>
    </row>
    <row r="128" spans="2:44" s="13" customFormat="1">
      <c r="B128" s="6"/>
      <c r="C128" s="138" t="s">
        <v>144</v>
      </c>
      <c r="E128" s="213">
        <f t="shared" ref="E128:AR128" si="65">IF(Year="",,E127*DiscountFactor)</f>
        <v>3.1726748921563006E-2</v>
      </c>
      <c r="F128" s="225">
        <f t="shared" si="65"/>
        <v>7.8817619430618394E-2</v>
      </c>
      <c r="G128" s="225">
        <f t="shared" si="65"/>
        <v>0.1952587037888654</v>
      </c>
      <c r="H128" s="225">
        <f t="shared" si="65"/>
        <v>0.45303694853424109</v>
      </c>
      <c r="I128" s="225">
        <f t="shared" si="65"/>
        <v>0.9016324921327179</v>
      </c>
      <c r="J128" s="225">
        <f t="shared" ca="1" si="65"/>
        <v>1.4085814091409263</v>
      </c>
      <c r="K128" s="225">
        <f t="shared" ca="1" si="65"/>
        <v>1.7118919463306181</v>
      </c>
      <c r="L128" s="225">
        <f t="shared" ca="1" si="65"/>
        <v>1.7477082005271638</v>
      </c>
      <c r="M128" s="225">
        <f t="shared" ca="1" si="65"/>
        <v>1.6291556048883546</v>
      </c>
      <c r="N128" s="225">
        <f t="shared" ca="1" si="65"/>
        <v>1.4848156353847823</v>
      </c>
      <c r="O128" s="225">
        <f t="shared" ca="1" si="65"/>
        <v>1.2900742431128278</v>
      </c>
      <c r="P128" s="225">
        <f t="shared" ca="1" si="65"/>
        <v>1.1219429946347452</v>
      </c>
      <c r="Q128" s="225">
        <f t="shared" ca="1" si="65"/>
        <v>0.97669496980677895</v>
      </c>
      <c r="R128" s="225">
        <f t="shared" ca="1" si="65"/>
        <v>0.8511004761792299</v>
      </c>
      <c r="S128" s="225">
        <f t="shared" ca="1" si="65"/>
        <v>0.7423835603938389</v>
      </c>
      <c r="T128" s="225">
        <f t="shared" ca="1" si="65"/>
        <v>0.64815664363214687</v>
      </c>
      <c r="U128" s="225">
        <f t="shared" ca="1" si="65"/>
        <v>0.56640991855841583</v>
      </c>
      <c r="V128" s="225">
        <f t="shared" ca="1" si="65"/>
        <v>0.49540570449973093</v>
      </c>
      <c r="W128" s="225">
        <f t="shared" ca="1" si="65"/>
        <v>0.43366123653093458</v>
      </c>
      <c r="X128" s="225">
        <f t="shared" ca="1" si="65"/>
        <v>0.37990950367516724</v>
      </c>
      <c r="Y128" s="225">
        <f t="shared" si="65"/>
        <v>0</v>
      </c>
      <c r="Z128" s="225">
        <f t="shared" si="65"/>
        <v>0</v>
      </c>
      <c r="AA128" s="225">
        <f t="shared" si="65"/>
        <v>0</v>
      </c>
      <c r="AB128" s="225">
        <f t="shared" si="65"/>
        <v>0</v>
      </c>
      <c r="AC128" s="225">
        <f t="shared" si="65"/>
        <v>0</v>
      </c>
      <c r="AD128" s="225">
        <f t="shared" si="65"/>
        <v>0</v>
      </c>
      <c r="AE128" s="225">
        <f t="shared" si="65"/>
        <v>0</v>
      </c>
      <c r="AF128" s="225">
        <f t="shared" si="65"/>
        <v>0</v>
      </c>
      <c r="AG128" s="225">
        <f t="shared" si="65"/>
        <v>0</v>
      </c>
      <c r="AH128" s="225">
        <f t="shared" si="65"/>
        <v>0</v>
      </c>
      <c r="AI128" s="225">
        <f t="shared" si="65"/>
        <v>0</v>
      </c>
      <c r="AJ128" s="225">
        <f t="shared" si="65"/>
        <v>0</v>
      </c>
      <c r="AK128" s="225">
        <f t="shared" si="65"/>
        <v>0</v>
      </c>
      <c r="AL128" s="225">
        <f t="shared" si="65"/>
        <v>0</v>
      </c>
      <c r="AM128" s="225">
        <f t="shared" si="65"/>
        <v>0</v>
      </c>
      <c r="AN128" s="225">
        <f t="shared" si="65"/>
        <v>0</v>
      </c>
      <c r="AO128" s="225">
        <f t="shared" si="65"/>
        <v>0</v>
      </c>
      <c r="AP128" s="225">
        <f t="shared" si="65"/>
        <v>0</v>
      </c>
      <c r="AQ128" s="225">
        <f t="shared" si="65"/>
        <v>0</v>
      </c>
      <c r="AR128" s="226">
        <f t="shared" si="65"/>
        <v>0</v>
      </c>
    </row>
    <row r="129" spans="2:44" s="13" customFormat="1">
      <c r="C129" s="214" t="s">
        <v>145</v>
      </c>
      <c r="D129" s="215"/>
      <c r="E129" s="218">
        <f t="shared" ref="E129:AR129" si="66">IF(Year="","",IF(OR(Tariff_Period=1,MOD(Year,Tariff_Period)=1),E128,D129+E128))</f>
        <v>3.1726748921563006E-2</v>
      </c>
      <c r="F129" s="151">
        <f t="shared" si="66"/>
        <v>0.1105443683521814</v>
      </c>
      <c r="G129" s="151">
        <f t="shared" si="66"/>
        <v>0.30580307214104679</v>
      </c>
      <c r="H129" s="151">
        <f t="shared" si="66"/>
        <v>0.75884002067528789</v>
      </c>
      <c r="I129" s="151">
        <f t="shared" si="66"/>
        <v>1.6604725128080058</v>
      </c>
      <c r="J129" s="151">
        <f t="shared" ca="1" si="66"/>
        <v>1.4085814091409263</v>
      </c>
      <c r="K129" s="151">
        <f t="shared" ca="1" si="66"/>
        <v>3.1204733554715443</v>
      </c>
      <c r="L129" s="151">
        <f t="shared" ca="1" si="66"/>
        <v>4.8681815559987083</v>
      </c>
      <c r="M129" s="151">
        <f t="shared" ca="1" si="66"/>
        <v>6.4973371608870627</v>
      </c>
      <c r="N129" s="151">
        <f t="shared" ca="1" si="66"/>
        <v>7.982152796271845</v>
      </c>
      <c r="O129" s="151">
        <f t="shared" ca="1" si="66"/>
        <v>1.2900742431128278</v>
      </c>
      <c r="P129" s="151">
        <f t="shared" ca="1" si="66"/>
        <v>2.4120172377475733</v>
      </c>
      <c r="Q129" s="151">
        <f t="shared" ca="1" si="66"/>
        <v>3.3887122075543523</v>
      </c>
      <c r="R129" s="151">
        <f t="shared" ca="1" si="66"/>
        <v>4.2398126837335823</v>
      </c>
      <c r="S129" s="151">
        <f t="shared" ca="1" si="66"/>
        <v>4.9821962441274215</v>
      </c>
      <c r="T129" s="151">
        <f t="shared" ca="1" si="66"/>
        <v>0.64815664363214687</v>
      </c>
      <c r="U129" s="151">
        <f t="shared" ca="1" si="66"/>
        <v>1.2145665621905626</v>
      </c>
      <c r="V129" s="151">
        <f t="shared" ca="1" si="66"/>
        <v>1.7099722666902935</v>
      </c>
      <c r="W129" s="151">
        <f t="shared" ca="1" si="66"/>
        <v>2.1436335032212281</v>
      </c>
      <c r="X129" s="151">
        <f t="shared" ca="1" si="66"/>
        <v>2.5235430068963955</v>
      </c>
      <c r="Y129" s="151" t="str">
        <f t="shared" si="66"/>
        <v/>
      </c>
      <c r="Z129" s="151" t="str">
        <f t="shared" si="66"/>
        <v/>
      </c>
      <c r="AA129" s="151" t="str">
        <f t="shared" si="66"/>
        <v/>
      </c>
      <c r="AB129" s="151" t="str">
        <f t="shared" si="66"/>
        <v/>
      </c>
      <c r="AC129" s="151" t="str">
        <f t="shared" si="66"/>
        <v/>
      </c>
      <c r="AD129" s="151" t="str">
        <f t="shared" si="66"/>
        <v/>
      </c>
      <c r="AE129" s="151" t="str">
        <f t="shared" si="66"/>
        <v/>
      </c>
      <c r="AF129" s="151" t="str">
        <f t="shared" si="66"/>
        <v/>
      </c>
      <c r="AG129" s="151" t="str">
        <f t="shared" si="66"/>
        <v/>
      </c>
      <c r="AH129" s="151" t="str">
        <f t="shared" si="66"/>
        <v/>
      </c>
      <c r="AI129" s="151" t="str">
        <f t="shared" si="66"/>
        <v/>
      </c>
      <c r="AJ129" s="151" t="str">
        <f t="shared" si="66"/>
        <v/>
      </c>
      <c r="AK129" s="151" t="str">
        <f t="shared" si="66"/>
        <v/>
      </c>
      <c r="AL129" s="151" t="str">
        <f t="shared" si="66"/>
        <v/>
      </c>
      <c r="AM129" s="151" t="str">
        <f t="shared" si="66"/>
        <v/>
      </c>
      <c r="AN129" s="151" t="str">
        <f t="shared" si="66"/>
        <v/>
      </c>
      <c r="AO129" s="151" t="str">
        <f t="shared" si="66"/>
        <v/>
      </c>
      <c r="AP129" s="151" t="str">
        <f t="shared" si="66"/>
        <v/>
      </c>
      <c r="AQ129" s="151" t="str">
        <f t="shared" si="66"/>
        <v/>
      </c>
      <c r="AR129" s="152" t="str">
        <f t="shared" si="66"/>
        <v/>
      </c>
    </row>
    <row r="130" spans="2:44" s="3" customFormat="1">
      <c r="B130" s="214" t="s">
        <v>30</v>
      </c>
      <c r="D130" s="13"/>
      <c r="E130" s="230"/>
      <c r="F130" s="230"/>
      <c r="G130" s="230"/>
      <c r="H130" s="230"/>
      <c r="I130" s="230"/>
      <c r="J130" s="230"/>
      <c r="K130" s="230"/>
    </row>
    <row r="131" spans="2:44" s="13" customFormat="1">
      <c r="C131" s="13" t="s">
        <v>143</v>
      </c>
      <c r="E131" s="147">
        <f t="shared" ref="E131:AR131" si="67">IF(Year="",,SUM(E$115,E$118,E$119,E$21,E$24*E107/(1-UFW_FC),E$22*E122,E$25*(E107/(1-UFW_FC))*E122))</f>
        <v>61.685086379300451</v>
      </c>
      <c r="F131" s="148">
        <f t="shared" si="67"/>
        <v>66.594819839450182</v>
      </c>
      <c r="G131" s="148">
        <f t="shared" si="67"/>
        <v>73.052324209478442</v>
      </c>
      <c r="H131" s="148">
        <f t="shared" si="67"/>
        <v>82.53954046170098</v>
      </c>
      <c r="I131" s="148">
        <f t="shared" si="67"/>
        <v>96.771076889453084</v>
      </c>
      <c r="J131" s="148">
        <f t="shared" ca="1" si="67"/>
        <v>118.61615984455518</v>
      </c>
      <c r="K131" s="148">
        <f t="shared" ca="1" si="67"/>
        <v>137.21610605773961</v>
      </c>
      <c r="L131" s="148">
        <f t="shared" ca="1" si="67"/>
        <v>152.83814273314286</v>
      </c>
      <c r="M131" s="148">
        <f t="shared" ca="1" si="67"/>
        <v>166.38783226974303</v>
      </c>
      <c r="N131" s="148">
        <f t="shared" ca="1" si="67"/>
        <v>180.1568474181999</v>
      </c>
      <c r="O131" s="148">
        <f t="shared" ca="1" si="67"/>
        <v>173.53740206701008</v>
      </c>
      <c r="P131" s="148">
        <f t="shared" ca="1" si="67"/>
        <v>186.01459453708645</v>
      </c>
      <c r="Q131" s="148">
        <f t="shared" ca="1" si="67"/>
        <v>199.60494138228677</v>
      </c>
      <c r="R131" s="148">
        <f t="shared" ca="1" si="67"/>
        <v>214.42341070295132</v>
      </c>
      <c r="S131" s="148">
        <f t="shared" ca="1" si="67"/>
        <v>230.5922224108383</v>
      </c>
      <c r="T131" s="148">
        <f t="shared" ca="1" si="67"/>
        <v>253.74489063823091</v>
      </c>
      <c r="U131" s="148">
        <f t="shared" ca="1" si="67"/>
        <v>273.49992487390011</v>
      </c>
      <c r="V131" s="148">
        <f t="shared" ca="1" si="67"/>
        <v>295.08436988748224</v>
      </c>
      <c r="W131" s="148">
        <f t="shared" ca="1" si="67"/>
        <v>318.67408915002176</v>
      </c>
      <c r="X131" s="148">
        <f t="shared" ca="1" si="67"/>
        <v>344.46259711777657</v>
      </c>
      <c r="Y131" s="148">
        <f t="shared" si="67"/>
        <v>0</v>
      </c>
      <c r="Z131" s="148">
        <f t="shared" si="67"/>
        <v>0</v>
      </c>
      <c r="AA131" s="148">
        <f t="shared" si="67"/>
        <v>0</v>
      </c>
      <c r="AB131" s="148">
        <f t="shared" si="67"/>
        <v>0</v>
      </c>
      <c r="AC131" s="148">
        <f t="shared" si="67"/>
        <v>0</v>
      </c>
      <c r="AD131" s="148">
        <f t="shared" si="67"/>
        <v>0</v>
      </c>
      <c r="AE131" s="148">
        <f t="shared" si="67"/>
        <v>0</v>
      </c>
      <c r="AF131" s="148">
        <f t="shared" si="67"/>
        <v>0</v>
      </c>
      <c r="AG131" s="148">
        <f t="shared" si="67"/>
        <v>0</v>
      </c>
      <c r="AH131" s="148">
        <f t="shared" si="67"/>
        <v>0</v>
      </c>
      <c r="AI131" s="148">
        <f t="shared" si="67"/>
        <v>0</v>
      </c>
      <c r="AJ131" s="148">
        <f t="shared" si="67"/>
        <v>0</v>
      </c>
      <c r="AK131" s="148">
        <f t="shared" si="67"/>
        <v>0</v>
      </c>
      <c r="AL131" s="148">
        <f t="shared" si="67"/>
        <v>0</v>
      </c>
      <c r="AM131" s="148">
        <f t="shared" si="67"/>
        <v>0</v>
      </c>
      <c r="AN131" s="148">
        <f t="shared" si="67"/>
        <v>0</v>
      </c>
      <c r="AO131" s="148">
        <f t="shared" si="67"/>
        <v>0</v>
      </c>
      <c r="AP131" s="148">
        <f t="shared" si="67"/>
        <v>0</v>
      </c>
      <c r="AQ131" s="148">
        <f t="shared" si="67"/>
        <v>0</v>
      </c>
      <c r="AR131" s="149">
        <f t="shared" si="67"/>
        <v>0</v>
      </c>
    </row>
    <row r="132" spans="2:44" s="13" customFormat="1">
      <c r="B132" s="6"/>
      <c r="C132" s="138" t="s">
        <v>144</v>
      </c>
      <c r="E132" s="224">
        <f t="shared" ref="E132:AR132" si="68">IF(Year="",,E131*DiscountFactor)</f>
        <v>57.514793320424324</v>
      </c>
      <c r="F132" s="225">
        <f t="shared" si="68"/>
        <v>57.8947550623258</v>
      </c>
      <c r="G132" s="225">
        <f t="shared" si="68"/>
        <v>59.215063135709734</v>
      </c>
      <c r="H132" s="225">
        <f t="shared" si="68"/>
        <v>62.382042708180613</v>
      </c>
      <c r="I132" s="225">
        <f t="shared" si="68"/>
        <v>68.193425313251439</v>
      </c>
      <c r="J132" s="225">
        <f t="shared" ca="1" si="68"/>
        <v>77.936370604539448</v>
      </c>
      <c r="K132" s="225">
        <f t="shared" ca="1" si="68"/>
        <v>84.062208278179455</v>
      </c>
      <c r="L132" s="225">
        <f t="shared" ca="1" si="68"/>
        <v>87.302532430990112</v>
      </c>
      <c r="M132" s="225">
        <f t="shared" ca="1" si="68"/>
        <v>88.616795254175997</v>
      </c>
      <c r="N132" s="225">
        <f t="shared" ca="1" si="68"/>
        <v>89.463242805269445</v>
      </c>
      <c r="O132" s="225">
        <f t="shared" ca="1" si="68"/>
        <v>80.350084997805624</v>
      </c>
      <c r="P132" s="225">
        <f t="shared" ca="1" si="68"/>
        <v>80.304457973053658</v>
      </c>
      <c r="Q132" s="225">
        <f t="shared" ca="1" si="68"/>
        <v>80.345824143184416</v>
      </c>
      <c r="R132" s="225">
        <f t="shared" ca="1" si="68"/>
        <v>80.475485890389649</v>
      </c>
      <c r="S132" s="225">
        <f t="shared" ca="1" si="68"/>
        <v>80.692923272987713</v>
      </c>
      <c r="T132" s="225">
        <f t="shared" ca="1" si="68"/>
        <v>82.791830804087652</v>
      </c>
      <c r="U132" s="225">
        <f t="shared" ca="1" si="68"/>
        <v>83.204492867286532</v>
      </c>
      <c r="V132" s="225">
        <f t="shared" ca="1" si="68"/>
        <v>83.701869675731984</v>
      </c>
      <c r="W132" s="225">
        <f t="shared" ca="1" si="68"/>
        <v>84.282050345613754</v>
      </c>
      <c r="X132" s="225">
        <f t="shared" ca="1" si="68"/>
        <v>84.943430640684525</v>
      </c>
      <c r="Y132" s="225">
        <f t="shared" si="68"/>
        <v>0</v>
      </c>
      <c r="Z132" s="225">
        <f t="shared" si="68"/>
        <v>0</v>
      </c>
      <c r="AA132" s="225">
        <f t="shared" si="68"/>
        <v>0</v>
      </c>
      <c r="AB132" s="225">
        <f t="shared" si="68"/>
        <v>0</v>
      </c>
      <c r="AC132" s="225">
        <f t="shared" si="68"/>
        <v>0</v>
      </c>
      <c r="AD132" s="225">
        <f t="shared" si="68"/>
        <v>0</v>
      </c>
      <c r="AE132" s="225">
        <f t="shared" si="68"/>
        <v>0</v>
      </c>
      <c r="AF132" s="225">
        <f t="shared" si="68"/>
        <v>0</v>
      </c>
      <c r="AG132" s="225">
        <f t="shared" si="68"/>
        <v>0</v>
      </c>
      <c r="AH132" s="225">
        <f t="shared" si="68"/>
        <v>0</v>
      </c>
      <c r="AI132" s="225">
        <f t="shared" si="68"/>
        <v>0</v>
      </c>
      <c r="AJ132" s="225">
        <f t="shared" si="68"/>
        <v>0</v>
      </c>
      <c r="AK132" s="225">
        <f t="shared" si="68"/>
        <v>0</v>
      </c>
      <c r="AL132" s="225">
        <f t="shared" si="68"/>
        <v>0</v>
      </c>
      <c r="AM132" s="225">
        <f t="shared" si="68"/>
        <v>0</v>
      </c>
      <c r="AN132" s="225">
        <f t="shared" si="68"/>
        <v>0</v>
      </c>
      <c r="AO132" s="225">
        <f t="shared" si="68"/>
        <v>0</v>
      </c>
      <c r="AP132" s="225">
        <f t="shared" si="68"/>
        <v>0</v>
      </c>
      <c r="AQ132" s="225">
        <f t="shared" si="68"/>
        <v>0</v>
      </c>
      <c r="AR132" s="226">
        <f t="shared" si="68"/>
        <v>0</v>
      </c>
    </row>
    <row r="133" spans="2:44" s="13" customFormat="1">
      <c r="C133" s="214" t="s">
        <v>145</v>
      </c>
      <c r="D133" s="215"/>
      <c r="E133" s="218">
        <f t="shared" ref="E133:AR133" si="69">IF(Year="","",IF(OR(Tariff_Period=1,MOD(Year,Tariff_Period)=1),E132,D133+E132))</f>
        <v>57.514793320424324</v>
      </c>
      <c r="F133" s="151">
        <f t="shared" si="69"/>
        <v>115.40954838275013</v>
      </c>
      <c r="G133" s="151">
        <f t="shared" si="69"/>
        <v>174.62461151845986</v>
      </c>
      <c r="H133" s="151">
        <f t="shared" si="69"/>
        <v>237.00665422664048</v>
      </c>
      <c r="I133" s="151">
        <f t="shared" si="69"/>
        <v>305.20007953989193</v>
      </c>
      <c r="J133" s="151">
        <f t="shared" ca="1" si="69"/>
        <v>77.936370604539448</v>
      </c>
      <c r="K133" s="151">
        <f t="shared" ca="1" si="69"/>
        <v>161.9985788827189</v>
      </c>
      <c r="L133" s="151">
        <f t="shared" ca="1" si="69"/>
        <v>249.30111131370901</v>
      </c>
      <c r="M133" s="151">
        <f t="shared" ca="1" si="69"/>
        <v>337.91790656788498</v>
      </c>
      <c r="N133" s="151">
        <f t="shared" ca="1" si="69"/>
        <v>427.38114937315441</v>
      </c>
      <c r="O133" s="151">
        <f t="shared" ca="1" si="69"/>
        <v>80.350084997805624</v>
      </c>
      <c r="P133" s="151">
        <f t="shared" ca="1" si="69"/>
        <v>160.65454297085927</v>
      </c>
      <c r="Q133" s="151">
        <f t="shared" ca="1" si="69"/>
        <v>241.00036711404368</v>
      </c>
      <c r="R133" s="151">
        <f t="shared" ca="1" si="69"/>
        <v>321.47585300443336</v>
      </c>
      <c r="S133" s="151">
        <f t="shared" ca="1" si="69"/>
        <v>402.1687762774211</v>
      </c>
      <c r="T133" s="151">
        <f t="shared" ca="1" si="69"/>
        <v>82.791830804087652</v>
      </c>
      <c r="U133" s="151">
        <f t="shared" ca="1" si="69"/>
        <v>165.99632367137417</v>
      </c>
      <c r="V133" s="151">
        <f t="shared" ca="1" si="69"/>
        <v>249.69819334710616</v>
      </c>
      <c r="W133" s="151">
        <f t="shared" ca="1" si="69"/>
        <v>333.98024369271991</v>
      </c>
      <c r="X133" s="151">
        <f t="shared" ca="1" si="69"/>
        <v>418.92367433340445</v>
      </c>
      <c r="Y133" s="151" t="str">
        <f t="shared" si="69"/>
        <v/>
      </c>
      <c r="Z133" s="151" t="str">
        <f t="shared" si="69"/>
        <v/>
      </c>
      <c r="AA133" s="151" t="str">
        <f t="shared" si="69"/>
        <v/>
      </c>
      <c r="AB133" s="151" t="str">
        <f t="shared" si="69"/>
        <v/>
      </c>
      <c r="AC133" s="151" t="str">
        <f t="shared" si="69"/>
        <v/>
      </c>
      <c r="AD133" s="151" t="str">
        <f t="shared" si="69"/>
        <v/>
      </c>
      <c r="AE133" s="151" t="str">
        <f t="shared" si="69"/>
        <v/>
      </c>
      <c r="AF133" s="151" t="str">
        <f t="shared" si="69"/>
        <v/>
      </c>
      <c r="AG133" s="151" t="str">
        <f t="shared" si="69"/>
        <v/>
      </c>
      <c r="AH133" s="151" t="str">
        <f t="shared" si="69"/>
        <v/>
      </c>
      <c r="AI133" s="151" t="str">
        <f t="shared" si="69"/>
        <v/>
      </c>
      <c r="AJ133" s="151" t="str">
        <f t="shared" si="69"/>
        <v/>
      </c>
      <c r="AK133" s="151" t="str">
        <f t="shared" si="69"/>
        <v/>
      </c>
      <c r="AL133" s="151" t="str">
        <f t="shared" si="69"/>
        <v/>
      </c>
      <c r="AM133" s="151" t="str">
        <f t="shared" si="69"/>
        <v/>
      </c>
      <c r="AN133" s="151" t="str">
        <f t="shared" si="69"/>
        <v/>
      </c>
      <c r="AO133" s="151" t="str">
        <f t="shared" si="69"/>
        <v/>
      </c>
      <c r="AP133" s="151" t="str">
        <f t="shared" si="69"/>
        <v/>
      </c>
      <c r="AQ133" s="151" t="str">
        <f t="shared" si="69"/>
        <v/>
      </c>
      <c r="AR133" s="152" t="str">
        <f t="shared" si="69"/>
        <v/>
      </c>
    </row>
    <row r="134" spans="2:44" s="3" customFormat="1"/>
    <row r="135" spans="2:44" s="3" customFormat="1">
      <c r="B135" s="4" t="s">
        <v>144</v>
      </c>
      <c r="E135" s="175"/>
    </row>
    <row r="136" spans="2:44" s="13" customFormat="1">
      <c r="C136" s="214" t="s">
        <v>31</v>
      </c>
      <c r="D136" s="147">
        <f t="shared" ref="D136:AR136" si="70">IF(Year&gt;Contract_Length,"",IF(Year&lt;INT(Contract_Length/Tariff_Period)*Tariff_Period,IF(MOD(Year,Tariff_Period)=0,INDEX(129:129,1,COLUMN()+Tariff_Period),),IF(Year=INT(Contract_Length/Tariff_Period)*Tariff_Period,INDEX(129:129,1,Contract_Length+4),)))</f>
        <v>1.6604725128080058</v>
      </c>
      <c r="E136" s="148">
        <f t="shared" si="70"/>
        <v>0</v>
      </c>
      <c r="F136" s="148">
        <f t="shared" si="70"/>
        <v>0</v>
      </c>
      <c r="G136" s="148">
        <f t="shared" si="70"/>
        <v>0</v>
      </c>
      <c r="H136" s="148">
        <f t="shared" si="70"/>
        <v>0</v>
      </c>
      <c r="I136" s="148">
        <f t="shared" ca="1" si="70"/>
        <v>7.982152796271845</v>
      </c>
      <c r="J136" s="148">
        <f t="shared" si="70"/>
        <v>0</v>
      </c>
      <c r="K136" s="148">
        <f t="shared" si="70"/>
        <v>0</v>
      </c>
      <c r="L136" s="148">
        <f t="shared" si="70"/>
        <v>0</v>
      </c>
      <c r="M136" s="148">
        <f t="shared" si="70"/>
        <v>0</v>
      </c>
      <c r="N136" s="148">
        <f t="shared" ca="1" si="70"/>
        <v>4.9821962441274215</v>
      </c>
      <c r="O136" s="148">
        <f t="shared" si="70"/>
        <v>0</v>
      </c>
      <c r="P136" s="148">
        <f t="shared" si="70"/>
        <v>0</v>
      </c>
      <c r="Q136" s="148">
        <f t="shared" si="70"/>
        <v>0</v>
      </c>
      <c r="R136" s="148">
        <f t="shared" si="70"/>
        <v>0</v>
      </c>
      <c r="S136" s="148">
        <f t="shared" ca="1" si="70"/>
        <v>2.5235430068963955</v>
      </c>
      <c r="T136" s="148">
        <f t="shared" si="70"/>
        <v>0</v>
      </c>
      <c r="U136" s="148">
        <f t="shared" si="70"/>
        <v>0</v>
      </c>
      <c r="V136" s="148">
        <f t="shared" si="70"/>
        <v>0</v>
      </c>
      <c r="W136" s="148">
        <f t="shared" si="70"/>
        <v>0</v>
      </c>
      <c r="X136" s="148">
        <f t="shared" ca="1" si="70"/>
        <v>2.5235430068963955</v>
      </c>
      <c r="Y136" s="148" t="str">
        <f t="shared" si="70"/>
        <v/>
      </c>
      <c r="Z136" s="148" t="str">
        <f t="shared" si="70"/>
        <v/>
      </c>
      <c r="AA136" s="148" t="str">
        <f t="shared" si="70"/>
        <v/>
      </c>
      <c r="AB136" s="148" t="str">
        <f t="shared" si="70"/>
        <v/>
      </c>
      <c r="AC136" s="148" t="str">
        <f t="shared" si="70"/>
        <v/>
      </c>
      <c r="AD136" s="148" t="str">
        <f t="shared" si="70"/>
        <v/>
      </c>
      <c r="AE136" s="148" t="str">
        <f t="shared" si="70"/>
        <v/>
      </c>
      <c r="AF136" s="148" t="str">
        <f t="shared" si="70"/>
        <v/>
      </c>
      <c r="AG136" s="148" t="str">
        <f t="shared" si="70"/>
        <v/>
      </c>
      <c r="AH136" s="148" t="str">
        <f t="shared" si="70"/>
        <v/>
      </c>
      <c r="AI136" s="148" t="str">
        <f t="shared" si="70"/>
        <v/>
      </c>
      <c r="AJ136" s="148" t="str">
        <f t="shared" si="70"/>
        <v/>
      </c>
      <c r="AK136" s="148" t="str">
        <f t="shared" si="70"/>
        <v/>
      </c>
      <c r="AL136" s="148" t="str">
        <f t="shared" si="70"/>
        <v/>
      </c>
      <c r="AM136" s="148" t="str">
        <f t="shared" si="70"/>
        <v/>
      </c>
      <c r="AN136" s="148" t="str">
        <f t="shared" si="70"/>
        <v/>
      </c>
      <c r="AO136" s="148" t="str">
        <f t="shared" si="70"/>
        <v/>
      </c>
      <c r="AP136" s="148" t="str">
        <f t="shared" si="70"/>
        <v/>
      </c>
      <c r="AQ136" s="148" t="str">
        <f t="shared" si="70"/>
        <v/>
      </c>
      <c r="AR136" s="149" t="str">
        <f t="shared" si="70"/>
        <v/>
      </c>
    </row>
    <row r="137" spans="2:44" s="13" customFormat="1">
      <c r="C137" s="214" t="s">
        <v>30</v>
      </c>
      <c r="D137" s="150">
        <f t="shared" ref="D137:AR137" si="71">IF(Year&gt;Contract_Length,"",IF(Year&lt;INT(Contract_Length/Tariff_Period)*Tariff_Period,IF(MOD(Year,Tariff_Period)=0,INDEX(133:133,1,COLUMN()+Tariff_Period),),IF(Year=INT(Contract_Length/Tariff_Period)*Tariff_Period,INDEX(133:133,1,Contract_Length+4),)))</f>
        <v>305.20007953989193</v>
      </c>
      <c r="E137" s="151">
        <f t="shared" si="71"/>
        <v>0</v>
      </c>
      <c r="F137" s="151">
        <f t="shared" si="71"/>
        <v>0</v>
      </c>
      <c r="G137" s="151">
        <f t="shared" si="71"/>
        <v>0</v>
      </c>
      <c r="H137" s="151">
        <f t="shared" si="71"/>
        <v>0</v>
      </c>
      <c r="I137" s="151">
        <f t="shared" ca="1" si="71"/>
        <v>427.38114937315441</v>
      </c>
      <c r="J137" s="151">
        <f t="shared" si="71"/>
        <v>0</v>
      </c>
      <c r="K137" s="151">
        <f t="shared" si="71"/>
        <v>0</v>
      </c>
      <c r="L137" s="151">
        <f t="shared" si="71"/>
        <v>0</v>
      </c>
      <c r="M137" s="151">
        <f t="shared" si="71"/>
        <v>0</v>
      </c>
      <c r="N137" s="151">
        <f t="shared" ca="1" si="71"/>
        <v>402.1687762774211</v>
      </c>
      <c r="O137" s="151">
        <f t="shared" si="71"/>
        <v>0</v>
      </c>
      <c r="P137" s="151">
        <f t="shared" si="71"/>
        <v>0</v>
      </c>
      <c r="Q137" s="151">
        <f t="shared" si="71"/>
        <v>0</v>
      </c>
      <c r="R137" s="151">
        <f t="shared" si="71"/>
        <v>0</v>
      </c>
      <c r="S137" s="151">
        <f t="shared" ca="1" si="71"/>
        <v>418.92367433340445</v>
      </c>
      <c r="T137" s="151">
        <f t="shared" si="71"/>
        <v>0</v>
      </c>
      <c r="U137" s="151">
        <f t="shared" si="71"/>
        <v>0</v>
      </c>
      <c r="V137" s="151">
        <f t="shared" si="71"/>
        <v>0</v>
      </c>
      <c r="W137" s="151">
        <f t="shared" si="71"/>
        <v>0</v>
      </c>
      <c r="X137" s="151">
        <f t="shared" ca="1" si="71"/>
        <v>418.92367433340445</v>
      </c>
      <c r="Y137" s="151" t="str">
        <f t="shared" si="71"/>
        <v/>
      </c>
      <c r="Z137" s="151" t="str">
        <f t="shared" si="71"/>
        <v/>
      </c>
      <c r="AA137" s="151" t="str">
        <f t="shared" si="71"/>
        <v/>
      </c>
      <c r="AB137" s="151" t="str">
        <f t="shared" si="71"/>
        <v/>
      </c>
      <c r="AC137" s="151" t="str">
        <f t="shared" si="71"/>
        <v/>
      </c>
      <c r="AD137" s="151" t="str">
        <f t="shared" si="71"/>
        <v/>
      </c>
      <c r="AE137" s="151" t="str">
        <f t="shared" si="71"/>
        <v/>
      </c>
      <c r="AF137" s="151" t="str">
        <f t="shared" si="71"/>
        <v/>
      </c>
      <c r="AG137" s="151" t="str">
        <f t="shared" si="71"/>
        <v/>
      </c>
      <c r="AH137" s="151" t="str">
        <f t="shared" si="71"/>
        <v/>
      </c>
      <c r="AI137" s="151" t="str">
        <f t="shared" si="71"/>
        <v/>
      </c>
      <c r="AJ137" s="151" t="str">
        <f t="shared" si="71"/>
        <v/>
      </c>
      <c r="AK137" s="151" t="str">
        <f t="shared" si="71"/>
        <v/>
      </c>
      <c r="AL137" s="151" t="str">
        <f t="shared" si="71"/>
        <v/>
      </c>
      <c r="AM137" s="151" t="str">
        <f t="shared" si="71"/>
        <v/>
      </c>
      <c r="AN137" s="151" t="str">
        <f t="shared" si="71"/>
        <v/>
      </c>
      <c r="AO137" s="151" t="str">
        <f t="shared" si="71"/>
        <v/>
      </c>
      <c r="AP137" s="151" t="str">
        <f t="shared" si="71"/>
        <v/>
      </c>
      <c r="AQ137" s="151" t="str">
        <f t="shared" si="71"/>
        <v/>
      </c>
      <c r="AR137" s="152" t="str">
        <f t="shared" si="71"/>
        <v/>
      </c>
    </row>
    <row r="138" spans="2:44" s="13" customFormat="1">
      <c r="C138" s="231"/>
    </row>
    <row r="139" spans="2:44" s="13" customFormat="1" ht="15.6">
      <c r="B139" s="232" t="s">
        <v>146</v>
      </c>
    </row>
    <row r="140" spans="2:44" s="13" customFormat="1">
      <c r="B140" s="138" t="s">
        <v>16</v>
      </c>
    </row>
    <row r="141" spans="2:44" s="13" customFormat="1">
      <c r="C141" s="214" t="s">
        <v>31</v>
      </c>
      <c r="E141" s="233">
        <f t="shared" ref="E141:AR141" ca="1" si="72">IF(Year="","",IF(SUM(109:109)=0,,SUM(128:128)/SUM(109:109)))</f>
        <v>0.60280440658350554</v>
      </c>
      <c r="F141" s="234">
        <f t="shared" ca="1" si="72"/>
        <v>0.60280440658350554</v>
      </c>
      <c r="G141" s="234">
        <f t="shared" ca="1" si="72"/>
        <v>0.60280440658350554</v>
      </c>
      <c r="H141" s="234">
        <f t="shared" ca="1" si="72"/>
        <v>0.60280440658350554</v>
      </c>
      <c r="I141" s="234">
        <f t="shared" ca="1" si="72"/>
        <v>0.60280440658350554</v>
      </c>
      <c r="J141" s="234">
        <f t="shared" ca="1" si="72"/>
        <v>0.60280440658350554</v>
      </c>
      <c r="K141" s="234">
        <f t="shared" ca="1" si="72"/>
        <v>0.60280440658350554</v>
      </c>
      <c r="L141" s="234">
        <f t="shared" ca="1" si="72"/>
        <v>0.60280440658350554</v>
      </c>
      <c r="M141" s="234">
        <f t="shared" ca="1" si="72"/>
        <v>0.60280440658350554</v>
      </c>
      <c r="N141" s="234">
        <f t="shared" ca="1" si="72"/>
        <v>0.60280440658350554</v>
      </c>
      <c r="O141" s="234">
        <f t="shared" ca="1" si="72"/>
        <v>0.60280440658350554</v>
      </c>
      <c r="P141" s="234">
        <f t="shared" ca="1" si="72"/>
        <v>0.60280440658350554</v>
      </c>
      <c r="Q141" s="234">
        <f t="shared" ca="1" si="72"/>
        <v>0.60280440658350554</v>
      </c>
      <c r="R141" s="234">
        <f t="shared" ca="1" si="72"/>
        <v>0.60280440658350554</v>
      </c>
      <c r="S141" s="234">
        <f t="shared" ca="1" si="72"/>
        <v>0.60280440658350554</v>
      </c>
      <c r="T141" s="234">
        <f t="shared" ca="1" si="72"/>
        <v>0.60280440658350554</v>
      </c>
      <c r="U141" s="234">
        <f t="shared" ca="1" si="72"/>
        <v>0.60280440658350554</v>
      </c>
      <c r="V141" s="234">
        <f t="shared" ca="1" si="72"/>
        <v>0.60280440658350554</v>
      </c>
      <c r="W141" s="234">
        <f t="shared" ca="1" si="72"/>
        <v>0.60280440658350554</v>
      </c>
      <c r="X141" s="234">
        <f t="shared" ca="1" si="72"/>
        <v>0.60280440658350554</v>
      </c>
      <c r="Y141" s="234" t="str">
        <f t="shared" si="72"/>
        <v/>
      </c>
      <c r="Z141" s="234" t="str">
        <f t="shared" si="72"/>
        <v/>
      </c>
      <c r="AA141" s="234" t="str">
        <f t="shared" si="72"/>
        <v/>
      </c>
      <c r="AB141" s="234" t="str">
        <f t="shared" si="72"/>
        <v/>
      </c>
      <c r="AC141" s="234" t="str">
        <f t="shared" si="72"/>
        <v/>
      </c>
      <c r="AD141" s="234" t="str">
        <f t="shared" si="72"/>
        <v/>
      </c>
      <c r="AE141" s="234" t="str">
        <f t="shared" si="72"/>
        <v/>
      </c>
      <c r="AF141" s="234" t="str">
        <f t="shared" si="72"/>
        <v/>
      </c>
      <c r="AG141" s="234" t="str">
        <f t="shared" si="72"/>
        <v/>
      </c>
      <c r="AH141" s="234" t="str">
        <f t="shared" si="72"/>
        <v/>
      </c>
      <c r="AI141" s="234" t="str">
        <f t="shared" si="72"/>
        <v/>
      </c>
      <c r="AJ141" s="234" t="str">
        <f t="shared" si="72"/>
        <v/>
      </c>
      <c r="AK141" s="234" t="str">
        <f t="shared" si="72"/>
        <v/>
      </c>
      <c r="AL141" s="234" t="str">
        <f t="shared" si="72"/>
        <v/>
      </c>
      <c r="AM141" s="234" t="str">
        <f t="shared" si="72"/>
        <v/>
      </c>
      <c r="AN141" s="234" t="str">
        <f t="shared" si="72"/>
        <v/>
      </c>
      <c r="AO141" s="234" t="str">
        <f t="shared" si="72"/>
        <v/>
      </c>
      <c r="AP141" s="234" t="str">
        <f t="shared" si="72"/>
        <v/>
      </c>
      <c r="AQ141" s="234" t="str">
        <f t="shared" si="72"/>
        <v/>
      </c>
      <c r="AR141" s="235" t="str">
        <f t="shared" si="72"/>
        <v/>
      </c>
    </row>
    <row r="142" spans="2:44" s="13" customFormat="1">
      <c r="C142" s="214" t="s">
        <v>30</v>
      </c>
      <c r="E142" s="227">
        <f t="shared" ref="E142:AR142" ca="1" si="73">IF(Year="","",IF(SUM(109:109)=0,,SUM(132:132)/SUM(109:109)))</f>
        <v>54.615198850434119</v>
      </c>
      <c r="F142" s="228">
        <f t="shared" ca="1" si="73"/>
        <v>54.615198850434119</v>
      </c>
      <c r="G142" s="228">
        <f t="shared" ca="1" si="73"/>
        <v>54.615198850434119</v>
      </c>
      <c r="H142" s="228">
        <f t="shared" ca="1" si="73"/>
        <v>54.615198850434119</v>
      </c>
      <c r="I142" s="228">
        <f t="shared" ca="1" si="73"/>
        <v>54.615198850434119</v>
      </c>
      <c r="J142" s="228">
        <f t="shared" ca="1" si="73"/>
        <v>54.615198850434119</v>
      </c>
      <c r="K142" s="228">
        <f t="shared" ca="1" si="73"/>
        <v>54.615198850434119</v>
      </c>
      <c r="L142" s="228">
        <f t="shared" ca="1" si="73"/>
        <v>54.615198850434119</v>
      </c>
      <c r="M142" s="228">
        <f t="shared" ca="1" si="73"/>
        <v>54.615198850434119</v>
      </c>
      <c r="N142" s="228">
        <f t="shared" ca="1" si="73"/>
        <v>54.615198850434119</v>
      </c>
      <c r="O142" s="228">
        <f t="shared" ca="1" si="73"/>
        <v>54.615198850434119</v>
      </c>
      <c r="P142" s="228">
        <f t="shared" ca="1" si="73"/>
        <v>54.615198850434119</v>
      </c>
      <c r="Q142" s="228">
        <f t="shared" ca="1" si="73"/>
        <v>54.615198850434119</v>
      </c>
      <c r="R142" s="228">
        <f t="shared" ca="1" si="73"/>
        <v>54.615198850434119</v>
      </c>
      <c r="S142" s="228">
        <f t="shared" ca="1" si="73"/>
        <v>54.615198850434119</v>
      </c>
      <c r="T142" s="228">
        <f t="shared" ca="1" si="73"/>
        <v>54.615198850434119</v>
      </c>
      <c r="U142" s="228">
        <f t="shared" ca="1" si="73"/>
        <v>54.615198850434119</v>
      </c>
      <c r="V142" s="228">
        <f t="shared" ca="1" si="73"/>
        <v>54.615198850434119</v>
      </c>
      <c r="W142" s="228">
        <f t="shared" ca="1" si="73"/>
        <v>54.615198850434119</v>
      </c>
      <c r="X142" s="228">
        <f t="shared" ca="1" si="73"/>
        <v>54.615198850434119</v>
      </c>
      <c r="Y142" s="228" t="str">
        <f t="shared" si="73"/>
        <v/>
      </c>
      <c r="Z142" s="228" t="str">
        <f t="shared" si="73"/>
        <v/>
      </c>
      <c r="AA142" s="228" t="str">
        <f t="shared" si="73"/>
        <v/>
      </c>
      <c r="AB142" s="228" t="str">
        <f t="shared" si="73"/>
        <v/>
      </c>
      <c r="AC142" s="228" t="str">
        <f t="shared" si="73"/>
        <v/>
      </c>
      <c r="AD142" s="228" t="str">
        <f t="shared" si="73"/>
        <v/>
      </c>
      <c r="AE142" s="228" t="str">
        <f t="shared" si="73"/>
        <v/>
      </c>
      <c r="AF142" s="228" t="str">
        <f t="shared" si="73"/>
        <v/>
      </c>
      <c r="AG142" s="228" t="str">
        <f t="shared" si="73"/>
        <v/>
      </c>
      <c r="AH142" s="228" t="str">
        <f t="shared" si="73"/>
        <v/>
      </c>
      <c r="AI142" s="228" t="str">
        <f t="shared" si="73"/>
        <v/>
      </c>
      <c r="AJ142" s="228" t="str">
        <f t="shared" si="73"/>
        <v/>
      </c>
      <c r="AK142" s="228" t="str">
        <f t="shared" si="73"/>
        <v/>
      </c>
      <c r="AL142" s="228" t="str">
        <f t="shared" si="73"/>
        <v/>
      </c>
      <c r="AM142" s="228" t="str">
        <f t="shared" si="73"/>
        <v/>
      </c>
      <c r="AN142" s="228" t="str">
        <f t="shared" si="73"/>
        <v/>
      </c>
      <c r="AO142" s="228" t="str">
        <f t="shared" si="73"/>
        <v/>
      </c>
      <c r="AP142" s="228" t="str">
        <f t="shared" si="73"/>
        <v/>
      </c>
      <c r="AQ142" s="228" t="str">
        <f t="shared" si="73"/>
        <v/>
      </c>
      <c r="AR142" s="229" t="str">
        <f t="shared" si="73"/>
        <v/>
      </c>
    </row>
    <row r="143" spans="2:44" s="3" customFormat="1">
      <c r="B143" s="3" t="str">
        <f>CONCATENATE(Tariff_Period," year reset period")</f>
        <v>5 year reset period</v>
      </c>
      <c r="E143" s="175"/>
      <c r="F143" s="175"/>
      <c r="G143" s="175"/>
      <c r="H143" s="175"/>
      <c r="I143" s="17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row>
    <row r="144" spans="2:44" s="13" customFormat="1">
      <c r="C144" s="214" t="s">
        <v>31</v>
      </c>
      <c r="E144" s="233">
        <f>IF(Year&gt;Contract_Length,"",IF(OR(Tariff_Period=1,MOD(Year,Tariff_Period)=1),IF(D111=0,,D136/D111),D144))</f>
        <v>0.24962300740396809</v>
      </c>
      <c r="F144" s="234">
        <f t="shared" ref="F144:AR144" si="74">IF(Year&gt;Contract_Length,"",IF(OR(Tariff_Period=1,MOD(Year,Tariff_Period)=1),IF(E111=0,,E136/E111),E144))</f>
        <v>0.24962300740396809</v>
      </c>
      <c r="G144" s="234">
        <f t="shared" si="74"/>
        <v>0.24962300740396809</v>
      </c>
      <c r="H144" s="234">
        <f t="shared" si="74"/>
        <v>0.24962300740396809</v>
      </c>
      <c r="I144" s="234">
        <f t="shared" si="74"/>
        <v>0.24962300740396809</v>
      </c>
      <c r="J144" s="234">
        <f t="shared" ca="1" si="74"/>
        <v>0.85987896212117043</v>
      </c>
      <c r="K144" s="234">
        <f t="shared" ca="1" si="74"/>
        <v>0.85987896212117043</v>
      </c>
      <c r="L144" s="234">
        <f t="shared" ca="1" si="74"/>
        <v>0.85987896212117043</v>
      </c>
      <c r="M144" s="234">
        <f t="shared" ca="1" si="74"/>
        <v>0.85987896212117043</v>
      </c>
      <c r="N144" s="234">
        <f t="shared" ca="1" si="74"/>
        <v>0.85987896212117043</v>
      </c>
      <c r="O144" s="234">
        <f t="shared" ca="1" si="74"/>
        <v>0.71719388711523946</v>
      </c>
      <c r="P144" s="234">
        <f t="shared" ca="1" si="74"/>
        <v>0.71719388711523946</v>
      </c>
      <c r="Q144" s="234">
        <f t="shared" ca="1" si="74"/>
        <v>0.71719388711523946</v>
      </c>
      <c r="R144" s="234">
        <f t="shared" ca="1" si="74"/>
        <v>0.71719388711523946</v>
      </c>
      <c r="S144" s="234">
        <f t="shared" ca="1" si="74"/>
        <v>0.71719388711523946</v>
      </c>
      <c r="T144" s="234">
        <f t="shared" ca="1" si="74"/>
        <v>0.45338120116137232</v>
      </c>
      <c r="U144" s="234">
        <f t="shared" ca="1" si="74"/>
        <v>0.45338120116137232</v>
      </c>
      <c r="V144" s="234">
        <f t="shared" ca="1" si="74"/>
        <v>0.45338120116137232</v>
      </c>
      <c r="W144" s="234">
        <f t="shared" ca="1" si="74"/>
        <v>0.45338120116137232</v>
      </c>
      <c r="X144" s="234">
        <f t="shared" ca="1" si="74"/>
        <v>0.45338120116137232</v>
      </c>
      <c r="Y144" s="234" t="str">
        <f t="shared" si="74"/>
        <v/>
      </c>
      <c r="Z144" s="234" t="str">
        <f t="shared" si="74"/>
        <v/>
      </c>
      <c r="AA144" s="234" t="str">
        <f t="shared" si="74"/>
        <v/>
      </c>
      <c r="AB144" s="234" t="str">
        <f t="shared" si="74"/>
        <v/>
      </c>
      <c r="AC144" s="234" t="str">
        <f t="shared" si="74"/>
        <v/>
      </c>
      <c r="AD144" s="234" t="str">
        <f t="shared" si="74"/>
        <v/>
      </c>
      <c r="AE144" s="234" t="str">
        <f t="shared" si="74"/>
        <v/>
      </c>
      <c r="AF144" s="234" t="str">
        <f t="shared" si="74"/>
        <v/>
      </c>
      <c r="AG144" s="234" t="str">
        <f t="shared" si="74"/>
        <v/>
      </c>
      <c r="AH144" s="234" t="str">
        <f t="shared" si="74"/>
        <v/>
      </c>
      <c r="AI144" s="234" t="str">
        <f t="shared" si="74"/>
        <v/>
      </c>
      <c r="AJ144" s="234" t="str">
        <f t="shared" si="74"/>
        <v/>
      </c>
      <c r="AK144" s="234" t="str">
        <f t="shared" si="74"/>
        <v/>
      </c>
      <c r="AL144" s="234" t="str">
        <f t="shared" si="74"/>
        <v/>
      </c>
      <c r="AM144" s="234" t="str">
        <f t="shared" si="74"/>
        <v/>
      </c>
      <c r="AN144" s="234" t="str">
        <f t="shared" si="74"/>
        <v/>
      </c>
      <c r="AO144" s="234" t="str">
        <f t="shared" si="74"/>
        <v/>
      </c>
      <c r="AP144" s="234" t="str">
        <f t="shared" si="74"/>
        <v/>
      </c>
      <c r="AQ144" s="234" t="str">
        <f t="shared" si="74"/>
        <v/>
      </c>
      <c r="AR144" s="235" t="str">
        <f t="shared" si="74"/>
        <v/>
      </c>
    </row>
    <row r="145" spans="1:44" s="13" customFormat="1">
      <c r="C145" s="214" t="s">
        <v>30</v>
      </c>
      <c r="E145" s="227">
        <f>IF(Year&gt;Contract_Length,"",IF(OR(Tariff_Period=1,MOD(Year,Tariff_Period)=1),IF(D111=0,,D137/D111),D144))</f>
        <v>45.881495253325568</v>
      </c>
      <c r="F145" s="228">
        <f t="shared" ref="F145:AR145" si="75">IF(Year&gt;Contract_Length,"",IF(OR(Tariff_Period=1,MOD(Year,Tariff_Period)=1),IF(E111=0,,E137/E111),E145))</f>
        <v>45.881495253325568</v>
      </c>
      <c r="G145" s="228">
        <f t="shared" si="75"/>
        <v>45.881495253325568</v>
      </c>
      <c r="H145" s="228">
        <f t="shared" si="75"/>
        <v>45.881495253325568</v>
      </c>
      <c r="I145" s="228">
        <f t="shared" si="75"/>
        <v>45.881495253325568</v>
      </c>
      <c r="J145" s="228">
        <f t="shared" ca="1" si="75"/>
        <v>46.039717421192954</v>
      </c>
      <c r="K145" s="228">
        <f t="shared" ca="1" si="75"/>
        <v>46.039717421192954</v>
      </c>
      <c r="L145" s="228">
        <f t="shared" ca="1" si="75"/>
        <v>46.039717421192954</v>
      </c>
      <c r="M145" s="228">
        <f t="shared" ca="1" si="75"/>
        <v>46.039717421192954</v>
      </c>
      <c r="N145" s="228">
        <f t="shared" ca="1" si="75"/>
        <v>46.039717421192954</v>
      </c>
      <c r="O145" s="228">
        <f t="shared" ca="1" si="75"/>
        <v>57.892739226152003</v>
      </c>
      <c r="P145" s="228">
        <f t="shared" ca="1" si="75"/>
        <v>57.892739226152003</v>
      </c>
      <c r="Q145" s="228">
        <f t="shared" ca="1" si="75"/>
        <v>57.892739226152003</v>
      </c>
      <c r="R145" s="228">
        <f t="shared" ca="1" si="75"/>
        <v>57.892739226152003</v>
      </c>
      <c r="S145" s="228">
        <f t="shared" ca="1" si="75"/>
        <v>57.892739226152003</v>
      </c>
      <c r="T145" s="228">
        <f t="shared" ca="1" si="75"/>
        <v>75.264070453788051</v>
      </c>
      <c r="U145" s="228">
        <f t="shared" ca="1" si="75"/>
        <v>75.264070453788051</v>
      </c>
      <c r="V145" s="228">
        <f t="shared" ca="1" si="75"/>
        <v>75.264070453788051</v>
      </c>
      <c r="W145" s="228">
        <f t="shared" ca="1" si="75"/>
        <v>75.264070453788051</v>
      </c>
      <c r="X145" s="228">
        <f t="shared" ca="1" si="75"/>
        <v>75.264070453788051</v>
      </c>
      <c r="Y145" s="228" t="str">
        <f t="shared" si="75"/>
        <v/>
      </c>
      <c r="Z145" s="228" t="str">
        <f t="shared" si="75"/>
        <v/>
      </c>
      <c r="AA145" s="228" t="str">
        <f t="shared" si="75"/>
        <v/>
      </c>
      <c r="AB145" s="228" t="str">
        <f t="shared" si="75"/>
        <v/>
      </c>
      <c r="AC145" s="228" t="str">
        <f t="shared" si="75"/>
        <v/>
      </c>
      <c r="AD145" s="228" t="str">
        <f t="shared" si="75"/>
        <v/>
      </c>
      <c r="AE145" s="228" t="str">
        <f t="shared" si="75"/>
        <v/>
      </c>
      <c r="AF145" s="228" t="str">
        <f t="shared" si="75"/>
        <v/>
      </c>
      <c r="AG145" s="228" t="str">
        <f t="shared" si="75"/>
        <v/>
      </c>
      <c r="AH145" s="228" t="str">
        <f t="shared" si="75"/>
        <v/>
      </c>
      <c r="AI145" s="228" t="str">
        <f t="shared" si="75"/>
        <v/>
      </c>
      <c r="AJ145" s="228" t="str">
        <f t="shared" si="75"/>
        <v/>
      </c>
      <c r="AK145" s="228" t="str">
        <f t="shared" si="75"/>
        <v/>
      </c>
      <c r="AL145" s="228" t="str">
        <f t="shared" si="75"/>
        <v/>
      </c>
      <c r="AM145" s="228" t="str">
        <f t="shared" si="75"/>
        <v/>
      </c>
      <c r="AN145" s="228" t="str">
        <f t="shared" si="75"/>
        <v/>
      </c>
      <c r="AO145" s="228" t="str">
        <f t="shared" si="75"/>
        <v/>
      </c>
      <c r="AP145" s="228" t="str">
        <f t="shared" si="75"/>
        <v/>
      </c>
      <c r="AQ145" s="228" t="str">
        <f t="shared" si="75"/>
        <v/>
      </c>
      <c r="AR145" s="229" t="str">
        <f t="shared" si="75"/>
        <v/>
      </c>
    </row>
    <row r="146" spans="1:44" s="3" customFormat="1">
      <c r="C146" s="12"/>
      <c r="E146" s="175"/>
      <c r="F146" s="175"/>
      <c r="G146" s="175"/>
      <c r="H146" s="175"/>
      <c r="I146" s="175"/>
      <c r="J146" s="175"/>
      <c r="K146" s="175"/>
      <c r="L146" s="175"/>
      <c r="M146" s="175"/>
      <c r="N146" s="175"/>
    </row>
    <row r="147" spans="1:44" s="3" customFormat="1">
      <c r="C147" s="12"/>
    </row>
    <row r="148" spans="1:44" s="45" customFormat="1" ht="17.399999999999999">
      <c r="A148" s="43" t="s">
        <v>147</v>
      </c>
      <c r="B148" s="44"/>
      <c r="C148" s="44"/>
    </row>
    <row r="149" spans="1:44" s="13" customFormat="1">
      <c r="B149" s="138" t="s">
        <v>148</v>
      </c>
      <c r="D149" s="3"/>
      <c r="E149" s="237">
        <f t="shared" ref="E149:AR149" ca="1" si="76">IF(DeflateFactor_Risk=0,,1/DeflateFactor_Risk)</f>
        <v>1.0597811034510867</v>
      </c>
      <c r="F149" s="238">
        <f t="shared" ca="1" si="76"/>
        <v>1.1311890549765242</v>
      </c>
      <c r="G149" s="238">
        <f t="shared" ca="1" si="76"/>
        <v>1.2132284344857804</v>
      </c>
      <c r="H149" s="238">
        <f t="shared" ca="1" si="76"/>
        <v>1.306266570988738</v>
      </c>
      <c r="I149" s="238">
        <f t="shared" ca="1" si="76"/>
        <v>1.4119758137037339</v>
      </c>
      <c r="J149" s="238">
        <f t="shared" ca="1" si="76"/>
        <v>1.5281968740924934</v>
      </c>
      <c r="K149" s="238">
        <f t="shared" ca="1" si="76"/>
        <v>1.6522681498207286</v>
      </c>
      <c r="L149" s="238">
        <f t="shared" ca="1" si="76"/>
        <v>1.7870074831606579</v>
      </c>
      <c r="M149" s="238">
        <f t="shared" ca="1" si="76"/>
        <v>1.9301201302304676</v>
      </c>
      <c r="N149" s="238">
        <f t="shared" ca="1" si="76"/>
        <v>2.0848999452535084</v>
      </c>
      <c r="O149" s="238">
        <f t="shared" ca="1" si="76"/>
        <v>2.2544536418351577</v>
      </c>
      <c r="P149" s="238">
        <f t="shared" ca="1" si="76"/>
        <v>2.4389534152825965</v>
      </c>
      <c r="Q149" s="238">
        <f t="shared" ca="1" si="76"/>
        <v>2.6425597037416986</v>
      </c>
      <c r="R149" s="238">
        <f t="shared" ca="1" si="76"/>
        <v>2.8669062433451273</v>
      </c>
      <c r="S149" s="238">
        <f t="shared" ca="1" si="76"/>
        <v>3.1107791025904103</v>
      </c>
      <c r="T149" s="238">
        <f t="shared" ca="1" si="76"/>
        <v>3.3697271811940159</v>
      </c>
      <c r="U149" s="238">
        <f t="shared" ca="1" si="76"/>
        <v>3.6369759110376934</v>
      </c>
      <c r="V149" s="238">
        <f t="shared" ca="1" si="76"/>
        <v>3.9253986930381233</v>
      </c>
      <c r="W149" s="238">
        <f t="shared" ca="1" si="76"/>
        <v>4.2392827087714089</v>
      </c>
      <c r="X149" s="238">
        <f t="shared" ca="1" si="76"/>
        <v>4.5751287219537398</v>
      </c>
      <c r="Y149" s="238">
        <f t="shared" ca="1" si="76"/>
        <v>4.9364437426783025</v>
      </c>
      <c r="Z149" s="238">
        <f t="shared" ca="1" si="76"/>
        <v>5.3455018496098337</v>
      </c>
      <c r="AA149" s="238">
        <f t="shared" ca="1" si="76"/>
        <v>5.7915207689482537</v>
      </c>
      <c r="AB149" s="238">
        <f t="shared" ca="1" si="76"/>
        <v>6.2803226723106018</v>
      </c>
      <c r="AC149" s="238">
        <f t="shared" ca="1" si="76"/>
        <v>6.7930710589472545</v>
      </c>
      <c r="AD149" s="238">
        <f t="shared" ca="1" si="76"/>
        <v>7.3493749167104925</v>
      </c>
      <c r="AE149" s="238">
        <f t="shared" ca="1" si="76"/>
        <v>7.9569396577410751</v>
      </c>
      <c r="AF149" s="238">
        <f t="shared" ca="1" si="76"/>
        <v>8.6349608203036841</v>
      </c>
      <c r="AG149" s="238">
        <f t="shared" ca="1" si="76"/>
        <v>9.3565807461128099</v>
      </c>
      <c r="AH149" s="238">
        <f t="shared" ca="1" si="76"/>
        <v>10.148318760734977</v>
      </c>
      <c r="AI149" s="238">
        <f t="shared" ca="1" si="76"/>
        <v>11.025632971263219</v>
      </c>
      <c r="AJ149" s="238">
        <f t="shared" ca="1" si="76"/>
        <v>11.918986006289096</v>
      </c>
      <c r="AK149" s="238">
        <f t="shared" ca="1" si="76"/>
        <v>12.863653865119161</v>
      </c>
      <c r="AL149" s="238">
        <f t="shared" ca="1" si="76"/>
        <v>13.913868921199159</v>
      </c>
      <c r="AM149" s="238">
        <f t="shared" ca="1" si="76"/>
        <v>15.035087926269947</v>
      </c>
      <c r="AN149" s="238">
        <f t="shared" ca="1" si="76"/>
        <v>16.270378349553795</v>
      </c>
      <c r="AO149" s="238">
        <f t="shared" ca="1" si="76"/>
        <v>17.619004784120914</v>
      </c>
      <c r="AP149" s="238">
        <f t="shared" ca="1" si="76"/>
        <v>19.083605815129694</v>
      </c>
      <c r="AQ149" s="238">
        <f t="shared" ca="1" si="76"/>
        <v>20.735771147194711</v>
      </c>
      <c r="AR149" s="239">
        <f t="shared" ca="1" si="76"/>
        <v>22.523380398181374</v>
      </c>
    </row>
    <row r="150" spans="1:44" s="13" customFormat="1">
      <c r="B150" s="40" t="s">
        <v>16</v>
      </c>
      <c r="E150" s="211"/>
    </row>
    <row r="151" spans="1:44" s="13" customFormat="1">
      <c r="C151" s="214" t="s">
        <v>31</v>
      </c>
      <c r="E151" s="233">
        <f t="shared" ref="E151:AR151" ca="1" si="77">IF(Year="",,E141*TariffIndex_Risk)</f>
        <v>0.63884071917424501</v>
      </c>
      <c r="F151" s="234">
        <f t="shared" ca="1" si="77"/>
        <v>0.68188574701888005</v>
      </c>
      <c r="G151" s="234">
        <f t="shared" ca="1" si="77"/>
        <v>0.73133944650043625</v>
      </c>
      <c r="H151" s="234">
        <f t="shared" ca="1" si="77"/>
        <v>0.78742324516473683</v>
      </c>
      <c r="I151" s="234">
        <f t="shared" ca="1" si="77"/>
        <v>0.85114524248994172</v>
      </c>
      <c r="J151" s="234">
        <f t="shared" ca="1" si="77"/>
        <v>0.92120380983009365</v>
      </c>
      <c r="K151" s="234">
        <f t="shared" ca="1" si="77"/>
        <v>0.99599452156951085</v>
      </c>
      <c r="L151" s="234">
        <f t="shared" ca="1" si="77"/>
        <v>1.0772159854469441</v>
      </c>
      <c r="M151" s="234">
        <f t="shared" ca="1" si="77"/>
        <v>1.1634849197384554</v>
      </c>
      <c r="N151" s="234">
        <f t="shared" ca="1" si="77"/>
        <v>1.2567868742845243</v>
      </c>
      <c r="O151" s="234">
        <f t="shared" ca="1" si="77"/>
        <v>1.3589945897364653</v>
      </c>
      <c r="P151" s="234">
        <f t="shared" ca="1" si="77"/>
        <v>1.4702118661842396</v>
      </c>
      <c r="Q151" s="234">
        <f t="shared" ca="1" si="77"/>
        <v>1.5929466340754987</v>
      </c>
      <c r="R151" s="234">
        <f t="shared" ca="1" si="77"/>
        <v>1.7281837167502065</v>
      </c>
      <c r="S151" s="234">
        <f t="shared" ca="1" si="77"/>
        <v>1.8751913509493823</v>
      </c>
      <c r="T151" s="234">
        <f t="shared" ca="1" si="77"/>
        <v>2.0312863938079677</v>
      </c>
      <c r="U151" s="234">
        <f t="shared" ca="1" si="77"/>
        <v>2.1923851058115811</v>
      </c>
      <c r="V151" s="234">
        <f t="shared" ca="1" si="77"/>
        <v>2.3662476297605139</v>
      </c>
      <c r="W151" s="234">
        <f t="shared" ca="1" si="77"/>
        <v>2.5554582976006652</v>
      </c>
      <c r="X151" s="234">
        <f t="shared" ca="1" si="77"/>
        <v>2.7579077542804762</v>
      </c>
      <c r="Y151" s="234">
        <f t="shared" si="77"/>
        <v>0</v>
      </c>
      <c r="Z151" s="234">
        <f t="shared" si="77"/>
        <v>0</v>
      </c>
      <c r="AA151" s="234">
        <f t="shared" si="77"/>
        <v>0</v>
      </c>
      <c r="AB151" s="234">
        <f t="shared" si="77"/>
        <v>0</v>
      </c>
      <c r="AC151" s="234">
        <f t="shared" si="77"/>
        <v>0</v>
      </c>
      <c r="AD151" s="234">
        <f t="shared" si="77"/>
        <v>0</v>
      </c>
      <c r="AE151" s="234">
        <f t="shared" si="77"/>
        <v>0</v>
      </c>
      <c r="AF151" s="234">
        <f t="shared" si="77"/>
        <v>0</v>
      </c>
      <c r="AG151" s="234">
        <f t="shared" si="77"/>
        <v>0</v>
      </c>
      <c r="AH151" s="234">
        <f t="shared" si="77"/>
        <v>0</v>
      </c>
      <c r="AI151" s="234">
        <f t="shared" si="77"/>
        <v>0</v>
      </c>
      <c r="AJ151" s="234">
        <f t="shared" si="77"/>
        <v>0</v>
      </c>
      <c r="AK151" s="234">
        <f t="shared" si="77"/>
        <v>0</v>
      </c>
      <c r="AL151" s="234">
        <f t="shared" si="77"/>
        <v>0</v>
      </c>
      <c r="AM151" s="234">
        <f t="shared" si="77"/>
        <v>0</v>
      </c>
      <c r="AN151" s="234">
        <f t="shared" si="77"/>
        <v>0</v>
      </c>
      <c r="AO151" s="234">
        <f t="shared" si="77"/>
        <v>0</v>
      </c>
      <c r="AP151" s="234">
        <f t="shared" si="77"/>
        <v>0</v>
      </c>
      <c r="AQ151" s="234">
        <f t="shared" si="77"/>
        <v>0</v>
      </c>
      <c r="AR151" s="235">
        <f t="shared" si="77"/>
        <v>0</v>
      </c>
    </row>
    <row r="152" spans="1:44" s="13" customFormat="1">
      <c r="C152" s="214" t="s">
        <v>30</v>
      </c>
      <c r="E152" s="227">
        <f t="shared" ref="E152:AR152" ca="1" si="78">IF(Year="",,E142*TariffIndex_Risk)</f>
        <v>57.880155702913591</v>
      </c>
      <c r="F152" s="228">
        <f t="shared" ca="1" si="78"/>
        <v>61.780115174977524</v>
      </c>
      <c r="G152" s="228">
        <f t="shared" ca="1" si="78"/>
        <v>66.260712200441787</v>
      </c>
      <c r="H152" s="228">
        <f t="shared" ca="1" si="78"/>
        <v>71.342008526224646</v>
      </c>
      <c r="I152" s="228">
        <f t="shared" ca="1" si="78"/>
        <v>77.115339837432956</v>
      </c>
      <c r="J152" s="228">
        <f t="shared" ca="1" si="78"/>
        <v>83.462776161173352</v>
      </c>
      <c r="K152" s="228">
        <f t="shared" ca="1" si="78"/>
        <v>90.238953556697965</v>
      </c>
      <c r="L152" s="228">
        <f t="shared" ca="1" si="78"/>
        <v>97.597769040033128</v>
      </c>
      <c r="M152" s="228">
        <f t="shared" ca="1" si="78"/>
        <v>105.41389471776279</v>
      </c>
      <c r="N152" s="228">
        <f t="shared" ca="1" si="78"/>
        <v>113.86722509327957</v>
      </c>
      <c r="O152" s="228">
        <f t="shared" ca="1" si="78"/>
        <v>123.12743394791252</v>
      </c>
      <c r="P152" s="228">
        <f t="shared" ca="1" si="78"/>
        <v>133.20392576260443</v>
      </c>
      <c r="Q152" s="228">
        <f t="shared" ca="1" si="78"/>
        <v>144.32392369399713</v>
      </c>
      <c r="R152" s="228">
        <f t="shared" ca="1" si="78"/>
        <v>156.57665456584519</v>
      </c>
      <c r="S152" s="228">
        <f t="shared" ca="1" si="78"/>
        <v>169.89581926775026</v>
      </c>
      <c r="T152" s="228">
        <f t="shared" ca="1" si="78"/>
        <v>184.03832007262403</v>
      </c>
      <c r="U152" s="228">
        <f t="shared" ca="1" si="78"/>
        <v>198.6341625955624</v>
      </c>
      <c r="V152" s="228">
        <f t="shared" ca="1" si="78"/>
        <v>214.38643018751131</v>
      </c>
      <c r="W152" s="228">
        <f t="shared" ca="1" si="78"/>
        <v>231.52926812275749</v>
      </c>
      <c r="X152" s="228">
        <f t="shared" ca="1" si="78"/>
        <v>249.87156491583602</v>
      </c>
      <c r="Y152" s="228">
        <f t="shared" si="78"/>
        <v>0</v>
      </c>
      <c r="Z152" s="228">
        <f t="shared" si="78"/>
        <v>0</v>
      </c>
      <c r="AA152" s="228">
        <f t="shared" si="78"/>
        <v>0</v>
      </c>
      <c r="AB152" s="228">
        <f t="shared" si="78"/>
        <v>0</v>
      </c>
      <c r="AC152" s="228">
        <f t="shared" si="78"/>
        <v>0</v>
      </c>
      <c r="AD152" s="228">
        <f t="shared" si="78"/>
        <v>0</v>
      </c>
      <c r="AE152" s="228">
        <f t="shared" si="78"/>
        <v>0</v>
      </c>
      <c r="AF152" s="228">
        <f t="shared" si="78"/>
        <v>0</v>
      </c>
      <c r="AG152" s="228">
        <f t="shared" si="78"/>
        <v>0</v>
      </c>
      <c r="AH152" s="228">
        <f t="shared" si="78"/>
        <v>0</v>
      </c>
      <c r="AI152" s="228">
        <f t="shared" si="78"/>
        <v>0</v>
      </c>
      <c r="AJ152" s="228">
        <f t="shared" si="78"/>
        <v>0</v>
      </c>
      <c r="AK152" s="228">
        <f t="shared" si="78"/>
        <v>0</v>
      </c>
      <c r="AL152" s="228">
        <f t="shared" si="78"/>
        <v>0</v>
      </c>
      <c r="AM152" s="228">
        <f t="shared" si="78"/>
        <v>0</v>
      </c>
      <c r="AN152" s="228">
        <f t="shared" si="78"/>
        <v>0</v>
      </c>
      <c r="AO152" s="228">
        <f t="shared" si="78"/>
        <v>0</v>
      </c>
      <c r="AP152" s="228">
        <f t="shared" si="78"/>
        <v>0</v>
      </c>
      <c r="AQ152" s="228">
        <f t="shared" si="78"/>
        <v>0</v>
      </c>
      <c r="AR152" s="229">
        <f t="shared" si="78"/>
        <v>0</v>
      </c>
    </row>
    <row r="153" spans="1:44" s="13" customFormat="1">
      <c r="B153" s="6" t="str">
        <f>CONCATENATE(Tariff_Period," year reset period")</f>
        <v>5 year reset period</v>
      </c>
      <c r="C153" s="3"/>
      <c r="F153" s="175"/>
      <c r="G153" s="175"/>
      <c r="H153" s="175"/>
      <c r="I153" s="17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row>
    <row r="154" spans="1:44" s="13" customFormat="1">
      <c r="C154" s="214" t="s">
        <v>31</v>
      </c>
      <c r="E154" s="233">
        <f t="shared" ref="E154:AR154" ca="1" si="79">IF(Year="",,E144*TariffIndex_Risk)</f>
        <v>0.26454574623335608</v>
      </c>
      <c r="F154" s="234">
        <f t="shared" ca="1" si="79"/>
        <v>0.28237081384569257</v>
      </c>
      <c r="G154" s="234">
        <f t="shared" ca="1" si="79"/>
        <v>0.3028497304843486</v>
      </c>
      <c r="H154" s="234">
        <f t="shared" ca="1" si="79"/>
        <v>0.32607418992147774</v>
      </c>
      <c r="I154" s="234">
        <f t="shared" ca="1" si="79"/>
        <v>0.35246164899839105</v>
      </c>
      <c r="J154" s="234">
        <f t="shared" ca="1" si="79"/>
        <v>1.3140643420114702</v>
      </c>
      <c r="K154" s="234">
        <f t="shared" ca="1" si="79"/>
        <v>1.4207506218137147</v>
      </c>
      <c r="L154" s="234">
        <f t="shared" ca="1" si="79"/>
        <v>1.5366101399229515</v>
      </c>
      <c r="M154" s="234">
        <f t="shared" ca="1" si="79"/>
        <v>1.6596696943517528</v>
      </c>
      <c r="N154" s="234">
        <f t="shared" ca="1" si="79"/>
        <v>1.7927616010510719</v>
      </c>
      <c r="O154" s="234">
        <f t="shared" ca="1" si="79"/>
        <v>1.6168803707088646</v>
      </c>
      <c r="P154" s="234">
        <f t="shared" ca="1" si="79"/>
        <v>1.7492024803995143</v>
      </c>
      <c r="Q154" s="234">
        <f t="shared" ca="1" si="79"/>
        <v>1.8952276658606044</v>
      </c>
      <c r="R154" s="234">
        <f t="shared" ca="1" si="79"/>
        <v>2.0561276326596403</v>
      </c>
      <c r="S154" s="234">
        <f t="shared" ca="1" si="79"/>
        <v>2.2310317565436728</v>
      </c>
      <c r="T154" s="234">
        <f t="shared" ca="1" si="79"/>
        <v>1.5277709569958682</v>
      </c>
      <c r="U154" s="234">
        <f t="shared" ca="1" si="79"/>
        <v>1.6489365071412458</v>
      </c>
      <c r="V154" s="234">
        <f t="shared" ca="1" si="79"/>
        <v>1.7797019744869054</v>
      </c>
      <c r="W154" s="234">
        <f t="shared" ca="1" si="79"/>
        <v>1.9220110865654174</v>
      </c>
      <c r="X154" s="234">
        <f t="shared" ca="1" si="79"/>
        <v>2.0742773554272809</v>
      </c>
      <c r="Y154" s="234">
        <f t="shared" si="79"/>
        <v>0</v>
      </c>
      <c r="Z154" s="234">
        <f t="shared" si="79"/>
        <v>0</v>
      </c>
      <c r="AA154" s="234">
        <f t="shared" si="79"/>
        <v>0</v>
      </c>
      <c r="AB154" s="234">
        <f t="shared" si="79"/>
        <v>0</v>
      </c>
      <c r="AC154" s="234">
        <f t="shared" si="79"/>
        <v>0</v>
      </c>
      <c r="AD154" s="234">
        <f t="shared" si="79"/>
        <v>0</v>
      </c>
      <c r="AE154" s="234">
        <f t="shared" si="79"/>
        <v>0</v>
      </c>
      <c r="AF154" s="234">
        <f t="shared" si="79"/>
        <v>0</v>
      </c>
      <c r="AG154" s="234">
        <f t="shared" si="79"/>
        <v>0</v>
      </c>
      <c r="AH154" s="234">
        <f t="shared" si="79"/>
        <v>0</v>
      </c>
      <c r="AI154" s="234">
        <f t="shared" si="79"/>
        <v>0</v>
      </c>
      <c r="AJ154" s="234">
        <f t="shared" si="79"/>
        <v>0</v>
      </c>
      <c r="AK154" s="234">
        <f t="shared" si="79"/>
        <v>0</v>
      </c>
      <c r="AL154" s="234">
        <f t="shared" si="79"/>
        <v>0</v>
      </c>
      <c r="AM154" s="234">
        <f t="shared" si="79"/>
        <v>0</v>
      </c>
      <c r="AN154" s="234">
        <f t="shared" si="79"/>
        <v>0</v>
      </c>
      <c r="AO154" s="234">
        <f t="shared" si="79"/>
        <v>0</v>
      </c>
      <c r="AP154" s="234">
        <f t="shared" si="79"/>
        <v>0</v>
      </c>
      <c r="AQ154" s="234">
        <f t="shared" si="79"/>
        <v>0</v>
      </c>
      <c r="AR154" s="235">
        <f t="shared" si="79"/>
        <v>0</v>
      </c>
    </row>
    <row r="155" spans="1:44" s="13" customFormat="1">
      <c r="C155" s="214" t="s">
        <v>30</v>
      </c>
      <c r="E155" s="227">
        <f t="shared" ref="E155:AR155" ca="1" si="80">IF(Year="",,E145*TariffIndex_Risk)</f>
        <v>48.624341667555164</v>
      </c>
      <c r="F155" s="228">
        <f t="shared" ca="1" si="80"/>
        <v>51.900645256519233</v>
      </c>
      <c r="G155" s="228">
        <f t="shared" ca="1" si="80"/>
        <v>55.664734658058947</v>
      </c>
      <c r="H155" s="228">
        <f t="shared" ca="1" si="80"/>
        <v>59.933463476397648</v>
      </c>
      <c r="I155" s="228">
        <f t="shared" ca="1" si="80"/>
        <v>64.783561594258373</v>
      </c>
      <c r="J155" s="228">
        <f t="shared" ca="1" si="80"/>
        <v>70.357752247168776</v>
      </c>
      <c r="K155" s="228">
        <f t="shared" ca="1" si="80"/>
        <v>76.069958721783649</v>
      </c>
      <c r="L155" s="228">
        <f t="shared" ca="1" si="80"/>
        <v>82.273319554273911</v>
      </c>
      <c r="M155" s="228">
        <f t="shared" ca="1" si="80"/>
        <v>88.862185384766875</v>
      </c>
      <c r="N155" s="228">
        <f t="shared" ca="1" si="80"/>
        <v>95.988204330932192</v>
      </c>
      <c r="O155" s="228">
        <f t="shared" ca="1" si="80"/>
        <v>130.51649678421148</v>
      </c>
      <c r="P155" s="228">
        <f t="shared" ca="1" si="80"/>
        <v>141.19769405568817</v>
      </c>
      <c r="Q155" s="228">
        <f t="shared" ca="1" si="80"/>
        <v>152.98501981825564</v>
      </c>
      <c r="R155" s="228">
        <f t="shared" ca="1" si="80"/>
        <v>165.97305553180652</v>
      </c>
      <c r="S155" s="228">
        <f t="shared" ca="1" si="80"/>
        <v>180.09152337642976</v>
      </c>
      <c r="T155" s="228">
        <f t="shared" ca="1" si="80"/>
        <v>253.61938397543102</v>
      </c>
      <c r="U155" s="228">
        <f t="shared" ca="1" si="80"/>
        <v>273.73361120707091</v>
      </c>
      <c r="V155" s="228">
        <f t="shared" ca="1" si="80"/>
        <v>295.44148379202886</v>
      </c>
      <c r="W155" s="228">
        <f t="shared" ca="1" si="80"/>
        <v>319.06567246649678</v>
      </c>
      <c r="X155" s="228">
        <f t="shared" ca="1" si="80"/>
        <v>344.34281046427554</v>
      </c>
      <c r="Y155" s="228">
        <f t="shared" si="80"/>
        <v>0</v>
      </c>
      <c r="Z155" s="228">
        <f t="shared" si="80"/>
        <v>0</v>
      </c>
      <c r="AA155" s="228">
        <f t="shared" si="80"/>
        <v>0</v>
      </c>
      <c r="AB155" s="228">
        <f t="shared" si="80"/>
        <v>0</v>
      </c>
      <c r="AC155" s="228">
        <f t="shared" si="80"/>
        <v>0</v>
      </c>
      <c r="AD155" s="228">
        <f t="shared" si="80"/>
        <v>0</v>
      </c>
      <c r="AE155" s="228">
        <f t="shared" si="80"/>
        <v>0</v>
      </c>
      <c r="AF155" s="228">
        <f t="shared" si="80"/>
        <v>0</v>
      </c>
      <c r="AG155" s="228">
        <f t="shared" si="80"/>
        <v>0</v>
      </c>
      <c r="AH155" s="228">
        <f t="shared" si="80"/>
        <v>0</v>
      </c>
      <c r="AI155" s="228">
        <f t="shared" si="80"/>
        <v>0</v>
      </c>
      <c r="AJ155" s="228">
        <f t="shared" si="80"/>
        <v>0</v>
      </c>
      <c r="AK155" s="228">
        <f t="shared" si="80"/>
        <v>0</v>
      </c>
      <c r="AL155" s="228">
        <f t="shared" si="80"/>
        <v>0</v>
      </c>
      <c r="AM155" s="228">
        <f t="shared" si="80"/>
        <v>0</v>
      </c>
      <c r="AN155" s="228">
        <f t="shared" si="80"/>
        <v>0</v>
      </c>
      <c r="AO155" s="228">
        <f t="shared" si="80"/>
        <v>0</v>
      </c>
      <c r="AP155" s="228">
        <f t="shared" si="80"/>
        <v>0</v>
      </c>
      <c r="AQ155" s="228">
        <f t="shared" si="80"/>
        <v>0</v>
      </c>
      <c r="AR155" s="229">
        <f t="shared" si="80"/>
        <v>0</v>
      </c>
    </row>
    <row r="156" spans="1:44" s="3" customFormat="1">
      <c r="C156" s="12"/>
    </row>
    <row r="157" spans="1:44" s="3" customFormat="1">
      <c r="C157" s="12"/>
    </row>
    <row r="158" spans="1:44" s="45" customFormat="1" ht="17.399999999999999">
      <c r="A158" s="43" t="str">
        <f>CONCATENATE("Profit (",MonDenomination,")")</f>
        <v>Profit (Millions)</v>
      </c>
      <c r="B158" s="44"/>
      <c r="C158" s="44"/>
      <c r="D158" s="3"/>
      <c r="E158" s="3"/>
      <c r="F158" s="3"/>
      <c r="G158" s="3"/>
      <c r="H158" s="3"/>
      <c r="I158" s="3"/>
      <c r="J158" s="3"/>
      <c r="K158" s="3"/>
      <c r="L158" s="3"/>
      <c r="M158" s="3"/>
      <c r="N158" s="3"/>
    </row>
    <row r="159" spans="1:44" s="13" customFormat="1">
      <c r="A159" s="40"/>
      <c r="B159" s="181" t="s">
        <v>149</v>
      </c>
    </row>
    <row r="160" spans="1:44" s="13" customFormat="1">
      <c r="C160" s="138" t="s">
        <v>16</v>
      </c>
      <c r="E160" s="147">
        <f t="shared" ref="E160:AR160" ca="1" si="81">IF(Year="",,(E151+E152)*BilledDemand_Risk*Collection_FC)</f>
        <v>84.915832337963707</v>
      </c>
      <c r="F160" s="148">
        <f t="shared" ca="1" si="81"/>
        <v>98.755907891035321</v>
      </c>
      <c r="G160" s="148">
        <f t="shared" ca="1" si="81"/>
        <v>114.78077926324586</v>
      </c>
      <c r="H160" s="148">
        <f t="shared" ca="1" si="81"/>
        <v>137.51722178562287</v>
      </c>
      <c r="I160" s="148">
        <f t="shared" ca="1" si="81"/>
        <v>177.51221173404247</v>
      </c>
      <c r="J160" s="148">
        <f t="shared" ca="1" si="81"/>
        <v>229.5582357029478</v>
      </c>
      <c r="K160" s="148">
        <f t="shared" ca="1" si="81"/>
        <v>267.84465107638147</v>
      </c>
      <c r="L160" s="148">
        <f t="shared" ca="1" si="81"/>
        <v>311.87315832412565</v>
      </c>
      <c r="M160" s="148">
        <f t="shared" ca="1" si="81"/>
        <v>355.55650655652079</v>
      </c>
      <c r="N160" s="148">
        <f t="shared" ca="1" si="81"/>
        <v>388.49584880712564</v>
      </c>
      <c r="O160" s="148">
        <f t="shared" ca="1" si="81"/>
        <v>411.80091225142604</v>
      </c>
      <c r="P160" s="148">
        <f t="shared" ca="1" si="81"/>
        <v>442.91989640631476</v>
      </c>
      <c r="Q160" s="148">
        <f t="shared" ca="1" si="81"/>
        <v>490.83114106186076</v>
      </c>
      <c r="R160" s="148">
        <f t="shared" ca="1" si="81"/>
        <v>560.1491858050781</v>
      </c>
      <c r="S160" s="148">
        <f t="shared" ca="1" si="81"/>
        <v>624.52043678891312</v>
      </c>
      <c r="T160" s="148">
        <f t="shared" ca="1" si="81"/>
        <v>699.8528826546243</v>
      </c>
      <c r="U160" s="148">
        <f t="shared" ca="1" si="81"/>
        <v>723.15153284812959</v>
      </c>
      <c r="V160" s="148">
        <f t="shared" ca="1" si="81"/>
        <v>782.42887097623384</v>
      </c>
      <c r="W160" s="148">
        <f t="shared" ca="1" si="81"/>
        <v>851.76504651100845</v>
      </c>
      <c r="X160" s="148">
        <f t="shared" ca="1" si="81"/>
        <v>983.11175433856204</v>
      </c>
      <c r="Y160" s="148">
        <f t="shared" si="81"/>
        <v>0</v>
      </c>
      <c r="Z160" s="148">
        <f t="shared" si="81"/>
        <v>0</v>
      </c>
      <c r="AA160" s="148">
        <f t="shared" si="81"/>
        <v>0</v>
      </c>
      <c r="AB160" s="148">
        <f t="shared" si="81"/>
        <v>0</v>
      </c>
      <c r="AC160" s="148">
        <f t="shared" si="81"/>
        <v>0</v>
      </c>
      <c r="AD160" s="148">
        <f t="shared" si="81"/>
        <v>0</v>
      </c>
      <c r="AE160" s="148">
        <f t="shared" si="81"/>
        <v>0</v>
      </c>
      <c r="AF160" s="148">
        <f t="shared" si="81"/>
        <v>0</v>
      </c>
      <c r="AG160" s="148">
        <f t="shared" si="81"/>
        <v>0</v>
      </c>
      <c r="AH160" s="148">
        <f t="shared" si="81"/>
        <v>0</v>
      </c>
      <c r="AI160" s="148">
        <f t="shared" si="81"/>
        <v>0</v>
      </c>
      <c r="AJ160" s="148">
        <f t="shared" si="81"/>
        <v>0</v>
      </c>
      <c r="AK160" s="148">
        <f t="shared" si="81"/>
        <v>0</v>
      </c>
      <c r="AL160" s="148">
        <f t="shared" si="81"/>
        <v>0</v>
      </c>
      <c r="AM160" s="148">
        <f t="shared" si="81"/>
        <v>0</v>
      </c>
      <c r="AN160" s="148">
        <f t="shared" si="81"/>
        <v>0</v>
      </c>
      <c r="AO160" s="148">
        <f t="shared" si="81"/>
        <v>0</v>
      </c>
      <c r="AP160" s="148">
        <f t="shared" si="81"/>
        <v>0</v>
      </c>
      <c r="AQ160" s="148">
        <f t="shared" si="81"/>
        <v>0</v>
      </c>
      <c r="AR160" s="149">
        <f t="shared" si="81"/>
        <v>0</v>
      </c>
    </row>
    <row r="161" spans="1:64" s="13" customFormat="1">
      <c r="B161" s="138"/>
      <c r="C161" s="3" t="str">
        <f>CONCATENATE(Tariff_Period," year reset period")</f>
        <v>5 year reset period</v>
      </c>
      <c r="E161" s="150">
        <f t="shared" ref="E161:AR161" ca="1" si="82">IF(Year="",,(E154+E155)*BilledDemand_Risk*Collection_FC)</f>
        <v>70.941759439536455</v>
      </c>
      <c r="F161" s="151">
        <f t="shared" ca="1" si="82"/>
        <v>82.504259428976724</v>
      </c>
      <c r="G161" s="151">
        <f t="shared" ca="1" si="82"/>
        <v>95.892016913497358</v>
      </c>
      <c r="H161" s="151">
        <f t="shared" ca="1" si="82"/>
        <v>114.88686382866095</v>
      </c>
      <c r="I161" s="151">
        <f t="shared" ca="1" si="82"/>
        <v>148.30012585045907</v>
      </c>
      <c r="J161" s="151">
        <f t="shared" ca="1" si="82"/>
        <v>194.97605791396802</v>
      </c>
      <c r="K161" s="151">
        <f t="shared" ca="1" si="82"/>
        <v>227.4947533043115</v>
      </c>
      <c r="L161" s="151">
        <f t="shared" ca="1" si="82"/>
        <v>264.89051369911704</v>
      </c>
      <c r="M161" s="151">
        <f t="shared" ca="1" si="82"/>
        <v>301.99311212584877</v>
      </c>
      <c r="N161" s="151">
        <f t="shared" ca="1" si="82"/>
        <v>329.97025301402238</v>
      </c>
      <c r="O161" s="151">
        <f t="shared" ca="1" si="82"/>
        <v>437.09700640019298</v>
      </c>
      <c r="P161" s="151">
        <f t="shared" ca="1" si="82"/>
        <v>470.12756658509176</v>
      </c>
      <c r="Q161" s="151">
        <f t="shared" ca="1" si="82"/>
        <v>520.9819017475653</v>
      </c>
      <c r="R161" s="151">
        <f t="shared" ca="1" si="82"/>
        <v>594.55801327467145</v>
      </c>
      <c r="S161" s="151">
        <f t="shared" ca="1" si="82"/>
        <v>662.88345954296653</v>
      </c>
      <c r="T161" s="151">
        <f t="shared" ca="1" si="82"/>
        <v>959.67028292070484</v>
      </c>
      <c r="U161" s="151">
        <f t="shared" ca="1" si="82"/>
        <v>991.61845771147136</v>
      </c>
      <c r="V161" s="151">
        <f t="shared" ca="1" si="82"/>
        <v>1072.9022550095638</v>
      </c>
      <c r="W161" s="151">
        <f t="shared" ca="1" si="82"/>
        <v>1167.9791902358693</v>
      </c>
      <c r="X161" s="151">
        <f t="shared" ca="1" si="82"/>
        <v>1348.0878036110842</v>
      </c>
      <c r="Y161" s="151">
        <f t="shared" si="82"/>
        <v>0</v>
      </c>
      <c r="Z161" s="151">
        <f t="shared" si="82"/>
        <v>0</v>
      </c>
      <c r="AA161" s="151">
        <f t="shared" si="82"/>
        <v>0</v>
      </c>
      <c r="AB161" s="151">
        <f t="shared" si="82"/>
        <v>0</v>
      </c>
      <c r="AC161" s="151">
        <f t="shared" si="82"/>
        <v>0</v>
      </c>
      <c r="AD161" s="151">
        <f t="shared" si="82"/>
        <v>0</v>
      </c>
      <c r="AE161" s="151">
        <f t="shared" si="82"/>
        <v>0</v>
      </c>
      <c r="AF161" s="151">
        <f t="shared" si="82"/>
        <v>0</v>
      </c>
      <c r="AG161" s="151">
        <f t="shared" si="82"/>
        <v>0</v>
      </c>
      <c r="AH161" s="151">
        <f t="shared" si="82"/>
        <v>0</v>
      </c>
      <c r="AI161" s="151">
        <f t="shared" si="82"/>
        <v>0</v>
      </c>
      <c r="AJ161" s="151">
        <f t="shared" si="82"/>
        <v>0</v>
      </c>
      <c r="AK161" s="151">
        <f t="shared" si="82"/>
        <v>0</v>
      </c>
      <c r="AL161" s="151">
        <f t="shared" si="82"/>
        <v>0</v>
      </c>
      <c r="AM161" s="151">
        <f t="shared" si="82"/>
        <v>0</v>
      </c>
      <c r="AN161" s="151">
        <f t="shared" si="82"/>
        <v>0</v>
      </c>
      <c r="AO161" s="151">
        <f t="shared" si="82"/>
        <v>0</v>
      </c>
      <c r="AP161" s="151">
        <f t="shared" si="82"/>
        <v>0</v>
      </c>
      <c r="AQ161" s="151">
        <f t="shared" si="82"/>
        <v>0</v>
      </c>
      <c r="AR161" s="152">
        <f t="shared" si="82"/>
        <v>0</v>
      </c>
    </row>
    <row r="162" spans="1:64" s="13" customFormat="1">
      <c r="B162" s="40"/>
    </row>
    <row r="163" spans="1:64" s="13" customFormat="1">
      <c r="A163" s="40"/>
      <c r="B163" s="40"/>
      <c r="C163" s="181" t="s">
        <v>68</v>
      </c>
    </row>
    <row r="164" spans="1:64" s="13" customFormat="1">
      <c r="C164" s="138" t="s">
        <v>114</v>
      </c>
      <c r="E164" s="147">
        <f t="shared" ref="E164:AR164" ca="1" si="83">IF(Year="",,(E21+E24*BilledDemand_Risk/(1-UFW_FC)+(E22+E25*BilledDemand_Risk/(1-UFW_FC))*RealExRate_Risk)/DeflateFactor_Risk)</f>
        <v>54.387854532939144</v>
      </c>
      <c r="F164" s="148">
        <f t="shared" ca="1" si="83"/>
        <v>64.452933089815033</v>
      </c>
      <c r="G164" s="148">
        <f t="shared" ca="1" si="83"/>
        <v>78.281245533911886</v>
      </c>
      <c r="H164" s="148">
        <f t="shared" ca="1" si="83"/>
        <v>96.702120382128996</v>
      </c>
      <c r="I164" s="148">
        <f t="shared" ca="1" si="83"/>
        <v>128.97992473253831</v>
      </c>
      <c r="J164" s="148">
        <f t="shared" ca="1" si="83"/>
        <v>159.31070080581898</v>
      </c>
      <c r="K164" s="148">
        <f t="shared" ca="1" si="83"/>
        <v>203.46436621506652</v>
      </c>
      <c r="L164" s="148">
        <f t="shared" ca="1" si="83"/>
        <v>246.49751188826426</v>
      </c>
      <c r="M164" s="148">
        <f t="shared" ca="1" si="83"/>
        <v>288.79889524576203</v>
      </c>
      <c r="N164" s="148">
        <f t="shared" ca="1" si="83"/>
        <v>327.3121694087468</v>
      </c>
      <c r="O164" s="148">
        <f t="shared" ca="1" si="83"/>
        <v>357.57066736723522</v>
      </c>
      <c r="P164" s="148">
        <f t="shared" ca="1" si="83"/>
        <v>425.3045834793366</v>
      </c>
      <c r="Q164" s="148">
        <f t="shared" ca="1" si="83"/>
        <v>488.11357394095671</v>
      </c>
      <c r="R164" s="148">
        <f t="shared" ca="1" si="83"/>
        <v>569.17214621464541</v>
      </c>
      <c r="S164" s="148">
        <f t="shared" ca="1" si="83"/>
        <v>650.89015236139028</v>
      </c>
      <c r="T164" s="148">
        <f t="shared" ca="1" si="83"/>
        <v>806.9083697375994</v>
      </c>
      <c r="U164" s="148">
        <f t="shared" ca="1" si="83"/>
        <v>907.24652427193098</v>
      </c>
      <c r="V164" s="148">
        <f t="shared" ca="1" si="83"/>
        <v>1057.8419220573267</v>
      </c>
      <c r="W164" s="148">
        <f t="shared" ca="1" si="83"/>
        <v>1259.4836646667741</v>
      </c>
      <c r="X164" s="148">
        <f t="shared" ca="1" si="83"/>
        <v>1582.7104155766272</v>
      </c>
      <c r="Y164" s="148">
        <f t="shared" si="83"/>
        <v>0</v>
      </c>
      <c r="Z164" s="148">
        <f t="shared" si="83"/>
        <v>0</v>
      </c>
      <c r="AA164" s="148">
        <f t="shared" si="83"/>
        <v>0</v>
      </c>
      <c r="AB164" s="148">
        <f t="shared" si="83"/>
        <v>0</v>
      </c>
      <c r="AC164" s="148">
        <f t="shared" si="83"/>
        <v>0</v>
      </c>
      <c r="AD164" s="148">
        <f t="shared" si="83"/>
        <v>0</v>
      </c>
      <c r="AE164" s="148">
        <f t="shared" si="83"/>
        <v>0</v>
      </c>
      <c r="AF164" s="148">
        <f t="shared" si="83"/>
        <v>0</v>
      </c>
      <c r="AG164" s="148">
        <f t="shared" si="83"/>
        <v>0</v>
      </c>
      <c r="AH164" s="148">
        <f t="shared" si="83"/>
        <v>0</v>
      </c>
      <c r="AI164" s="148">
        <f t="shared" si="83"/>
        <v>0</v>
      </c>
      <c r="AJ164" s="148">
        <f t="shared" si="83"/>
        <v>0</v>
      </c>
      <c r="AK164" s="148">
        <f t="shared" si="83"/>
        <v>0</v>
      </c>
      <c r="AL164" s="148">
        <f t="shared" si="83"/>
        <v>0</v>
      </c>
      <c r="AM164" s="148">
        <f t="shared" si="83"/>
        <v>0</v>
      </c>
      <c r="AN164" s="148">
        <f t="shared" si="83"/>
        <v>0</v>
      </c>
      <c r="AO164" s="148">
        <f t="shared" si="83"/>
        <v>0</v>
      </c>
      <c r="AP164" s="148">
        <f t="shared" si="83"/>
        <v>0</v>
      </c>
      <c r="AQ164" s="148">
        <f t="shared" si="83"/>
        <v>0</v>
      </c>
      <c r="AR164" s="149">
        <f t="shared" si="83"/>
        <v>0</v>
      </c>
    </row>
    <row r="165" spans="1:64" s="13" customFormat="1">
      <c r="C165" s="138" t="s">
        <v>129</v>
      </c>
      <c r="E165" s="213">
        <f t="shared" ref="E165:AR165" ca="1" si="84">IF(Year="",,E119/DeflateFactor_Risk)</f>
        <v>10.980896798262568</v>
      </c>
      <c r="F165" s="165">
        <f t="shared" ca="1" si="84"/>
        <v>12.40040950812759</v>
      </c>
      <c r="G165" s="165">
        <f t="shared" ca="1" si="84"/>
        <v>13.850578175513675</v>
      </c>
      <c r="H165" s="165">
        <f t="shared" ca="1" si="84"/>
        <v>15.32986907312706</v>
      </c>
      <c r="I165" s="165">
        <f t="shared" ca="1" si="84"/>
        <v>16.870917124429543</v>
      </c>
      <c r="J165" s="165">
        <f t="shared" ca="1" si="84"/>
        <v>18.681985107394656</v>
      </c>
      <c r="K165" s="165">
        <f t="shared" ca="1" si="84"/>
        <v>20.250552746231921</v>
      </c>
      <c r="L165" s="165">
        <f t="shared" ca="1" si="84"/>
        <v>21.935885981576323</v>
      </c>
      <c r="M165" s="165">
        <f t="shared" ca="1" si="84"/>
        <v>23.71474176411386</v>
      </c>
      <c r="N165" s="165">
        <f t="shared" ca="1" si="84"/>
        <v>25.630853700166391</v>
      </c>
      <c r="O165" s="165">
        <f t="shared" ca="1" si="84"/>
        <v>27.379869384432521</v>
      </c>
      <c r="P165" s="165">
        <f t="shared" ca="1" si="84"/>
        <v>29.773104618378301</v>
      </c>
      <c r="Q165" s="165">
        <f t="shared" ca="1" si="84"/>
        <v>32.359627619402708</v>
      </c>
      <c r="R165" s="165">
        <f t="shared" ca="1" si="84"/>
        <v>35.173398209366269</v>
      </c>
      <c r="S165" s="165">
        <f t="shared" ca="1" si="84"/>
        <v>38.209024240278168</v>
      </c>
      <c r="T165" s="165">
        <f t="shared" ca="1" si="84"/>
        <v>41.448703373312632</v>
      </c>
      <c r="U165" s="165">
        <f t="shared" ca="1" si="84"/>
        <v>44.74122959684064</v>
      </c>
      <c r="V165" s="165">
        <f t="shared" ca="1" si="84"/>
        <v>48.292761954422346</v>
      </c>
      <c r="W165" s="165">
        <f t="shared" ca="1" si="84"/>
        <v>52.156581903847282</v>
      </c>
      <c r="X165" s="165">
        <f t="shared" ca="1" si="84"/>
        <v>56.289986456571775</v>
      </c>
      <c r="Y165" s="165">
        <f t="shared" si="84"/>
        <v>0</v>
      </c>
      <c r="Z165" s="165">
        <f t="shared" si="84"/>
        <v>0</v>
      </c>
      <c r="AA165" s="165">
        <f t="shared" si="84"/>
        <v>0</v>
      </c>
      <c r="AB165" s="165">
        <f t="shared" si="84"/>
        <v>0</v>
      </c>
      <c r="AC165" s="165">
        <f t="shared" si="84"/>
        <v>0</v>
      </c>
      <c r="AD165" s="165">
        <f t="shared" si="84"/>
        <v>0</v>
      </c>
      <c r="AE165" s="165">
        <f t="shared" si="84"/>
        <v>0</v>
      </c>
      <c r="AF165" s="165">
        <f t="shared" si="84"/>
        <v>0</v>
      </c>
      <c r="AG165" s="165">
        <f t="shared" si="84"/>
        <v>0</v>
      </c>
      <c r="AH165" s="165">
        <f t="shared" si="84"/>
        <v>0</v>
      </c>
      <c r="AI165" s="165">
        <f t="shared" si="84"/>
        <v>0</v>
      </c>
      <c r="AJ165" s="165">
        <f t="shared" si="84"/>
        <v>0</v>
      </c>
      <c r="AK165" s="165">
        <f t="shared" si="84"/>
        <v>0</v>
      </c>
      <c r="AL165" s="165">
        <f t="shared" si="84"/>
        <v>0</v>
      </c>
      <c r="AM165" s="165">
        <f t="shared" si="84"/>
        <v>0</v>
      </c>
      <c r="AN165" s="165">
        <f t="shared" si="84"/>
        <v>0</v>
      </c>
      <c r="AO165" s="165">
        <f t="shared" si="84"/>
        <v>0</v>
      </c>
      <c r="AP165" s="165">
        <f t="shared" si="84"/>
        <v>0</v>
      </c>
      <c r="AQ165" s="165">
        <f t="shared" si="84"/>
        <v>0</v>
      </c>
      <c r="AR165" s="166">
        <f t="shared" si="84"/>
        <v>0</v>
      </c>
    </row>
    <row r="166" spans="1:64" s="13" customFormat="1">
      <c r="C166" s="138" t="s">
        <v>150</v>
      </c>
      <c r="E166" s="213">
        <f t="shared" ref="E166:AR166" ca="1" si="85">IF(Year="",,SUM(E114:E115)/DeflateFactor_Risk)</f>
        <v>4.3084760193018851E-2</v>
      </c>
      <c r="F166" s="165">
        <f t="shared" ca="1" si="85"/>
        <v>0.12570604130471213</v>
      </c>
      <c r="G166" s="165">
        <f t="shared" ca="1" si="85"/>
        <v>0.36783902680827107</v>
      </c>
      <c r="H166" s="165">
        <f t="shared" ca="1" si="85"/>
        <v>1.0121327856451385</v>
      </c>
      <c r="I166" s="165">
        <f t="shared" ca="1" si="85"/>
        <v>2.3972447250026341</v>
      </c>
      <c r="J166" s="165">
        <f t="shared" ca="1" si="85"/>
        <v>4.4614618995177153</v>
      </c>
      <c r="K166" s="165">
        <f t="shared" ca="1" si="85"/>
        <v>6.4445081608642489</v>
      </c>
      <c r="L166" s="165">
        <f t="shared" ca="1" si="85"/>
        <v>7.8125719707159762</v>
      </c>
      <c r="M166" s="165">
        <f t="shared" ca="1" si="85"/>
        <v>8.6251055152370366</v>
      </c>
      <c r="N166" s="165">
        <f t="shared" ca="1" si="85"/>
        <v>9.299469638656932</v>
      </c>
      <c r="O166" s="165">
        <f t="shared" ca="1" si="85"/>
        <v>9.5529582029336009</v>
      </c>
      <c r="P166" s="165">
        <f t="shared" ca="1" si="85"/>
        <v>9.8180147165609277</v>
      </c>
      <c r="Q166" s="165">
        <f t="shared" ca="1" si="85"/>
        <v>10.105750853316191</v>
      </c>
      <c r="R166" s="165">
        <f t="shared" ca="1" si="85"/>
        <v>10.41551801661763</v>
      </c>
      <c r="S166" s="165">
        <f t="shared" ca="1" si="85"/>
        <v>10.736436557965668</v>
      </c>
      <c r="T166" s="165">
        <f t="shared" ca="1" si="85"/>
        <v>11.048653041610827</v>
      </c>
      <c r="U166" s="165">
        <f t="shared" ca="1" si="85"/>
        <v>11.328662132267251</v>
      </c>
      <c r="V166" s="165">
        <f t="shared" ca="1" si="85"/>
        <v>11.615705131086557</v>
      </c>
      <c r="W166" s="165">
        <f t="shared" ca="1" si="85"/>
        <v>11.917297751117406</v>
      </c>
      <c r="X166" s="165">
        <f t="shared" ca="1" si="85"/>
        <v>12.21834357981818</v>
      </c>
      <c r="Y166" s="165">
        <f t="shared" si="85"/>
        <v>0</v>
      </c>
      <c r="Z166" s="165">
        <f t="shared" si="85"/>
        <v>0</v>
      </c>
      <c r="AA166" s="165">
        <f t="shared" si="85"/>
        <v>0</v>
      </c>
      <c r="AB166" s="165">
        <f t="shared" si="85"/>
        <v>0</v>
      </c>
      <c r="AC166" s="165">
        <f t="shared" si="85"/>
        <v>0</v>
      </c>
      <c r="AD166" s="165">
        <f t="shared" si="85"/>
        <v>0</v>
      </c>
      <c r="AE166" s="165">
        <f t="shared" si="85"/>
        <v>0</v>
      </c>
      <c r="AF166" s="165">
        <f t="shared" si="85"/>
        <v>0</v>
      </c>
      <c r="AG166" s="165">
        <f t="shared" si="85"/>
        <v>0</v>
      </c>
      <c r="AH166" s="165">
        <f t="shared" si="85"/>
        <v>0</v>
      </c>
      <c r="AI166" s="165">
        <f t="shared" si="85"/>
        <v>0</v>
      </c>
      <c r="AJ166" s="165">
        <f t="shared" si="85"/>
        <v>0</v>
      </c>
      <c r="AK166" s="165">
        <f t="shared" si="85"/>
        <v>0</v>
      </c>
      <c r="AL166" s="165">
        <f t="shared" si="85"/>
        <v>0</v>
      </c>
      <c r="AM166" s="165">
        <f t="shared" si="85"/>
        <v>0</v>
      </c>
      <c r="AN166" s="165">
        <f t="shared" si="85"/>
        <v>0</v>
      </c>
      <c r="AO166" s="165">
        <f t="shared" si="85"/>
        <v>0</v>
      </c>
      <c r="AP166" s="165">
        <f t="shared" si="85"/>
        <v>0</v>
      </c>
      <c r="AQ166" s="165">
        <f t="shared" si="85"/>
        <v>0</v>
      </c>
      <c r="AR166" s="166">
        <f t="shared" si="85"/>
        <v>0</v>
      </c>
    </row>
    <row r="167" spans="1:64" s="13" customFormat="1">
      <c r="C167" s="138" t="s">
        <v>128</v>
      </c>
      <c r="E167" s="213">
        <f t="shared" ref="E167:AR167" ca="1" si="86">IF(Year="",,SUM(E117:E118)/DeflateFactor_Risk)</f>
        <v>2.9038002234559782E-2</v>
      </c>
      <c r="F167" s="165">
        <f t="shared" ca="1" si="86"/>
        <v>7.9405326619054598E-2</v>
      </c>
      <c r="G167" s="165">
        <f t="shared" ca="1" si="86"/>
        <v>0.21666138186658657</v>
      </c>
      <c r="H167" s="165">
        <f t="shared" ca="1" si="86"/>
        <v>0.55388931520920193</v>
      </c>
      <c r="I167" s="165">
        <f t="shared" ca="1" si="86"/>
        <v>1.2159375901660225</v>
      </c>
      <c r="J167" s="165">
        <f t="shared" ca="1" si="86"/>
        <v>2.0908556566645551</v>
      </c>
      <c r="K167" s="165">
        <f t="shared" ca="1" si="86"/>
        <v>2.7895195131221384</v>
      </c>
      <c r="L167" s="165">
        <f t="shared" ca="1" si="86"/>
        <v>3.1227154061310922</v>
      </c>
      <c r="M167" s="165">
        <f t="shared" ca="1" si="86"/>
        <v>3.1830598464076658</v>
      </c>
      <c r="N167" s="165">
        <f t="shared" ca="1" si="86"/>
        <v>3.1684468030492425</v>
      </c>
      <c r="O167" s="165">
        <f t="shared" ca="1" si="86"/>
        <v>3.0100244628967805</v>
      </c>
      <c r="P167" s="165">
        <f t="shared" ca="1" si="86"/>
        <v>2.8588441970546787</v>
      </c>
      <c r="Q167" s="165">
        <f t="shared" ca="1" si="86"/>
        <v>2.7181967053923968</v>
      </c>
      <c r="R167" s="165">
        <f t="shared" ca="1" si="86"/>
        <v>2.5871630996066775</v>
      </c>
      <c r="S167" s="165">
        <f t="shared" ca="1" si="86"/>
        <v>2.4624325074363393</v>
      </c>
      <c r="T167" s="165">
        <f t="shared" ca="1" si="86"/>
        <v>2.339310882064523</v>
      </c>
      <c r="U167" s="165">
        <f t="shared" ca="1" si="86"/>
        <v>2.2142388604660881</v>
      </c>
      <c r="V167" s="165">
        <f t="shared" ca="1" si="86"/>
        <v>2.095821752304591</v>
      </c>
      <c r="W167" s="165">
        <f t="shared" ca="1" si="86"/>
        <v>1.9849377186147608</v>
      </c>
      <c r="X167" s="165">
        <f t="shared" ca="1" si="86"/>
        <v>1.878625451958158</v>
      </c>
      <c r="Y167" s="165">
        <f t="shared" si="86"/>
        <v>0</v>
      </c>
      <c r="Z167" s="165">
        <f t="shared" si="86"/>
        <v>0</v>
      </c>
      <c r="AA167" s="165">
        <f t="shared" si="86"/>
        <v>0</v>
      </c>
      <c r="AB167" s="165">
        <f t="shared" si="86"/>
        <v>0</v>
      </c>
      <c r="AC167" s="165">
        <f t="shared" si="86"/>
        <v>0</v>
      </c>
      <c r="AD167" s="165">
        <f t="shared" si="86"/>
        <v>0</v>
      </c>
      <c r="AE167" s="165">
        <f t="shared" si="86"/>
        <v>0</v>
      </c>
      <c r="AF167" s="165">
        <f t="shared" si="86"/>
        <v>0</v>
      </c>
      <c r="AG167" s="165">
        <f t="shared" si="86"/>
        <v>0</v>
      </c>
      <c r="AH167" s="165">
        <f t="shared" si="86"/>
        <v>0</v>
      </c>
      <c r="AI167" s="165">
        <f t="shared" si="86"/>
        <v>0</v>
      </c>
      <c r="AJ167" s="165">
        <f t="shared" si="86"/>
        <v>0</v>
      </c>
      <c r="AK167" s="165">
        <f t="shared" si="86"/>
        <v>0</v>
      </c>
      <c r="AL167" s="165">
        <f t="shared" si="86"/>
        <v>0</v>
      </c>
      <c r="AM167" s="165">
        <f t="shared" si="86"/>
        <v>0</v>
      </c>
      <c r="AN167" s="165">
        <f t="shared" si="86"/>
        <v>0</v>
      </c>
      <c r="AO167" s="165">
        <f t="shared" si="86"/>
        <v>0</v>
      </c>
      <c r="AP167" s="165">
        <f t="shared" si="86"/>
        <v>0</v>
      </c>
      <c r="AQ167" s="165">
        <f t="shared" si="86"/>
        <v>0</v>
      </c>
      <c r="AR167" s="166">
        <f t="shared" si="86"/>
        <v>0</v>
      </c>
    </row>
    <row r="168" spans="1:64" s="13" customFormat="1" ht="13.8" thickBot="1">
      <c r="C168" s="138" t="s">
        <v>28</v>
      </c>
      <c r="E168" s="213">
        <f t="shared" ref="E168:AR168" ca="1" si="87">IF(Year="",,-Man_Fee/DeflateFactor_Risk)</f>
        <v>0</v>
      </c>
      <c r="F168" s="165">
        <f t="shared" ca="1" si="87"/>
        <v>0</v>
      </c>
      <c r="G168" s="165">
        <f t="shared" ca="1" si="87"/>
        <v>0</v>
      </c>
      <c r="H168" s="165">
        <f t="shared" ca="1" si="87"/>
        <v>0</v>
      </c>
      <c r="I168" s="165">
        <f t="shared" ca="1" si="87"/>
        <v>0</v>
      </c>
      <c r="J168" s="165">
        <f t="shared" ca="1" si="87"/>
        <v>0</v>
      </c>
      <c r="K168" s="165">
        <f t="shared" ca="1" si="87"/>
        <v>0</v>
      </c>
      <c r="L168" s="165">
        <f t="shared" ca="1" si="87"/>
        <v>0</v>
      </c>
      <c r="M168" s="165">
        <f t="shared" ca="1" si="87"/>
        <v>0</v>
      </c>
      <c r="N168" s="165">
        <f t="shared" ca="1" si="87"/>
        <v>0</v>
      </c>
      <c r="O168" s="165">
        <f t="shared" ca="1" si="87"/>
        <v>0</v>
      </c>
      <c r="P168" s="165">
        <f t="shared" ca="1" si="87"/>
        <v>0</v>
      </c>
      <c r="Q168" s="165">
        <f t="shared" ca="1" si="87"/>
        <v>0</v>
      </c>
      <c r="R168" s="165">
        <f t="shared" ca="1" si="87"/>
        <v>0</v>
      </c>
      <c r="S168" s="165">
        <f t="shared" ca="1" si="87"/>
        <v>0</v>
      </c>
      <c r="T168" s="165">
        <f t="shared" ca="1" si="87"/>
        <v>0</v>
      </c>
      <c r="U168" s="165">
        <f t="shared" ca="1" si="87"/>
        <v>0</v>
      </c>
      <c r="V168" s="165">
        <f t="shared" ca="1" si="87"/>
        <v>0</v>
      </c>
      <c r="W168" s="165">
        <f t="shared" ca="1" si="87"/>
        <v>0</v>
      </c>
      <c r="X168" s="165">
        <f t="shared" ca="1" si="87"/>
        <v>0</v>
      </c>
      <c r="Y168" s="165">
        <f t="shared" si="87"/>
        <v>0</v>
      </c>
      <c r="Z168" s="165">
        <f t="shared" si="87"/>
        <v>0</v>
      </c>
      <c r="AA168" s="165">
        <f t="shared" si="87"/>
        <v>0</v>
      </c>
      <c r="AB168" s="165">
        <f t="shared" si="87"/>
        <v>0</v>
      </c>
      <c r="AC168" s="165">
        <f t="shared" si="87"/>
        <v>0</v>
      </c>
      <c r="AD168" s="165">
        <f t="shared" si="87"/>
        <v>0</v>
      </c>
      <c r="AE168" s="165">
        <f t="shared" si="87"/>
        <v>0</v>
      </c>
      <c r="AF168" s="165">
        <f t="shared" si="87"/>
        <v>0</v>
      </c>
      <c r="AG168" s="165">
        <f t="shared" si="87"/>
        <v>0</v>
      </c>
      <c r="AH168" s="165">
        <f t="shared" si="87"/>
        <v>0</v>
      </c>
      <c r="AI168" s="165">
        <f t="shared" si="87"/>
        <v>0</v>
      </c>
      <c r="AJ168" s="165">
        <f t="shared" si="87"/>
        <v>0</v>
      </c>
      <c r="AK168" s="165">
        <f t="shared" si="87"/>
        <v>0</v>
      </c>
      <c r="AL168" s="165">
        <f t="shared" si="87"/>
        <v>0</v>
      </c>
      <c r="AM168" s="165">
        <f t="shared" si="87"/>
        <v>0</v>
      </c>
      <c r="AN168" s="165">
        <f t="shared" si="87"/>
        <v>0</v>
      </c>
      <c r="AO168" s="165">
        <f t="shared" si="87"/>
        <v>0</v>
      </c>
      <c r="AP168" s="165">
        <f t="shared" si="87"/>
        <v>0</v>
      </c>
      <c r="AQ168" s="165">
        <f t="shared" si="87"/>
        <v>0</v>
      </c>
      <c r="AR168" s="166">
        <f t="shared" si="87"/>
        <v>0</v>
      </c>
    </row>
    <row r="169" spans="1:64" s="13" customFormat="1" ht="14.4" thickTop="1" thickBot="1">
      <c r="C169" s="40" t="s">
        <v>120</v>
      </c>
      <c r="E169" s="244">
        <f ca="1">SUM(E164:E168)</f>
        <v>65.44087409362929</v>
      </c>
      <c r="F169" s="245">
        <f t="shared" ref="F169:AR169" ca="1" si="88">SUM(F164:F168)</f>
        <v>77.058453965866391</v>
      </c>
      <c r="G169" s="245">
        <f t="shared" ca="1" si="88"/>
        <v>92.716324118100417</v>
      </c>
      <c r="H169" s="245">
        <f t="shared" ca="1" si="88"/>
        <v>113.59801155611039</v>
      </c>
      <c r="I169" s="245">
        <f t="shared" ca="1" si="88"/>
        <v>149.4640241721365</v>
      </c>
      <c r="J169" s="245">
        <f t="shared" ca="1" si="88"/>
        <v>184.54500346939594</v>
      </c>
      <c r="K169" s="245">
        <f t="shared" ca="1" si="88"/>
        <v>232.94894663528484</v>
      </c>
      <c r="L169" s="245">
        <f t="shared" ca="1" si="88"/>
        <v>279.36868524668762</v>
      </c>
      <c r="M169" s="245">
        <f t="shared" ca="1" si="88"/>
        <v>324.32180237152056</v>
      </c>
      <c r="N169" s="245">
        <f t="shared" ca="1" si="88"/>
        <v>365.41093955061933</v>
      </c>
      <c r="O169" s="245">
        <f t="shared" ca="1" si="88"/>
        <v>397.51351941749817</v>
      </c>
      <c r="P169" s="245">
        <f t="shared" ca="1" si="88"/>
        <v>467.75454701133049</v>
      </c>
      <c r="Q169" s="245">
        <f t="shared" ca="1" si="88"/>
        <v>533.29714911906797</v>
      </c>
      <c r="R169" s="245">
        <f t="shared" ca="1" si="88"/>
        <v>617.34822554023594</v>
      </c>
      <c r="S169" s="245">
        <f t="shared" ca="1" si="88"/>
        <v>702.29804566707048</v>
      </c>
      <c r="T169" s="245">
        <f t="shared" ca="1" si="88"/>
        <v>861.74503703458731</v>
      </c>
      <c r="U169" s="245">
        <f t="shared" ca="1" si="88"/>
        <v>965.53065486150501</v>
      </c>
      <c r="V169" s="245">
        <f t="shared" ca="1" si="88"/>
        <v>1119.8462108951401</v>
      </c>
      <c r="W169" s="245">
        <f t="shared" ca="1" si="88"/>
        <v>1325.5424820403534</v>
      </c>
      <c r="X169" s="245">
        <f t="shared" ca="1" si="88"/>
        <v>1653.0973710649753</v>
      </c>
      <c r="Y169" s="245">
        <f t="shared" si="88"/>
        <v>0</v>
      </c>
      <c r="Z169" s="245">
        <f t="shared" si="88"/>
        <v>0</v>
      </c>
      <c r="AA169" s="245">
        <f t="shared" si="88"/>
        <v>0</v>
      </c>
      <c r="AB169" s="245">
        <f t="shared" si="88"/>
        <v>0</v>
      </c>
      <c r="AC169" s="245">
        <f t="shared" si="88"/>
        <v>0</v>
      </c>
      <c r="AD169" s="245">
        <f t="shared" si="88"/>
        <v>0</v>
      </c>
      <c r="AE169" s="245">
        <f t="shared" si="88"/>
        <v>0</v>
      </c>
      <c r="AF169" s="245">
        <f t="shared" si="88"/>
        <v>0</v>
      </c>
      <c r="AG169" s="245">
        <f t="shared" si="88"/>
        <v>0</v>
      </c>
      <c r="AH169" s="245">
        <f t="shared" si="88"/>
        <v>0</v>
      </c>
      <c r="AI169" s="245">
        <f t="shared" si="88"/>
        <v>0</v>
      </c>
      <c r="AJ169" s="245">
        <f t="shared" si="88"/>
        <v>0</v>
      </c>
      <c r="AK169" s="245">
        <f t="shared" si="88"/>
        <v>0</v>
      </c>
      <c r="AL169" s="245">
        <f t="shared" si="88"/>
        <v>0</v>
      </c>
      <c r="AM169" s="245">
        <f t="shared" si="88"/>
        <v>0</v>
      </c>
      <c r="AN169" s="245">
        <f t="shared" si="88"/>
        <v>0</v>
      </c>
      <c r="AO169" s="245">
        <f t="shared" si="88"/>
        <v>0</v>
      </c>
      <c r="AP169" s="245">
        <f t="shared" si="88"/>
        <v>0</v>
      </c>
      <c r="AQ169" s="245">
        <f t="shared" si="88"/>
        <v>0</v>
      </c>
      <c r="AR169" s="246">
        <f t="shared" si="88"/>
        <v>0</v>
      </c>
      <c r="AS169" s="73"/>
      <c r="AT169" s="73"/>
      <c r="AU169" s="73"/>
      <c r="AV169" s="73"/>
      <c r="AW169" s="73"/>
      <c r="AX169" s="73"/>
      <c r="AY169" s="73"/>
      <c r="AZ169" s="73"/>
      <c r="BA169" s="73"/>
      <c r="BB169" s="73"/>
      <c r="BC169" s="73"/>
      <c r="BD169" s="73"/>
      <c r="BE169" s="73"/>
      <c r="BF169" s="73"/>
      <c r="BG169" s="73"/>
      <c r="BH169" s="73"/>
      <c r="BI169" s="73"/>
      <c r="BJ169" s="73"/>
      <c r="BK169" s="73"/>
      <c r="BL169" s="73"/>
    </row>
    <row r="170" spans="1:64" s="13" customFormat="1" ht="13.8" thickTop="1">
      <c r="B170" s="40"/>
    </row>
    <row r="171" spans="1:64" s="13" customFormat="1">
      <c r="A171" s="40"/>
      <c r="B171" s="181" t="s">
        <v>170</v>
      </c>
    </row>
    <row r="172" spans="1:64" s="13" customFormat="1">
      <c r="C172" s="138" t="s">
        <v>16</v>
      </c>
      <c r="E172" s="147">
        <f t="shared" ref="E172:AR172" ca="1" si="89">(E160-E$169)*DiscountFactor*DeflateFactor_Risk</f>
        <v>17.134038954660308</v>
      </c>
      <c r="F172" s="148">
        <f t="shared" ca="1" si="89"/>
        <v>16.675249971741657</v>
      </c>
      <c r="G172" s="148">
        <f t="shared" ca="1" si="89"/>
        <v>14.741741314488092</v>
      </c>
      <c r="H172" s="148">
        <f t="shared" ca="1" si="89"/>
        <v>13.839250426690171</v>
      </c>
      <c r="I172" s="148">
        <f t="shared" ca="1" si="89"/>
        <v>13.998273569025105</v>
      </c>
      <c r="J172" s="148">
        <f t="shared" ca="1" si="89"/>
        <v>19.353397189884451</v>
      </c>
      <c r="K172" s="148">
        <f t="shared" ca="1" si="89"/>
        <v>12.938595703484125</v>
      </c>
      <c r="L172" s="148">
        <f t="shared" ca="1" si="89"/>
        <v>10.389911521032602</v>
      </c>
      <c r="M172" s="148">
        <f t="shared" ca="1" si="89"/>
        <v>8.6188144951478165</v>
      </c>
      <c r="N172" s="148">
        <f t="shared" ca="1" si="89"/>
        <v>5.4984061476127186</v>
      </c>
      <c r="O172" s="148">
        <f t="shared" ca="1" si="89"/>
        <v>2.9343027824781034</v>
      </c>
      <c r="P172" s="148">
        <f t="shared" ca="1" si="89"/>
        <v>-4.3958937242052203</v>
      </c>
      <c r="Q172" s="148">
        <f t="shared" ca="1" si="89"/>
        <v>-6.4685754939916826</v>
      </c>
      <c r="R172" s="148">
        <f t="shared" ca="1" si="89"/>
        <v>-7.4880141288466424</v>
      </c>
      <c r="S172" s="148">
        <f t="shared" ca="1" si="89"/>
        <v>-8.7493584354497518</v>
      </c>
      <c r="T172" s="148">
        <f t="shared" ca="1" si="89"/>
        <v>-15.675494199343158</v>
      </c>
      <c r="U172" s="148">
        <f t="shared" ca="1" si="89"/>
        <v>-20.274229108448665</v>
      </c>
      <c r="V172" s="148">
        <f t="shared" ca="1" si="89"/>
        <v>-24.382182438839976</v>
      </c>
      <c r="W172" s="148">
        <f t="shared" ca="1" si="89"/>
        <v>-29.557679263803912</v>
      </c>
      <c r="X172" s="148">
        <f t="shared" ca="1" si="89"/>
        <v>-36.111862421812958</v>
      </c>
      <c r="Y172" s="148">
        <f t="shared" ca="1" si="89"/>
        <v>0</v>
      </c>
      <c r="Z172" s="148">
        <f t="shared" ca="1" si="89"/>
        <v>0</v>
      </c>
      <c r="AA172" s="148">
        <f t="shared" ca="1" si="89"/>
        <v>0</v>
      </c>
      <c r="AB172" s="148">
        <f t="shared" ca="1" si="89"/>
        <v>0</v>
      </c>
      <c r="AC172" s="148">
        <f t="shared" ca="1" si="89"/>
        <v>0</v>
      </c>
      <c r="AD172" s="148">
        <f t="shared" ca="1" si="89"/>
        <v>0</v>
      </c>
      <c r="AE172" s="148">
        <f t="shared" ca="1" si="89"/>
        <v>0</v>
      </c>
      <c r="AF172" s="148">
        <f t="shared" ca="1" si="89"/>
        <v>0</v>
      </c>
      <c r="AG172" s="148">
        <f t="shared" ca="1" si="89"/>
        <v>0</v>
      </c>
      <c r="AH172" s="148">
        <f t="shared" ca="1" si="89"/>
        <v>0</v>
      </c>
      <c r="AI172" s="148">
        <f t="shared" ca="1" si="89"/>
        <v>0</v>
      </c>
      <c r="AJ172" s="148">
        <f t="shared" ca="1" si="89"/>
        <v>0</v>
      </c>
      <c r="AK172" s="148">
        <f t="shared" ca="1" si="89"/>
        <v>0</v>
      </c>
      <c r="AL172" s="148">
        <f t="shared" ca="1" si="89"/>
        <v>0</v>
      </c>
      <c r="AM172" s="148">
        <f t="shared" ca="1" si="89"/>
        <v>0</v>
      </c>
      <c r="AN172" s="148">
        <f t="shared" ca="1" si="89"/>
        <v>0</v>
      </c>
      <c r="AO172" s="148">
        <f t="shared" ca="1" si="89"/>
        <v>0</v>
      </c>
      <c r="AP172" s="148">
        <f t="shared" ca="1" si="89"/>
        <v>0</v>
      </c>
      <c r="AQ172" s="148">
        <f t="shared" ca="1" si="89"/>
        <v>0</v>
      </c>
      <c r="AR172" s="149">
        <f t="shared" ca="1" si="89"/>
        <v>0</v>
      </c>
    </row>
    <row r="173" spans="1:64" s="13" customFormat="1">
      <c r="B173" s="138"/>
      <c r="C173" s="3" t="str">
        <f>CONCATENATE(Tariff_Period," year reset period")</f>
        <v>5 year reset period</v>
      </c>
      <c r="E173" s="150">
        <f t="shared" ref="E173:AR173" ca="1" si="90">(E161-E$169)*DiscountFactor*DeflateFactor_Risk</f>
        <v>4.8396706488093733</v>
      </c>
      <c r="F173" s="151">
        <f t="shared" ca="1" si="90"/>
        <v>4.1852914036840891</v>
      </c>
      <c r="G173" s="151">
        <f t="shared" ca="1" si="90"/>
        <v>2.1217492739368824</v>
      </c>
      <c r="H173" s="151">
        <f t="shared" ca="1" si="90"/>
        <v>0.74570812295584066</v>
      </c>
      <c r="I173" s="151">
        <f t="shared" ca="1" si="90"/>
        <v>-0.58087771544632405</v>
      </c>
      <c r="J173" s="151">
        <f t="shared" ca="1" si="90"/>
        <v>4.4848221235852277</v>
      </c>
      <c r="K173" s="151">
        <f t="shared" ca="1" si="90"/>
        <v>-2.0223005532736487</v>
      </c>
      <c r="L173" s="151">
        <f t="shared" ca="1" si="90"/>
        <v>-4.6278837071813408</v>
      </c>
      <c r="M173" s="151">
        <f t="shared" ca="1" si="90"/>
        <v>-6.1613146072143703</v>
      </c>
      <c r="N173" s="151">
        <f t="shared" ca="1" si="90"/>
        <v>-8.4413279066071336</v>
      </c>
      <c r="O173" s="151">
        <f t="shared" ca="1" si="90"/>
        <v>8.1295403117697731</v>
      </c>
      <c r="P173" s="151">
        <f t="shared" ca="1" si="90"/>
        <v>0.42003980718804662</v>
      </c>
      <c r="Q173" s="151">
        <f t="shared" ca="1" si="90"/>
        <v>-1.8759028925542627</v>
      </c>
      <c r="R173" s="151">
        <f t="shared" ca="1" si="90"/>
        <v>-2.983501685240137</v>
      </c>
      <c r="S173" s="151">
        <f t="shared" ca="1" si="90"/>
        <v>-4.4338254487216053</v>
      </c>
      <c r="T173" s="151">
        <f t="shared" ca="1" si="90"/>
        <v>9.4817851410783014</v>
      </c>
      <c r="U173" s="151">
        <f t="shared" ca="1" si="90"/>
        <v>2.1821602765236134</v>
      </c>
      <c r="V173" s="151">
        <f t="shared" ca="1" si="90"/>
        <v>-3.3922266623228841</v>
      </c>
      <c r="W173" s="151">
        <f t="shared" ca="1" si="90"/>
        <v>-9.829943120238843</v>
      </c>
      <c r="X173" s="151">
        <f t="shared" ca="1" si="90"/>
        <v>-16.439850740451526</v>
      </c>
      <c r="Y173" s="151">
        <f t="shared" ca="1" si="90"/>
        <v>0</v>
      </c>
      <c r="Z173" s="151">
        <f t="shared" ca="1" si="90"/>
        <v>0</v>
      </c>
      <c r="AA173" s="151">
        <f t="shared" ca="1" si="90"/>
        <v>0</v>
      </c>
      <c r="AB173" s="151">
        <f t="shared" ca="1" si="90"/>
        <v>0</v>
      </c>
      <c r="AC173" s="151">
        <f t="shared" ca="1" si="90"/>
        <v>0</v>
      </c>
      <c r="AD173" s="151">
        <f t="shared" ca="1" si="90"/>
        <v>0</v>
      </c>
      <c r="AE173" s="151">
        <f t="shared" ca="1" si="90"/>
        <v>0</v>
      </c>
      <c r="AF173" s="151">
        <f t="shared" ca="1" si="90"/>
        <v>0</v>
      </c>
      <c r="AG173" s="151">
        <f t="shared" ca="1" si="90"/>
        <v>0</v>
      </c>
      <c r="AH173" s="151">
        <f t="shared" ca="1" si="90"/>
        <v>0</v>
      </c>
      <c r="AI173" s="151">
        <f t="shared" ca="1" si="90"/>
        <v>0</v>
      </c>
      <c r="AJ173" s="151">
        <f t="shared" ca="1" si="90"/>
        <v>0</v>
      </c>
      <c r="AK173" s="151">
        <f t="shared" ca="1" si="90"/>
        <v>0</v>
      </c>
      <c r="AL173" s="151">
        <f t="shared" ca="1" si="90"/>
        <v>0</v>
      </c>
      <c r="AM173" s="151">
        <f t="shared" ca="1" si="90"/>
        <v>0</v>
      </c>
      <c r="AN173" s="151">
        <f t="shared" ca="1" si="90"/>
        <v>0</v>
      </c>
      <c r="AO173" s="151">
        <f t="shared" ca="1" si="90"/>
        <v>0</v>
      </c>
      <c r="AP173" s="151">
        <f t="shared" ca="1" si="90"/>
        <v>0</v>
      </c>
      <c r="AQ173" s="151">
        <f t="shared" ca="1" si="90"/>
        <v>0</v>
      </c>
      <c r="AR173" s="152">
        <f t="shared" ca="1" si="90"/>
        <v>0</v>
      </c>
    </row>
    <row r="174" spans="1:64" s="13" customFormat="1">
      <c r="B174" s="40"/>
    </row>
    <row r="175" spans="1:64" s="13" customFormat="1">
      <c r="B175" s="40"/>
    </row>
    <row r="176" spans="1:64" s="243" customFormat="1" ht="17.399999999999999">
      <c r="A176" s="241" t="str">
        <f>CONCATENATE("Cash flows (",MonDenomination,")")</f>
        <v>Cash flows (Millions)</v>
      </c>
      <c r="B176" s="242"/>
      <c r="C176" s="242"/>
      <c r="D176" s="13"/>
    </row>
    <row r="177" spans="1:44" s="13" customFormat="1">
      <c r="A177" s="40"/>
      <c r="B177" s="181" t="s">
        <v>16</v>
      </c>
    </row>
    <row r="178" spans="1:44" s="13" customFormat="1">
      <c r="C178" s="138" t="s">
        <v>31</v>
      </c>
      <c r="E178" s="147">
        <f t="shared" ref="E178:AR178" ca="1" si="91">IF(Year="",,(E151*BilledDemand_Risk*Collection_FC-E86-E87-(E29-E30)*ServExt_CAPct)*DiscountFactor*DeflateFactor_Risk)</f>
        <v>0.68784399735839452</v>
      </c>
      <c r="F178" s="148">
        <f t="shared" ca="1" si="91"/>
        <v>0.62947395209847845</v>
      </c>
      <c r="G178" s="148">
        <f t="shared" ca="1" si="91"/>
        <v>0.36542309773941933</v>
      </c>
      <c r="H178" s="148">
        <f t="shared" ca="1" si="91"/>
        <v>-0.13810650877719044</v>
      </c>
      <c r="I178" s="148">
        <f t="shared" ca="1" si="91"/>
        <v>-0.75158471144747674</v>
      </c>
      <c r="J178" s="148">
        <f t="shared" ca="1" si="91"/>
        <v>-0.94196960851624822</v>
      </c>
      <c r="K178" s="148">
        <f t="shared" ca="1" si="91"/>
        <v>-0.4310112431274164</v>
      </c>
      <c r="L178" s="148">
        <f t="shared" ca="1" si="91"/>
        <v>0.27848488957504275</v>
      </c>
      <c r="M178" s="148">
        <f t="shared" ca="1" si="91"/>
        <v>0.65722473522339153</v>
      </c>
      <c r="N178" s="148">
        <f t="shared" ca="1" si="91"/>
        <v>0.64238085514762422</v>
      </c>
      <c r="O178" s="148">
        <f t="shared" ca="1" si="91"/>
        <v>0.65005865552402842</v>
      </c>
      <c r="P178" s="148">
        <f t="shared" ca="1" si="91"/>
        <v>0.51417230027297167</v>
      </c>
      <c r="Q178" s="148">
        <f t="shared" ca="1" si="91"/>
        <v>0.48309596669736615</v>
      </c>
      <c r="R178" s="148">
        <f t="shared" ca="1" si="91"/>
        <v>0.50379870890486445</v>
      </c>
      <c r="S178" s="148">
        <f t="shared" ca="1" si="91"/>
        <v>0.50868110558548074</v>
      </c>
      <c r="T178" s="148">
        <f t="shared" ca="1" si="91"/>
        <v>0.49640367437793897</v>
      </c>
      <c r="U178" s="148">
        <f t="shared" ca="1" si="91"/>
        <v>0.44197373691526187</v>
      </c>
      <c r="V178" s="148">
        <f t="shared" ca="1" si="91"/>
        <v>0.42173064622373635</v>
      </c>
      <c r="W178" s="148">
        <f t="shared" ca="1" si="91"/>
        <v>0.40164895120230854</v>
      </c>
      <c r="X178" s="148">
        <f t="shared" ca="1" si="91"/>
        <v>0.41426701744312266</v>
      </c>
      <c r="Y178" s="148">
        <f t="shared" si="91"/>
        <v>0</v>
      </c>
      <c r="Z178" s="148">
        <f t="shared" si="91"/>
        <v>0</v>
      </c>
      <c r="AA178" s="148">
        <f t="shared" si="91"/>
        <v>0</v>
      </c>
      <c r="AB178" s="148">
        <f t="shared" si="91"/>
        <v>0</v>
      </c>
      <c r="AC178" s="148">
        <f t="shared" si="91"/>
        <v>0</v>
      </c>
      <c r="AD178" s="148">
        <f t="shared" si="91"/>
        <v>0</v>
      </c>
      <c r="AE178" s="148">
        <f t="shared" si="91"/>
        <v>0</v>
      </c>
      <c r="AF178" s="148">
        <f t="shared" si="91"/>
        <v>0</v>
      </c>
      <c r="AG178" s="148">
        <f t="shared" si="91"/>
        <v>0</v>
      </c>
      <c r="AH178" s="148">
        <f t="shared" si="91"/>
        <v>0</v>
      </c>
      <c r="AI178" s="148">
        <f t="shared" si="91"/>
        <v>0</v>
      </c>
      <c r="AJ178" s="148">
        <f t="shared" si="91"/>
        <v>0</v>
      </c>
      <c r="AK178" s="148">
        <f t="shared" si="91"/>
        <v>0</v>
      </c>
      <c r="AL178" s="148">
        <f t="shared" si="91"/>
        <v>0</v>
      </c>
      <c r="AM178" s="148">
        <f t="shared" si="91"/>
        <v>0</v>
      </c>
      <c r="AN178" s="148">
        <f t="shared" si="91"/>
        <v>0</v>
      </c>
      <c r="AO178" s="148">
        <f t="shared" si="91"/>
        <v>0</v>
      </c>
      <c r="AP178" s="148">
        <f t="shared" si="91"/>
        <v>0</v>
      </c>
      <c r="AQ178" s="148">
        <f t="shared" si="91"/>
        <v>0</v>
      </c>
      <c r="AR178" s="149">
        <f t="shared" si="91"/>
        <v>0</v>
      </c>
    </row>
    <row r="179" spans="1:44" s="13" customFormat="1">
      <c r="C179" s="3" t="s">
        <v>30</v>
      </c>
      <c r="E179" s="150">
        <f t="shared" ref="E179:AR179" ca="1" si="92">IF(Year="",,(E152*BilledDemand_Risk*Collection_FC-SUM(E$164,E$165,E82:E83,(E29-E30)*ServExt_LoanPct))*DiscountFactor*DeflateFactor_Risk)</f>
        <v>16.254172548490811</v>
      </c>
      <c r="F179" s="151">
        <f t="shared" ca="1" si="92"/>
        <v>15.805245186691742</v>
      </c>
      <c r="G179" s="151">
        <f t="shared" ca="1" si="92"/>
        <v>13.823315562017099</v>
      </c>
      <c r="H179" s="151">
        <f t="shared" ca="1" si="92"/>
        <v>12.870022945297793</v>
      </c>
      <c r="I179" s="151">
        <f t="shared" ca="1" si="92"/>
        <v>13.115654763090124</v>
      </c>
      <c r="J179" s="151">
        <f t="shared" ca="1" si="92"/>
        <v>19.073648304207119</v>
      </c>
      <c r="K179" s="151">
        <f t="shared" ca="1" si="92"/>
        <v>13.763045902111678</v>
      </c>
      <c r="L179" s="151">
        <f t="shared" ca="1" si="92"/>
        <v>11.987243841621753</v>
      </c>
      <c r="M179" s="151">
        <f t="shared" ca="1" si="92"/>
        <v>10.392227053290696</v>
      </c>
      <c r="N179" s="151">
        <f t="shared" ca="1" si="92"/>
        <v>7.0900955742280427</v>
      </c>
      <c r="O179" s="151">
        <f t="shared" ca="1" si="92"/>
        <v>4.3179433921193153</v>
      </c>
      <c r="P179" s="151">
        <f t="shared" ca="1" si="92"/>
        <v>-3.3495842488006504</v>
      </c>
      <c r="Q179" s="151">
        <f t="shared" ca="1" si="92"/>
        <v>-5.6644837700314961</v>
      </c>
      <c r="R179" s="151">
        <f t="shared" ca="1" si="92"/>
        <v>-6.8830734903772068</v>
      </c>
      <c r="S179" s="151">
        <f t="shared" ca="1" si="92"/>
        <v>-8.289799417524172</v>
      </c>
      <c r="T179" s="151">
        <f t="shared" ca="1" si="92"/>
        <v>-15.362321325881203</v>
      </c>
      <c r="U179" s="151">
        <f t="shared" ca="1" si="92"/>
        <v>-20.020135507844351</v>
      </c>
      <c r="V179" s="151">
        <f t="shared" ca="1" si="92"/>
        <v>-24.20409680317136</v>
      </c>
      <c r="W179" s="151">
        <f t="shared" ca="1" si="92"/>
        <v>-29.448930890269008</v>
      </c>
      <c r="X179" s="151">
        <f t="shared" ca="1" si="92"/>
        <v>-36.09472219357891</v>
      </c>
      <c r="Y179" s="151">
        <f t="shared" si="92"/>
        <v>0</v>
      </c>
      <c r="Z179" s="151">
        <f t="shared" si="92"/>
        <v>0</v>
      </c>
      <c r="AA179" s="151">
        <f t="shared" si="92"/>
        <v>0</v>
      </c>
      <c r="AB179" s="151">
        <f t="shared" si="92"/>
        <v>0</v>
      </c>
      <c r="AC179" s="151">
        <f t="shared" si="92"/>
        <v>0</v>
      </c>
      <c r="AD179" s="151">
        <f t="shared" si="92"/>
        <v>0</v>
      </c>
      <c r="AE179" s="151">
        <f t="shared" si="92"/>
        <v>0</v>
      </c>
      <c r="AF179" s="151">
        <f t="shared" si="92"/>
        <v>0</v>
      </c>
      <c r="AG179" s="151">
        <f t="shared" si="92"/>
        <v>0</v>
      </c>
      <c r="AH179" s="151">
        <f t="shared" si="92"/>
        <v>0</v>
      </c>
      <c r="AI179" s="151">
        <f t="shared" si="92"/>
        <v>0</v>
      </c>
      <c r="AJ179" s="151">
        <f t="shared" si="92"/>
        <v>0</v>
      </c>
      <c r="AK179" s="151">
        <f t="shared" si="92"/>
        <v>0</v>
      </c>
      <c r="AL179" s="151">
        <f t="shared" si="92"/>
        <v>0</v>
      </c>
      <c r="AM179" s="151">
        <f t="shared" si="92"/>
        <v>0</v>
      </c>
      <c r="AN179" s="151">
        <f t="shared" si="92"/>
        <v>0</v>
      </c>
      <c r="AO179" s="151">
        <f t="shared" si="92"/>
        <v>0</v>
      </c>
      <c r="AP179" s="151">
        <f t="shared" si="92"/>
        <v>0</v>
      </c>
      <c r="AQ179" s="151">
        <f t="shared" si="92"/>
        <v>0</v>
      </c>
      <c r="AR179" s="152">
        <f t="shared" si="92"/>
        <v>0</v>
      </c>
    </row>
    <row r="180" spans="1:44" s="13" customFormat="1">
      <c r="A180" s="40"/>
      <c r="B180" s="181" t="str">
        <f>CONCATENATE(Tariff_Period," year reset period")</f>
        <v>5 year reset period</v>
      </c>
    </row>
    <row r="181" spans="1:44" s="13" customFormat="1">
      <c r="C181" s="138" t="s">
        <v>31</v>
      </c>
      <c r="E181" s="147">
        <f t="shared" ref="E181:AR181" ca="1" si="93">IF(Year="",,(E154*BilledDemand_Risk*Collection_FC-E86-E87-(E29-E30)*ServExt_CAPct)*DiscountFactor*DeflateFactor_Risk)</f>
        <v>0.20999683608555822</v>
      </c>
      <c r="F181" s="148">
        <f t="shared" ca="1" si="93"/>
        <v>0.14402475310861915</v>
      </c>
      <c r="G181" s="148">
        <f t="shared" ca="1" si="93"/>
        <v>-0.1250801328326856</v>
      </c>
      <c r="H181" s="148">
        <f t="shared" ca="1" si="93"/>
        <v>-0.64701529247351541</v>
      </c>
      <c r="I181" s="148">
        <f t="shared" ca="1" si="93"/>
        <v>-1.3182348948274929</v>
      </c>
      <c r="J181" s="148">
        <f t="shared" ca="1" si="93"/>
        <v>-0.48246667908746543</v>
      </c>
      <c r="K181" s="148">
        <f t="shared" ca="1" si="93"/>
        <v>3.134480822292899E-2</v>
      </c>
      <c r="L181" s="148">
        <f t="shared" ca="1" si="93"/>
        <v>0.74259936390465875</v>
      </c>
      <c r="M181" s="148">
        <f t="shared" ca="1" si="93"/>
        <v>1.1139943039001181</v>
      </c>
      <c r="N181" s="148">
        <f t="shared" ca="1" si="93"/>
        <v>1.0731786017245903</v>
      </c>
      <c r="O181" s="148">
        <f t="shared" ca="1" si="93"/>
        <v>0.82526290425567139</v>
      </c>
      <c r="P181" s="148">
        <f t="shared" ca="1" si="93"/>
        <v>0.67658489672346045</v>
      </c>
      <c r="Q181" s="148">
        <f t="shared" ca="1" si="93"/>
        <v>0.63797930904089739</v>
      </c>
      <c r="R181" s="148">
        <f t="shared" ca="1" si="93"/>
        <v>0.65570893709649336</v>
      </c>
      <c r="S181" s="148">
        <f t="shared" ca="1" si="93"/>
        <v>0.65421818845287694</v>
      </c>
      <c r="T181" s="148">
        <f t="shared" ca="1" si="93"/>
        <v>0.31302891981015069</v>
      </c>
      <c r="U181" s="148">
        <f t="shared" ca="1" si="93"/>
        <v>0.27828612840143169</v>
      </c>
      <c r="V181" s="148">
        <f t="shared" ca="1" si="93"/>
        <v>0.26873206729063515</v>
      </c>
      <c r="W181" s="148">
        <f t="shared" ca="1" si="93"/>
        <v>0.25785085902579075</v>
      </c>
      <c r="X181" s="148">
        <f t="shared" ca="1" si="93"/>
        <v>0.27087510828193584</v>
      </c>
      <c r="Y181" s="148">
        <f t="shared" si="93"/>
        <v>0</v>
      </c>
      <c r="Z181" s="148">
        <f t="shared" si="93"/>
        <v>0</v>
      </c>
      <c r="AA181" s="148">
        <f t="shared" si="93"/>
        <v>0</v>
      </c>
      <c r="AB181" s="148">
        <f t="shared" si="93"/>
        <v>0</v>
      </c>
      <c r="AC181" s="148">
        <f t="shared" si="93"/>
        <v>0</v>
      </c>
      <c r="AD181" s="148">
        <f t="shared" si="93"/>
        <v>0</v>
      </c>
      <c r="AE181" s="148">
        <f t="shared" si="93"/>
        <v>0</v>
      </c>
      <c r="AF181" s="148">
        <f t="shared" si="93"/>
        <v>0</v>
      </c>
      <c r="AG181" s="148">
        <f t="shared" si="93"/>
        <v>0</v>
      </c>
      <c r="AH181" s="148">
        <f t="shared" si="93"/>
        <v>0</v>
      </c>
      <c r="AI181" s="148">
        <f t="shared" si="93"/>
        <v>0</v>
      </c>
      <c r="AJ181" s="148">
        <f t="shared" si="93"/>
        <v>0</v>
      </c>
      <c r="AK181" s="148">
        <f t="shared" si="93"/>
        <v>0</v>
      </c>
      <c r="AL181" s="148">
        <f t="shared" si="93"/>
        <v>0</v>
      </c>
      <c r="AM181" s="148">
        <f t="shared" si="93"/>
        <v>0</v>
      </c>
      <c r="AN181" s="148">
        <f t="shared" si="93"/>
        <v>0</v>
      </c>
      <c r="AO181" s="148">
        <f t="shared" si="93"/>
        <v>0</v>
      </c>
      <c r="AP181" s="148">
        <f t="shared" si="93"/>
        <v>0</v>
      </c>
      <c r="AQ181" s="148">
        <f t="shared" si="93"/>
        <v>0</v>
      </c>
      <c r="AR181" s="149">
        <f t="shared" si="93"/>
        <v>0</v>
      </c>
    </row>
    <row r="182" spans="1:44" s="13" customFormat="1">
      <c r="C182" s="3" t="s">
        <v>30</v>
      </c>
      <c r="E182" s="150">
        <f t="shared" ref="E182:AR182" ca="1" si="94">IF(Year="",,(E155*BilledDemand_Risk*Collection_FC-SUM(E$164,E$165,E82:E83,(E29-E30)*ServExt_LoanPct))*DiscountFactor*DeflateFactor_Risk)</f>
        <v>4.4376514039127182</v>
      </c>
      <c r="F182" s="151">
        <f t="shared" ca="1" si="94"/>
        <v>3.800735817624036</v>
      </c>
      <c r="G182" s="151">
        <f t="shared" ca="1" si="94"/>
        <v>1.6938267520380097</v>
      </c>
      <c r="H182" s="151">
        <f t="shared" ca="1" si="94"/>
        <v>0.28538942525978822</v>
      </c>
      <c r="I182" s="151">
        <f t="shared" ca="1" si="94"/>
        <v>-0.89684633800129121</v>
      </c>
      <c r="J182" s="151">
        <f t="shared" ca="1" si="94"/>
        <v>3.7455703084791021</v>
      </c>
      <c r="K182" s="151">
        <f t="shared" ca="1" si="94"/>
        <v>-1.6602064059964448</v>
      </c>
      <c r="L182" s="151">
        <f t="shared" ca="1" si="94"/>
        <v>-3.4946658609218018</v>
      </c>
      <c r="M182" s="151">
        <f t="shared" ca="1" si="94"/>
        <v>-4.8446716177482028</v>
      </c>
      <c r="N182" s="151">
        <f t="shared" ca="1" si="94"/>
        <v>-7.2804362265687521</v>
      </c>
      <c r="O182" s="151">
        <f t="shared" ca="1" si="94"/>
        <v>9.3379766726793623</v>
      </c>
      <c r="P182" s="151">
        <f t="shared" ca="1" si="94"/>
        <v>1.3039366861421247</v>
      </c>
      <c r="Q182" s="151">
        <f t="shared" ca="1" si="94"/>
        <v>-1.2266945109376133</v>
      </c>
      <c r="R182" s="151">
        <f t="shared" ca="1" si="94"/>
        <v>-2.5304712749623386</v>
      </c>
      <c r="S182" s="151">
        <f t="shared" ca="1" si="94"/>
        <v>-4.1198035136634168</v>
      </c>
      <c r="T182" s="151">
        <f t="shared" ca="1" si="94"/>
        <v>9.9783327691080483</v>
      </c>
      <c r="U182" s="151">
        <f t="shared" ca="1" si="94"/>
        <v>2.5999414856417604</v>
      </c>
      <c r="V182" s="151">
        <f t="shared" ca="1" si="94"/>
        <v>-3.0611424477211693</v>
      </c>
      <c r="W182" s="151">
        <f t="shared" ca="1" si="94"/>
        <v>-9.5773966545274209</v>
      </c>
      <c r="X182" s="151">
        <f t="shared" ca="1" si="94"/>
        <v>-16.279318603056286</v>
      </c>
      <c r="Y182" s="151">
        <f t="shared" si="94"/>
        <v>0</v>
      </c>
      <c r="Z182" s="151">
        <f t="shared" si="94"/>
        <v>0</v>
      </c>
      <c r="AA182" s="151">
        <f t="shared" si="94"/>
        <v>0</v>
      </c>
      <c r="AB182" s="151">
        <f t="shared" si="94"/>
        <v>0</v>
      </c>
      <c r="AC182" s="151">
        <f t="shared" si="94"/>
        <v>0</v>
      </c>
      <c r="AD182" s="151">
        <f t="shared" si="94"/>
        <v>0</v>
      </c>
      <c r="AE182" s="151">
        <f t="shared" si="94"/>
        <v>0</v>
      </c>
      <c r="AF182" s="151">
        <f t="shared" si="94"/>
        <v>0</v>
      </c>
      <c r="AG182" s="151">
        <f t="shared" si="94"/>
        <v>0</v>
      </c>
      <c r="AH182" s="151">
        <f t="shared" si="94"/>
        <v>0</v>
      </c>
      <c r="AI182" s="151">
        <f t="shared" si="94"/>
        <v>0</v>
      </c>
      <c r="AJ182" s="151">
        <f t="shared" si="94"/>
        <v>0</v>
      </c>
      <c r="AK182" s="151">
        <f t="shared" si="94"/>
        <v>0</v>
      </c>
      <c r="AL182" s="151">
        <f t="shared" si="94"/>
        <v>0</v>
      </c>
      <c r="AM182" s="151">
        <f t="shared" si="94"/>
        <v>0</v>
      </c>
      <c r="AN182" s="151">
        <f t="shared" si="94"/>
        <v>0</v>
      </c>
      <c r="AO182" s="151">
        <f t="shared" si="94"/>
        <v>0</v>
      </c>
      <c r="AP182" s="151">
        <f t="shared" si="94"/>
        <v>0</v>
      </c>
      <c r="AQ182" s="151">
        <f t="shared" si="94"/>
        <v>0</v>
      </c>
      <c r="AR182" s="152">
        <f t="shared" si="94"/>
        <v>0</v>
      </c>
    </row>
    <row r="183" spans="1:44" s="3" customFormat="1">
      <c r="B183" s="40"/>
      <c r="C183" s="13"/>
      <c r="E183" s="13"/>
      <c r="F183" s="13"/>
      <c r="G183" s="13"/>
      <c r="H183" s="13"/>
      <c r="I183" s="13"/>
      <c r="J183" s="13"/>
      <c r="K183" s="13"/>
      <c r="L183" s="13"/>
      <c r="M183" s="13"/>
      <c r="N183" s="13"/>
      <c r="O183" s="13"/>
      <c r="P183" s="13"/>
      <c r="Q183" s="13"/>
      <c r="R183" s="13"/>
      <c r="S183" s="13"/>
      <c r="T183" s="13"/>
      <c r="U183" s="13"/>
      <c r="V183" s="13"/>
      <c r="W183" s="13"/>
      <c r="X183" s="13"/>
    </row>
    <row r="184" spans="1:44" s="3" customFormat="1">
      <c r="E184" s="13"/>
    </row>
    <row r="185" spans="1:44" s="45" customFormat="1" ht="17.399999999999999">
      <c r="A185" s="43" t="s">
        <v>152</v>
      </c>
      <c r="B185" s="44"/>
      <c r="C185" s="44"/>
      <c r="D185" s="3"/>
      <c r="E185" s="3"/>
      <c r="F185" s="3"/>
      <c r="G185" s="3"/>
      <c r="H185" s="3"/>
      <c r="I185" s="3"/>
      <c r="J185" s="3"/>
    </row>
    <row r="186" spans="1:44" s="13" customFormat="1">
      <c r="A186" s="40"/>
      <c r="B186" s="251" t="s">
        <v>153</v>
      </c>
      <c r="C186" s="214"/>
    </row>
    <row r="187" spans="1:44" s="191" customFormat="1">
      <c r="B187" s="13"/>
      <c r="C187" s="138" t="s">
        <v>16</v>
      </c>
      <c r="E187" s="147">
        <f t="shared" ref="E187:AR187" ca="1" si="95">IF(Year="",,E152*BilledDemand_Risk*Collection_FC-SUM(E$164,E$165,E82,(E29-E30)*ServExt_LoanPct))</f>
        <v>18.47488105494044</v>
      </c>
      <c r="F187" s="148">
        <f t="shared" ca="1" si="95"/>
        <v>20.56542359457201</v>
      </c>
      <c r="G187" s="148">
        <f t="shared" ca="1" si="95"/>
        <v>20.689816736613153</v>
      </c>
      <c r="H187" s="148">
        <f t="shared" ca="1" si="95"/>
        <v>22.244035984313868</v>
      </c>
      <c r="I187" s="148">
        <f t="shared" ca="1" si="95"/>
        <v>26.279693919282153</v>
      </c>
      <c r="J187" s="148">
        <f t="shared" ca="1" si="95"/>
        <v>44.371753978743897</v>
      </c>
      <c r="K187" s="148">
        <f t="shared" ca="1" si="95"/>
        <v>37.147290506047767</v>
      </c>
      <c r="L187" s="148">
        <f t="shared" ca="1" si="95"/>
        <v>37.577216177223363</v>
      </c>
      <c r="M187" s="148">
        <f t="shared" ca="1" si="95"/>
        <v>37.846776438308495</v>
      </c>
      <c r="N187" s="148">
        <f t="shared" ca="1" si="95"/>
        <v>30.149666632411879</v>
      </c>
      <c r="O187" s="148">
        <f t="shared" ca="1" si="95"/>
        <v>21.671915192525205</v>
      </c>
      <c r="P187" s="148">
        <f t="shared" ca="1" si="95"/>
        <v>-17.997164396135929</v>
      </c>
      <c r="Q187" s="148">
        <f t="shared" ca="1" si="95"/>
        <v>-36.15876633503143</v>
      </c>
      <c r="R187" s="148">
        <f t="shared" ca="1" si="95"/>
        <v>-51.539068855623896</v>
      </c>
      <c r="S187" s="148">
        <f t="shared" ca="1" si="95"/>
        <v>-72.66968864550347</v>
      </c>
      <c r="T187" s="148">
        <f t="shared" ca="1" si="95"/>
        <v>-157.57795331975012</v>
      </c>
      <c r="U187" s="148">
        <f t="shared" ca="1" si="95"/>
        <v>-238.26351556022223</v>
      </c>
      <c r="V187" s="148">
        <f t="shared" ca="1" si="95"/>
        <v>-333.8838860767064</v>
      </c>
      <c r="W187" s="148">
        <f t="shared" ca="1" si="95"/>
        <v>-470.95800039313428</v>
      </c>
      <c r="X187" s="148">
        <f t="shared" ca="1" si="95"/>
        <v>-668.5824963928975</v>
      </c>
      <c r="Y187" s="148">
        <f t="shared" si="95"/>
        <v>0</v>
      </c>
      <c r="Z187" s="148">
        <f t="shared" si="95"/>
        <v>0</v>
      </c>
      <c r="AA187" s="148">
        <f t="shared" si="95"/>
        <v>0</v>
      </c>
      <c r="AB187" s="148">
        <f t="shared" si="95"/>
        <v>0</v>
      </c>
      <c r="AC187" s="148">
        <f t="shared" si="95"/>
        <v>0</v>
      </c>
      <c r="AD187" s="148">
        <f t="shared" si="95"/>
        <v>0</v>
      </c>
      <c r="AE187" s="148">
        <f t="shared" si="95"/>
        <v>0</v>
      </c>
      <c r="AF187" s="148">
        <f t="shared" si="95"/>
        <v>0</v>
      </c>
      <c r="AG187" s="148">
        <f t="shared" si="95"/>
        <v>0</v>
      </c>
      <c r="AH187" s="148">
        <f t="shared" si="95"/>
        <v>0</v>
      </c>
      <c r="AI187" s="148">
        <f t="shared" si="95"/>
        <v>0</v>
      </c>
      <c r="AJ187" s="148">
        <f t="shared" si="95"/>
        <v>0</v>
      </c>
      <c r="AK187" s="148">
        <f t="shared" si="95"/>
        <v>0</v>
      </c>
      <c r="AL187" s="148">
        <f t="shared" si="95"/>
        <v>0</v>
      </c>
      <c r="AM187" s="148">
        <f t="shared" si="95"/>
        <v>0</v>
      </c>
      <c r="AN187" s="148">
        <f t="shared" si="95"/>
        <v>0</v>
      </c>
      <c r="AO187" s="148">
        <f t="shared" si="95"/>
        <v>0</v>
      </c>
      <c r="AP187" s="148">
        <f t="shared" si="95"/>
        <v>0</v>
      </c>
      <c r="AQ187" s="148">
        <f t="shared" si="95"/>
        <v>0</v>
      </c>
      <c r="AR187" s="149">
        <f t="shared" si="95"/>
        <v>0</v>
      </c>
    </row>
    <row r="188" spans="1:44" s="191" customFormat="1">
      <c r="B188" s="13"/>
      <c r="C188" s="3" t="str">
        <f>CONCATENATE(Tariff_Period," year reset period")</f>
        <v>5 year reset period</v>
      </c>
      <c r="E188" s="150">
        <f t="shared" ref="E188:AR188" ca="1" si="96">IF(Year="",,E155*BilledDemand_Risk*Collection_FC-SUM(E$164,E$165,E82,(E29-E30)*ServExt_LoanPct))</f>
        <v>5.0439406623740553</v>
      </c>
      <c r="F188" s="151">
        <f t="shared" ca="1" si="96"/>
        <v>4.9454305287408857</v>
      </c>
      <c r="G188" s="151">
        <f t="shared" ca="1" si="96"/>
        <v>2.5352069064771712</v>
      </c>
      <c r="H188" s="151">
        <f t="shared" ca="1" si="96"/>
        <v>0.49325573637308651</v>
      </c>
      <c r="I188" s="151">
        <f t="shared" ca="1" si="96"/>
        <v>-1.7970011929278655</v>
      </c>
      <c r="J188" s="151">
        <f t="shared" ca="1" si="96"/>
        <v>8.7208381345566011</v>
      </c>
      <c r="K188" s="151">
        <f t="shared" ca="1" si="96"/>
        <v>-4.4495926796037963</v>
      </c>
      <c r="L188" s="151">
        <f t="shared" ca="1" si="96"/>
        <v>-10.857394271089674</v>
      </c>
      <c r="M188" s="151">
        <f t="shared" ca="1" si="96"/>
        <v>-17.371957292955187</v>
      </c>
      <c r="N188" s="151">
        <f t="shared" ca="1" si="96"/>
        <v>-30.184621829193873</v>
      </c>
      <c r="O188" s="151">
        <f t="shared" ca="1" si="96"/>
        <v>46.114923578381251</v>
      </c>
      <c r="P188" s="151">
        <f t="shared" ca="1" si="96"/>
        <v>8.2929540082449194</v>
      </c>
      <c r="Q188" s="151">
        <f t="shared" ca="1" si="96"/>
        <v>-7.024810241002001</v>
      </c>
      <c r="R188" s="151">
        <f t="shared" ca="1" si="96"/>
        <v>-18.290645069703714</v>
      </c>
      <c r="S188" s="151">
        <f t="shared" ca="1" si="96"/>
        <v>-35.600420901264783</v>
      </c>
      <c r="T188" s="151">
        <f t="shared" ca="1" si="96"/>
        <v>104.13329052780557</v>
      </c>
      <c r="U188" s="151">
        <f t="shared" ca="1" si="96"/>
        <v>32.160300419611758</v>
      </c>
      <c r="V188" s="151">
        <f t="shared" ca="1" si="96"/>
        <v>-41.293202919539908</v>
      </c>
      <c r="W188" s="151">
        <f t="shared" ca="1" si="96"/>
        <v>-152.43892972399772</v>
      </c>
      <c r="X188" s="151">
        <f t="shared" ca="1" si="96"/>
        <v>-300.94608816212599</v>
      </c>
      <c r="Y188" s="151">
        <f t="shared" si="96"/>
        <v>0</v>
      </c>
      <c r="Z188" s="151">
        <f t="shared" si="96"/>
        <v>0</v>
      </c>
      <c r="AA188" s="151">
        <f t="shared" si="96"/>
        <v>0</v>
      </c>
      <c r="AB188" s="151">
        <f t="shared" si="96"/>
        <v>0</v>
      </c>
      <c r="AC188" s="151">
        <f t="shared" si="96"/>
        <v>0</v>
      </c>
      <c r="AD188" s="151">
        <f t="shared" si="96"/>
        <v>0</v>
      </c>
      <c r="AE188" s="151">
        <f t="shared" si="96"/>
        <v>0</v>
      </c>
      <c r="AF188" s="151">
        <f t="shared" si="96"/>
        <v>0</v>
      </c>
      <c r="AG188" s="151">
        <f t="shared" si="96"/>
        <v>0</v>
      </c>
      <c r="AH188" s="151">
        <f t="shared" si="96"/>
        <v>0</v>
      </c>
      <c r="AI188" s="151">
        <f t="shared" si="96"/>
        <v>0</v>
      </c>
      <c r="AJ188" s="151">
        <f t="shared" si="96"/>
        <v>0</v>
      </c>
      <c r="AK188" s="151">
        <f t="shared" si="96"/>
        <v>0</v>
      </c>
      <c r="AL188" s="151">
        <f t="shared" si="96"/>
        <v>0</v>
      </c>
      <c r="AM188" s="151">
        <f t="shared" si="96"/>
        <v>0</v>
      </c>
      <c r="AN188" s="151">
        <f t="shared" si="96"/>
        <v>0</v>
      </c>
      <c r="AO188" s="151">
        <f t="shared" si="96"/>
        <v>0</v>
      </c>
      <c r="AP188" s="151">
        <f t="shared" si="96"/>
        <v>0</v>
      </c>
      <c r="AQ188" s="151">
        <f t="shared" si="96"/>
        <v>0</v>
      </c>
      <c r="AR188" s="152">
        <f t="shared" si="96"/>
        <v>0</v>
      </c>
    </row>
    <row r="189" spans="1:44" s="13" customFormat="1">
      <c r="A189" s="40"/>
      <c r="B189" s="251" t="s">
        <v>152</v>
      </c>
    </row>
    <row r="190" spans="1:44" s="191" customFormat="1">
      <c r="C190" s="138" t="s">
        <v>16</v>
      </c>
      <c r="E190" s="147" t="str">
        <f t="shared" ref="E190:AR190" ca="1" si="97">IF(Year="",,IF(E83=0,"",E187/E83))</f>
        <v/>
      </c>
      <c r="F190" s="148" t="str">
        <f t="shared" ca="1" si="97"/>
        <v/>
      </c>
      <c r="G190" s="148" t="str">
        <f t="shared" ca="1" si="97"/>
        <v/>
      </c>
      <c r="H190" s="148" t="str">
        <f t="shared" ca="1" si="97"/>
        <v/>
      </c>
      <c r="I190" s="148" t="str">
        <f t="shared" ca="1" si="97"/>
        <v/>
      </c>
      <c r="J190" s="148">
        <f t="shared" ca="1" si="97"/>
        <v>4834.7784316265552</v>
      </c>
      <c r="K190" s="148">
        <f t="shared" ca="1" si="97"/>
        <v>1325.5523114767391</v>
      </c>
      <c r="L190" s="148">
        <f t="shared" ca="1" si="97"/>
        <v>497.41455671977985</v>
      </c>
      <c r="M190" s="148">
        <f t="shared" ca="1" si="97"/>
        <v>204.35584947072385</v>
      </c>
      <c r="N190" s="148">
        <f t="shared" ca="1" si="97"/>
        <v>78.90673472551525</v>
      </c>
      <c r="O190" s="148">
        <f t="shared" ca="1" si="97"/>
        <v>33.472843222989837</v>
      </c>
      <c r="P190" s="148">
        <f t="shared" ca="1" si="97"/>
        <v>-19.428057076529107</v>
      </c>
      <c r="Q190" s="148">
        <f t="shared" ca="1" si="97"/>
        <v>-35.16010746185205</v>
      </c>
      <c r="R190" s="148">
        <f t="shared" ca="1" si="97"/>
        <v>-49.605312166099694</v>
      </c>
      <c r="S190" s="148">
        <f t="shared" ca="1" si="97"/>
        <v>-71.059444874619032</v>
      </c>
      <c r="T190" s="148">
        <f t="shared" ca="1" si="97"/>
        <v>-145.92733065799908</v>
      </c>
      <c r="U190" s="148">
        <f t="shared" ca="1" si="97"/>
        <v>-221.04242684264486</v>
      </c>
      <c r="V190" s="148">
        <f t="shared" ca="1" si="97"/>
        <v>-312.33792720678883</v>
      </c>
      <c r="W190" s="148">
        <f t="shared" ca="1" si="97"/>
        <v>-437.56438091638557</v>
      </c>
      <c r="X190" s="148">
        <f t="shared" ca="1" si="97"/>
        <v>-616.13884131719158</v>
      </c>
      <c r="Y190" s="148">
        <f t="shared" si="97"/>
        <v>0</v>
      </c>
      <c r="Z190" s="148">
        <f t="shared" si="97"/>
        <v>0</v>
      </c>
      <c r="AA190" s="148">
        <f t="shared" si="97"/>
        <v>0</v>
      </c>
      <c r="AB190" s="148">
        <f t="shared" si="97"/>
        <v>0</v>
      </c>
      <c r="AC190" s="148">
        <f t="shared" si="97"/>
        <v>0</v>
      </c>
      <c r="AD190" s="148">
        <f t="shared" si="97"/>
        <v>0</v>
      </c>
      <c r="AE190" s="148">
        <f t="shared" si="97"/>
        <v>0</v>
      </c>
      <c r="AF190" s="148">
        <f t="shared" si="97"/>
        <v>0</v>
      </c>
      <c r="AG190" s="148">
        <f t="shared" si="97"/>
        <v>0</v>
      </c>
      <c r="AH190" s="148">
        <f t="shared" si="97"/>
        <v>0</v>
      </c>
      <c r="AI190" s="148">
        <f t="shared" si="97"/>
        <v>0</v>
      </c>
      <c r="AJ190" s="148">
        <f t="shared" si="97"/>
        <v>0</v>
      </c>
      <c r="AK190" s="148">
        <f t="shared" si="97"/>
        <v>0</v>
      </c>
      <c r="AL190" s="148">
        <f t="shared" si="97"/>
        <v>0</v>
      </c>
      <c r="AM190" s="148">
        <f t="shared" si="97"/>
        <v>0</v>
      </c>
      <c r="AN190" s="148">
        <f t="shared" si="97"/>
        <v>0</v>
      </c>
      <c r="AO190" s="148">
        <f t="shared" si="97"/>
        <v>0</v>
      </c>
      <c r="AP190" s="148">
        <f t="shared" si="97"/>
        <v>0</v>
      </c>
      <c r="AQ190" s="148">
        <f t="shared" si="97"/>
        <v>0</v>
      </c>
      <c r="AR190" s="149">
        <f t="shared" si="97"/>
        <v>0</v>
      </c>
    </row>
    <row r="191" spans="1:44" s="191" customFormat="1">
      <c r="B191" s="214"/>
      <c r="C191" s="3" t="str">
        <f>CONCATENATE(Tariff_Period," year reset period")</f>
        <v>5 year reset period</v>
      </c>
      <c r="E191" s="150" t="str">
        <f t="shared" ref="E191:AR191" ca="1" si="98">IF(Year="",,IF(E83=0,"",E188/E83))</f>
        <v/>
      </c>
      <c r="F191" s="151" t="str">
        <f t="shared" ca="1" si="98"/>
        <v/>
      </c>
      <c r="G191" s="151" t="str">
        <f t="shared" ca="1" si="98"/>
        <v/>
      </c>
      <c r="H191" s="151" t="str">
        <f t="shared" ca="1" si="98"/>
        <v/>
      </c>
      <c r="I191" s="151" t="str">
        <f t="shared" ca="1" si="98"/>
        <v/>
      </c>
      <c r="J191" s="151">
        <f t="shared" ca="1" si="98"/>
        <v>950.22883564302606</v>
      </c>
      <c r="K191" s="151">
        <f t="shared" ca="1" si="98"/>
        <v>-158.77787535051954</v>
      </c>
      <c r="L191" s="151">
        <f t="shared" ca="1" si="98"/>
        <v>-143.72075709427946</v>
      </c>
      <c r="M191" s="151">
        <f t="shared" ca="1" si="98"/>
        <v>-93.800884082101717</v>
      </c>
      <c r="N191" s="151">
        <f t="shared" ca="1" si="98"/>
        <v>-78.998218338696887</v>
      </c>
      <c r="O191" s="151">
        <f t="shared" ca="1" si="98"/>
        <v>71.225712793104265</v>
      </c>
      <c r="P191" s="151">
        <f t="shared" ca="1" si="98"/>
        <v>8.9522982764887935</v>
      </c>
      <c r="Q191" s="151">
        <f t="shared" ca="1" si="98"/>
        <v>-6.8307939680302825</v>
      </c>
      <c r="R191" s="151">
        <f t="shared" ca="1" si="98"/>
        <v>-17.604376224639143</v>
      </c>
      <c r="S191" s="151">
        <f t="shared" ca="1" si="98"/>
        <v>-34.811572661157832</v>
      </c>
      <c r="T191" s="151">
        <f t="shared" ca="1" si="98"/>
        <v>96.434131800923581</v>
      </c>
      <c r="U191" s="151">
        <f t="shared" ca="1" si="98"/>
        <v>29.835834647301393</v>
      </c>
      <c r="V191" s="151">
        <f t="shared" ca="1" si="98"/>
        <v>-38.628499144326369</v>
      </c>
      <c r="W191" s="151">
        <f t="shared" ca="1" si="98"/>
        <v>-141.6301365653791</v>
      </c>
      <c r="X191" s="151">
        <f t="shared" ca="1" si="98"/>
        <v>-277.33985717476452</v>
      </c>
      <c r="Y191" s="151">
        <f t="shared" si="98"/>
        <v>0</v>
      </c>
      <c r="Z191" s="151">
        <f t="shared" si="98"/>
        <v>0</v>
      </c>
      <c r="AA191" s="151">
        <f t="shared" si="98"/>
        <v>0</v>
      </c>
      <c r="AB191" s="151">
        <f t="shared" si="98"/>
        <v>0</v>
      </c>
      <c r="AC191" s="151">
        <f t="shared" si="98"/>
        <v>0</v>
      </c>
      <c r="AD191" s="151">
        <f t="shared" si="98"/>
        <v>0</v>
      </c>
      <c r="AE191" s="151">
        <f t="shared" si="98"/>
        <v>0</v>
      </c>
      <c r="AF191" s="151">
        <f t="shared" si="98"/>
        <v>0</v>
      </c>
      <c r="AG191" s="151">
        <f t="shared" si="98"/>
        <v>0</v>
      </c>
      <c r="AH191" s="151">
        <f t="shared" si="98"/>
        <v>0</v>
      </c>
      <c r="AI191" s="151">
        <f t="shared" si="98"/>
        <v>0</v>
      </c>
      <c r="AJ191" s="151">
        <f t="shared" si="98"/>
        <v>0</v>
      </c>
      <c r="AK191" s="151">
        <f t="shared" si="98"/>
        <v>0</v>
      </c>
      <c r="AL191" s="151">
        <f t="shared" si="98"/>
        <v>0</v>
      </c>
      <c r="AM191" s="151">
        <f t="shared" si="98"/>
        <v>0</v>
      </c>
      <c r="AN191" s="151">
        <f t="shared" si="98"/>
        <v>0</v>
      </c>
      <c r="AO191" s="151">
        <f t="shared" si="98"/>
        <v>0</v>
      </c>
      <c r="AP191" s="151">
        <f t="shared" si="98"/>
        <v>0</v>
      </c>
      <c r="AQ191" s="151">
        <f t="shared" si="98"/>
        <v>0</v>
      </c>
      <c r="AR191" s="152">
        <f t="shared" si="98"/>
        <v>0</v>
      </c>
    </row>
    <row r="192" spans="1:44" s="3" customFormat="1">
      <c r="B192" s="40"/>
    </row>
    <row r="193" spans="1:64" s="3" customFormat="1">
      <c r="B193" s="40"/>
    </row>
    <row r="194" spans="1:64" s="45" customFormat="1" ht="17.399999999999999">
      <c r="A194" s="43" t="s">
        <v>171</v>
      </c>
      <c r="B194" s="44"/>
      <c r="C194" s="44"/>
      <c r="D194" s="3"/>
      <c r="E194" s="3"/>
      <c r="F194" s="3"/>
      <c r="G194" s="3"/>
      <c r="H194" s="3"/>
      <c r="I194" s="3"/>
      <c r="J194" s="3"/>
    </row>
    <row r="195" spans="1:64" s="45" customFormat="1">
      <c r="A195" s="4" t="s">
        <v>92</v>
      </c>
      <c r="B195" s="12"/>
      <c r="C195" s="12"/>
      <c r="D195" s="272"/>
      <c r="E195" s="272"/>
      <c r="F195" s="272"/>
      <c r="G195" s="272"/>
      <c r="H195" s="272"/>
      <c r="I195" s="272"/>
      <c r="J195" s="272"/>
      <c r="K195" s="272"/>
      <c r="L195" s="272"/>
      <c r="M195" s="272"/>
      <c r="N195" s="272"/>
      <c r="O195" s="272"/>
      <c r="P195" s="272"/>
      <c r="Q195" s="272"/>
      <c r="R195" s="272"/>
      <c r="S195" s="272"/>
      <c r="T195" s="272"/>
      <c r="U195" s="272"/>
      <c r="V195" s="272"/>
      <c r="W195" s="272"/>
      <c r="X195" s="272"/>
      <c r="Y195" s="272"/>
      <c r="Z195" s="272"/>
      <c r="AA195" s="272"/>
      <c r="AB195" s="272"/>
      <c r="AC195" s="272"/>
      <c r="AD195" s="272"/>
      <c r="AE195" s="272"/>
      <c r="AF195" s="272"/>
      <c r="AG195" s="272"/>
      <c r="AH195" s="272"/>
      <c r="AI195" s="272"/>
      <c r="AJ195" s="272"/>
      <c r="AK195" s="272"/>
      <c r="AL195" s="272"/>
      <c r="AM195" s="272"/>
      <c r="AN195" s="272"/>
      <c r="AO195" s="272"/>
      <c r="AP195" s="272"/>
      <c r="AQ195" s="272"/>
      <c r="AR195" s="272"/>
    </row>
    <row r="196" spans="1:64" s="45" customFormat="1">
      <c r="A196" s="192" t="str">
        <f>INDEX('Other assumptions'!$I$4:$I$6,Ch_EcOption,1)</f>
        <v>Millions of m3</v>
      </c>
      <c r="B196" s="4" t="str">
        <f>INDEX('Other assumptions'!$H$4:$H$6,Ch_EcOption,1)</f>
        <v>Billable demand</v>
      </c>
      <c r="C196" s="12"/>
      <c r="D196" s="272"/>
      <c r="E196" s="272"/>
      <c r="F196" s="272"/>
      <c r="G196" s="272"/>
      <c r="H196" s="272"/>
      <c r="I196" s="272"/>
      <c r="J196" s="272"/>
      <c r="K196" s="272"/>
      <c r="L196" s="272"/>
      <c r="M196" s="272"/>
      <c r="N196" s="272"/>
      <c r="O196" s="272"/>
      <c r="P196" s="272"/>
      <c r="Q196" s="272"/>
      <c r="R196" s="272"/>
      <c r="S196" s="272"/>
      <c r="T196" s="272"/>
      <c r="U196" s="272"/>
      <c r="V196" s="272"/>
      <c r="W196" s="272"/>
      <c r="X196" s="272"/>
      <c r="Y196" s="272"/>
      <c r="Z196" s="272"/>
      <c r="AA196" s="272" t="str">
        <f t="shared" ref="AA196:AR196" si="99">IF(Z196="","",IF(Z196+1&gt;Contract_Length,"",Z196+1))</f>
        <v/>
      </c>
      <c r="AB196" s="272" t="str">
        <f t="shared" si="99"/>
        <v/>
      </c>
      <c r="AC196" s="272" t="str">
        <f t="shared" si="99"/>
        <v/>
      </c>
      <c r="AD196" s="272" t="str">
        <f t="shared" si="99"/>
        <v/>
      </c>
      <c r="AE196" s="272" t="str">
        <f t="shared" si="99"/>
        <v/>
      </c>
      <c r="AF196" s="272" t="str">
        <f t="shared" si="99"/>
        <v/>
      </c>
      <c r="AG196" s="272" t="str">
        <f t="shared" si="99"/>
        <v/>
      </c>
      <c r="AH196" s="272" t="str">
        <f t="shared" si="99"/>
        <v/>
      </c>
      <c r="AI196" s="272" t="str">
        <f t="shared" si="99"/>
        <v/>
      </c>
      <c r="AJ196" s="272" t="str">
        <f t="shared" si="99"/>
        <v/>
      </c>
      <c r="AK196" s="272" t="str">
        <f t="shared" si="99"/>
        <v/>
      </c>
      <c r="AL196" s="272" t="str">
        <f t="shared" si="99"/>
        <v/>
      </c>
      <c r="AM196" s="272" t="str">
        <f t="shared" si="99"/>
        <v/>
      </c>
      <c r="AN196" s="272" t="str">
        <f t="shared" si="99"/>
        <v/>
      </c>
      <c r="AO196" s="272" t="str">
        <f t="shared" si="99"/>
        <v/>
      </c>
      <c r="AP196" s="272" t="str">
        <f t="shared" si="99"/>
        <v/>
      </c>
      <c r="AQ196" s="272" t="str">
        <f t="shared" si="99"/>
        <v/>
      </c>
      <c r="AR196" s="272" t="str">
        <f t="shared" si="99"/>
        <v/>
      </c>
    </row>
    <row r="197" spans="1:64" s="13" customFormat="1">
      <c r="C197" s="214" t="s">
        <v>172</v>
      </c>
      <c r="D197" s="147">
        <f t="shared" ref="D197:AR197" si="100">IF(Year="","",INDEX($201:$203,Ch_EcOption,COLUMN()))</f>
        <v>1.3687499999999999</v>
      </c>
      <c r="E197" s="148">
        <f t="shared" si="100"/>
        <v>1.4117051345640335</v>
      </c>
      <c r="F197" s="148">
        <f t="shared" si="100"/>
        <v>1.4663223205731397</v>
      </c>
      <c r="G197" s="148">
        <f t="shared" si="100"/>
        <v>1.5636137776346484</v>
      </c>
      <c r="H197" s="148">
        <f t="shared" si="100"/>
        <v>1.7532026231958293</v>
      </c>
      <c r="I197" s="148">
        <f t="shared" si="100"/>
        <v>2.083778215198731</v>
      </c>
      <c r="J197" s="148">
        <f t="shared" si="100"/>
        <v>2.5038488888808801</v>
      </c>
      <c r="K197" s="148">
        <f t="shared" si="100"/>
        <v>2.8616341902584765</v>
      </c>
      <c r="L197" s="148">
        <f t="shared" si="100"/>
        <v>3.0906042901457167</v>
      </c>
      <c r="M197" s="148">
        <f t="shared" si="100"/>
        <v>3.2293361036334907</v>
      </c>
      <c r="N197" s="148">
        <f t="shared" si="100"/>
        <v>3.3435900504634635</v>
      </c>
      <c r="O197" s="148">
        <f t="shared" si="100"/>
        <v>3.411135049982954</v>
      </c>
      <c r="P197" s="148">
        <f t="shared" si="100"/>
        <v>3.4800445490048451</v>
      </c>
      <c r="Q197" s="148">
        <f t="shared" si="100"/>
        <v>3.5503461122475488</v>
      </c>
      <c r="R197" s="148">
        <f t="shared" si="100"/>
        <v>3.6220678612737327</v>
      </c>
      <c r="S197" s="148">
        <f t="shared" si="100"/>
        <v>3.6952384857393064</v>
      </c>
      <c r="T197" s="148">
        <f t="shared" si="100"/>
        <v>3.7698872548696807</v>
      </c>
      <c r="U197" s="148">
        <f t="shared" si="100"/>
        <v>3.8460440291678353</v>
      </c>
      <c r="V197" s="148">
        <f t="shared" si="100"/>
        <v>3.9237392723589291</v>
      </c>
      <c r="W197" s="148">
        <f t="shared" si="100"/>
        <v>4.0030040635761868</v>
      </c>
      <c r="X197" s="148">
        <f t="shared" si="100"/>
        <v>4.0838701097929739</v>
      </c>
      <c r="Y197" s="148" t="str">
        <f t="shared" si="100"/>
        <v/>
      </c>
      <c r="Z197" s="148" t="str">
        <f t="shared" si="100"/>
        <v/>
      </c>
      <c r="AA197" s="148" t="str">
        <f t="shared" si="100"/>
        <v/>
      </c>
      <c r="AB197" s="148" t="str">
        <f t="shared" si="100"/>
        <v/>
      </c>
      <c r="AC197" s="148" t="str">
        <f t="shared" si="100"/>
        <v/>
      </c>
      <c r="AD197" s="148" t="str">
        <f t="shared" si="100"/>
        <v/>
      </c>
      <c r="AE197" s="148" t="str">
        <f t="shared" si="100"/>
        <v/>
      </c>
      <c r="AF197" s="148" t="str">
        <f t="shared" si="100"/>
        <v/>
      </c>
      <c r="AG197" s="148" t="str">
        <f t="shared" si="100"/>
        <v/>
      </c>
      <c r="AH197" s="148" t="str">
        <f t="shared" si="100"/>
        <v/>
      </c>
      <c r="AI197" s="148" t="str">
        <f t="shared" si="100"/>
        <v/>
      </c>
      <c r="AJ197" s="148" t="str">
        <f t="shared" si="100"/>
        <v/>
      </c>
      <c r="AK197" s="148" t="str">
        <f t="shared" si="100"/>
        <v/>
      </c>
      <c r="AL197" s="148" t="str">
        <f t="shared" si="100"/>
        <v/>
      </c>
      <c r="AM197" s="148" t="str">
        <f t="shared" si="100"/>
        <v/>
      </c>
      <c r="AN197" s="148" t="str">
        <f t="shared" si="100"/>
        <v/>
      </c>
      <c r="AO197" s="148" t="str">
        <f t="shared" si="100"/>
        <v/>
      </c>
      <c r="AP197" s="148" t="str">
        <f t="shared" si="100"/>
        <v/>
      </c>
      <c r="AQ197" s="148" t="str">
        <f t="shared" si="100"/>
        <v/>
      </c>
      <c r="AR197" s="149" t="str">
        <f t="shared" si="100"/>
        <v/>
      </c>
    </row>
    <row r="198" spans="1:64" s="13" customFormat="1">
      <c r="C198" s="214" t="s">
        <v>173</v>
      </c>
      <c r="D198" s="150">
        <f t="shared" ref="D198:AR198" si="101">IF(Year="","",INDEX($205:$207,Ch_EcOption,COLUMN()))</f>
        <v>1.3687499999999999</v>
      </c>
      <c r="E198" s="151">
        <f t="shared" ca="1" si="101"/>
        <v>1.4510814868641946</v>
      </c>
      <c r="F198" s="151">
        <f t="shared" ca="1" si="101"/>
        <v>1.5810557848501099</v>
      </c>
      <c r="G198" s="151">
        <f t="shared" ca="1" si="101"/>
        <v>1.713349217428914</v>
      </c>
      <c r="H198" s="151">
        <f t="shared" ca="1" si="101"/>
        <v>1.9065341069298427</v>
      </c>
      <c r="I198" s="151">
        <f t="shared" ca="1" si="101"/>
        <v>2.2767758678883103</v>
      </c>
      <c r="J198" s="151">
        <f t="shared" ca="1" si="101"/>
        <v>2.720400670622908</v>
      </c>
      <c r="K198" s="151">
        <f t="shared" ca="1" si="101"/>
        <v>2.9357681098980439</v>
      </c>
      <c r="L198" s="151">
        <f t="shared" ca="1" si="101"/>
        <v>3.1606101408943013</v>
      </c>
      <c r="M198" s="151">
        <f t="shared" ca="1" si="101"/>
        <v>3.3361348136524422</v>
      </c>
      <c r="N198" s="151">
        <f t="shared" ca="1" si="101"/>
        <v>3.3745857373054662</v>
      </c>
      <c r="O198" s="151">
        <f t="shared" ca="1" si="101"/>
        <v>3.3079984468096715</v>
      </c>
      <c r="P198" s="151">
        <f t="shared" ca="1" si="101"/>
        <v>3.2888266760405367</v>
      </c>
      <c r="Q198" s="151">
        <f t="shared" ca="1" si="101"/>
        <v>3.3637723997115554</v>
      </c>
      <c r="R198" s="151">
        <f t="shared" ca="1" si="101"/>
        <v>3.5384211365993541</v>
      </c>
      <c r="S198" s="151">
        <f t="shared" ca="1" si="101"/>
        <v>3.6357731990948969</v>
      </c>
      <c r="T198" s="151">
        <f t="shared" ca="1" si="101"/>
        <v>3.7612423433640232</v>
      </c>
      <c r="U198" s="151">
        <f t="shared" ca="1" si="101"/>
        <v>3.6008761845741875</v>
      </c>
      <c r="V198" s="151">
        <f t="shared" ca="1" si="101"/>
        <v>3.6097771840947765</v>
      </c>
      <c r="W198" s="151">
        <f t="shared" ca="1" si="101"/>
        <v>3.638704068976502</v>
      </c>
      <c r="X198" s="151">
        <f t="shared" ca="1" si="101"/>
        <v>3.8915164725151019</v>
      </c>
      <c r="Y198" s="151" t="str">
        <f t="shared" si="101"/>
        <v/>
      </c>
      <c r="Z198" s="151" t="str">
        <f t="shared" si="101"/>
        <v/>
      </c>
      <c r="AA198" s="151" t="str">
        <f t="shared" si="101"/>
        <v/>
      </c>
      <c r="AB198" s="151" t="str">
        <f t="shared" si="101"/>
        <v/>
      </c>
      <c r="AC198" s="151" t="str">
        <f t="shared" si="101"/>
        <v/>
      </c>
      <c r="AD198" s="151" t="str">
        <f t="shared" si="101"/>
        <v/>
      </c>
      <c r="AE198" s="151" t="str">
        <f t="shared" si="101"/>
        <v/>
      </c>
      <c r="AF198" s="151" t="str">
        <f t="shared" si="101"/>
        <v/>
      </c>
      <c r="AG198" s="151" t="str">
        <f t="shared" si="101"/>
        <v/>
      </c>
      <c r="AH198" s="151" t="str">
        <f t="shared" si="101"/>
        <v/>
      </c>
      <c r="AI198" s="151" t="str">
        <f t="shared" si="101"/>
        <v/>
      </c>
      <c r="AJ198" s="151" t="str">
        <f t="shared" si="101"/>
        <v/>
      </c>
      <c r="AK198" s="151" t="str">
        <f t="shared" si="101"/>
        <v/>
      </c>
      <c r="AL198" s="151" t="str">
        <f t="shared" si="101"/>
        <v/>
      </c>
      <c r="AM198" s="151" t="str">
        <f t="shared" si="101"/>
        <v/>
      </c>
      <c r="AN198" s="151" t="str">
        <f t="shared" si="101"/>
        <v/>
      </c>
      <c r="AO198" s="151" t="str">
        <f t="shared" si="101"/>
        <v/>
      </c>
      <c r="AP198" s="151" t="str">
        <f t="shared" si="101"/>
        <v/>
      </c>
      <c r="AQ198" s="151" t="str">
        <f t="shared" si="101"/>
        <v/>
      </c>
      <c r="AR198" s="152" t="str">
        <f t="shared" si="101"/>
        <v/>
      </c>
    </row>
    <row r="199" spans="1:64" s="45" customFormat="1">
      <c r="B199" s="4" t="s">
        <v>174</v>
      </c>
      <c r="C199" s="12"/>
    </row>
    <row r="200" spans="1:64" s="3" customFormat="1">
      <c r="A200" s="6"/>
      <c r="B200" s="6" t="s">
        <v>175</v>
      </c>
      <c r="D200" s="272"/>
      <c r="E200" s="272"/>
      <c r="F200" s="272"/>
      <c r="G200" s="272"/>
      <c r="H200" s="272"/>
      <c r="I200" s="272"/>
      <c r="J200" s="272"/>
      <c r="K200" s="272"/>
      <c r="L200" s="272"/>
      <c r="M200" s="272"/>
      <c r="N200" s="272"/>
      <c r="O200" s="272"/>
      <c r="P200" s="272"/>
      <c r="Q200" s="272"/>
      <c r="R200" s="272"/>
      <c r="S200" s="272"/>
      <c r="T200" s="272"/>
      <c r="U200" s="272"/>
      <c r="V200" s="272"/>
      <c r="W200" s="272"/>
      <c r="X200" s="272"/>
      <c r="Y200" s="272"/>
      <c r="Z200" s="272"/>
      <c r="AA200" s="272" t="str">
        <f t="shared" ref="AA200:AR200" si="102">IF(Z200="","",IF(Z200+1&gt;Contract_Length,"",Z200+1))</f>
        <v/>
      </c>
      <c r="AB200" s="272" t="str">
        <f t="shared" si="102"/>
        <v/>
      </c>
      <c r="AC200" s="272" t="str">
        <f t="shared" si="102"/>
        <v/>
      </c>
      <c r="AD200" s="272" t="str">
        <f t="shared" si="102"/>
        <v/>
      </c>
      <c r="AE200" s="272" t="str">
        <f t="shared" si="102"/>
        <v/>
      </c>
      <c r="AF200" s="272" t="str">
        <f t="shared" si="102"/>
        <v/>
      </c>
      <c r="AG200" s="272" t="str">
        <f t="shared" si="102"/>
        <v/>
      </c>
      <c r="AH200" s="272" t="str">
        <f t="shared" si="102"/>
        <v/>
      </c>
      <c r="AI200" s="272" t="str">
        <f t="shared" si="102"/>
        <v/>
      </c>
      <c r="AJ200" s="272" t="str">
        <f t="shared" si="102"/>
        <v/>
      </c>
      <c r="AK200" s="272" t="str">
        <f t="shared" si="102"/>
        <v/>
      </c>
      <c r="AL200" s="272" t="str">
        <f t="shared" si="102"/>
        <v/>
      </c>
      <c r="AM200" s="272" t="str">
        <f t="shared" si="102"/>
        <v/>
      </c>
      <c r="AN200" s="272" t="str">
        <f t="shared" si="102"/>
        <v/>
      </c>
      <c r="AO200" s="272" t="str">
        <f t="shared" si="102"/>
        <v/>
      </c>
      <c r="AP200" s="272" t="str">
        <f t="shared" si="102"/>
        <v/>
      </c>
      <c r="AQ200" s="272" t="str">
        <f t="shared" si="102"/>
        <v/>
      </c>
      <c r="AR200" s="272" t="str">
        <f t="shared" si="102"/>
        <v/>
      </c>
      <c r="AS200" s="45"/>
      <c r="AT200" s="45"/>
      <c r="AU200" s="45"/>
      <c r="AV200" s="45"/>
      <c r="AW200" s="45"/>
      <c r="AX200" s="45"/>
      <c r="AY200" s="45"/>
      <c r="AZ200" s="45"/>
      <c r="BA200" s="45"/>
      <c r="BB200" s="45"/>
      <c r="BC200" s="45"/>
      <c r="BD200" s="45"/>
      <c r="BE200" s="45"/>
      <c r="BF200" s="45"/>
      <c r="BG200" s="45"/>
      <c r="BH200" s="45"/>
      <c r="BI200" s="45"/>
      <c r="BJ200" s="45"/>
      <c r="BK200" s="45"/>
      <c r="BL200" s="45"/>
    </row>
    <row r="201" spans="1:64" s="13" customFormat="1">
      <c r="C201" s="138" t="s">
        <v>95</v>
      </c>
      <c r="D201" s="147">
        <f t="shared" ref="D201:AR201" si="103">RealExRate_Det</f>
        <v>100</v>
      </c>
      <c r="E201" s="148">
        <f t="shared" si="103"/>
        <v>105.12710963760242</v>
      </c>
      <c r="F201" s="148">
        <f t="shared" si="103"/>
        <v>110.51709180756478</v>
      </c>
      <c r="G201" s="148">
        <f t="shared" si="103"/>
        <v>116.18342427282835</v>
      </c>
      <c r="H201" s="148">
        <f t="shared" si="103"/>
        <v>122.14027581601702</v>
      </c>
      <c r="I201" s="148">
        <f t="shared" si="103"/>
        <v>128.40254166877421</v>
      </c>
      <c r="J201" s="148">
        <f t="shared" si="103"/>
        <v>134.98588075760037</v>
      </c>
      <c r="K201" s="148">
        <f t="shared" si="103"/>
        <v>141.90675485932579</v>
      </c>
      <c r="L201" s="148">
        <f t="shared" si="103"/>
        <v>149.18246976412712</v>
      </c>
      <c r="M201" s="148">
        <f t="shared" si="103"/>
        <v>156.831218549017</v>
      </c>
      <c r="N201" s="148">
        <f t="shared" si="103"/>
        <v>164.87212707001294</v>
      </c>
      <c r="O201" s="148">
        <f t="shared" si="103"/>
        <v>173.32530178673966</v>
      </c>
      <c r="P201" s="148">
        <f t="shared" si="103"/>
        <v>182.21188003905104</v>
      </c>
      <c r="Q201" s="148">
        <f t="shared" si="103"/>
        <v>191.55408290138976</v>
      </c>
      <c r="R201" s="148">
        <f t="shared" si="103"/>
        <v>201.37527074704784</v>
      </c>
      <c r="S201" s="148">
        <f t="shared" si="103"/>
        <v>211.70000166126766</v>
      </c>
      <c r="T201" s="148">
        <f t="shared" si="103"/>
        <v>222.55409284924698</v>
      </c>
      <c r="U201" s="148">
        <f t="shared" si="103"/>
        <v>233.96468519259935</v>
      </c>
      <c r="V201" s="148">
        <f t="shared" si="103"/>
        <v>245.96031111569525</v>
      </c>
      <c r="W201" s="148">
        <f t="shared" si="103"/>
        <v>258.57096593158491</v>
      </c>
      <c r="X201" s="148">
        <f t="shared" si="103"/>
        <v>271.82818284590485</v>
      </c>
      <c r="Y201" s="148">
        <f t="shared" si="103"/>
        <v>285.76511180631672</v>
      </c>
      <c r="Z201" s="148">
        <f t="shared" si="103"/>
        <v>300.41660239464369</v>
      </c>
      <c r="AA201" s="148">
        <f t="shared" si="103"/>
        <v>315.81929096897716</v>
      </c>
      <c r="AB201" s="148">
        <f t="shared" si="103"/>
        <v>332.01169227365517</v>
      </c>
      <c r="AC201" s="148">
        <f t="shared" si="103"/>
        <v>349.03429574618463</v>
      </c>
      <c r="AD201" s="148">
        <f t="shared" si="103"/>
        <v>366.92966676192498</v>
      </c>
      <c r="AE201" s="148">
        <f t="shared" si="103"/>
        <v>385.74255306969803</v>
      </c>
      <c r="AF201" s="148">
        <f t="shared" si="103"/>
        <v>405.51999668446814</v>
      </c>
      <c r="AG201" s="148">
        <f t="shared" si="103"/>
        <v>426.31145151688247</v>
      </c>
      <c r="AH201" s="148">
        <f t="shared" si="103"/>
        <v>448.16890703380727</v>
      </c>
      <c r="AI201" s="148">
        <f t="shared" si="103"/>
        <v>471.14701825907503</v>
      </c>
      <c r="AJ201" s="148">
        <f t="shared" si="103"/>
        <v>495.30324243951247</v>
      </c>
      <c r="AK201" s="148">
        <f t="shared" si="103"/>
        <v>520.69798271798595</v>
      </c>
      <c r="AL201" s="148">
        <f t="shared" si="103"/>
        <v>547.39473917272119</v>
      </c>
      <c r="AM201" s="148">
        <f t="shared" si="103"/>
        <v>575.46026760057441</v>
      </c>
      <c r="AN201" s="148">
        <f t="shared" si="103"/>
        <v>604.96474644129614</v>
      </c>
      <c r="AO201" s="148">
        <f t="shared" si="103"/>
        <v>635.98195226018481</v>
      </c>
      <c r="AP201" s="148">
        <f t="shared" si="103"/>
        <v>668.58944422792877</v>
      </c>
      <c r="AQ201" s="148">
        <f t="shared" si="103"/>
        <v>702.86875805893135</v>
      </c>
      <c r="AR201" s="149">
        <f t="shared" si="103"/>
        <v>738.90560989306721</v>
      </c>
    </row>
    <row r="202" spans="1:64" s="13" customFormat="1">
      <c r="C202" s="13" t="s">
        <v>176</v>
      </c>
      <c r="D202" s="213">
        <f t="shared" ref="D202:AR202" si="104">Inflation_Det*100</f>
        <v>5</v>
      </c>
      <c r="E202" s="165">
        <f t="shared" si="104"/>
        <v>5.8091712136414158</v>
      </c>
      <c r="F202" s="165">
        <f t="shared" si="104"/>
        <v>6.4816775092882946</v>
      </c>
      <c r="G202" s="165">
        <f t="shared" si="104"/>
        <v>6.992900892870531</v>
      </c>
      <c r="H202" s="165">
        <f t="shared" si="104"/>
        <v>7.3540444827524016</v>
      </c>
      <c r="I202" s="165">
        <f t="shared" si="104"/>
        <v>7.5954410655356046</v>
      </c>
      <c r="J202" s="165">
        <f t="shared" si="104"/>
        <v>7.750645686095309</v>
      </c>
      <c r="K202" s="165">
        <f t="shared" si="104"/>
        <v>7.8478834397158792</v>
      </c>
      <c r="L202" s="165">
        <f t="shared" si="104"/>
        <v>7.9078006626364283</v>
      </c>
      <c r="M202" s="165">
        <f t="shared" si="104"/>
        <v>7.9443395184390031</v>
      </c>
      <c r="N202" s="165">
        <f t="shared" si="104"/>
        <v>7.9664796005037717</v>
      </c>
      <c r="O202" s="165">
        <f t="shared" si="104"/>
        <v>7.979842774788513</v>
      </c>
      <c r="P202" s="165">
        <f t="shared" si="104"/>
        <v>7.9878894034482135</v>
      </c>
      <c r="Q202" s="165">
        <f t="shared" si="104"/>
        <v>7.9927277734823345</v>
      </c>
      <c r="R202" s="165">
        <f t="shared" si="104"/>
        <v>7.9956345482615641</v>
      </c>
      <c r="S202" s="165">
        <f t="shared" si="104"/>
        <v>7.9973799665800511</v>
      </c>
      <c r="T202" s="165">
        <f t="shared" si="104"/>
        <v>7.9984277053455415</v>
      </c>
      <c r="U202" s="165">
        <f t="shared" si="104"/>
        <v>7.9990565243186946</v>
      </c>
      <c r="V202" s="165">
        <f t="shared" si="104"/>
        <v>7.9994338789844521</v>
      </c>
      <c r="W202" s="165">
        <f t="shared" si="104"/>
        <v>7.9996603145707557</v>
      </c>
      <c r="X202" s="165">
        <f t="shared" si="104"/>
        <v>7.9997961841269642</v>
      </c>
      <c r="Y202" s="165">
        <f t="shared" si="104"/>
        <v>7.999877708814533</v>
      </c>
      <c r="Z202" s="165">
        <f t="shared" si="104"/>
        <v>7.9999266246905121</v>
      </c>
      <c r="AA202" s="165">
        <f t="shared" si="104"/>
        <v>7.999955974598949</v>
      </c>
      <c r="AB202" s="165">
        <f t="shared" si="104"/>
        <v>7.9999735846818414</v>
      </c>
      <c r="AC202" s="165">
        <f t="shared" si="104"/>
        <v>7.9999841507811933</v>
      </c>
      <c r="AD202" s="165">
        <f t="shared" si="104"/>
        <v>7.9999904904586678</v>
      </c>
      <c r="AE202" s="165">
        <f t="shared" si="104"/>
        <v>7.999994294271584</v>
      </c>
      <c r="AF202" s="165">
        <f t="shared" si="104"/>
        <v>7.9999965765616494</v>
      </c>
      <c r="AG202" s="165">
        <f t="shared" si="104"/>
        <v>7.9999979459365207</v>
      </c>
      <c r="AH202" s="165">
        <f t="shared" si="104"/>
        <v>7.9999987675617446</v>
      </c>
      <c r="AI202" s="165">
        <f t="shared" si="104"/>
        <v>7.9999992605369856</v>
      </c>
      <c r="AJ202" s="165">
        <f t="shared" si="104"/>
        <v>7.9999995563221695</v>
      </c>
      <c r="AK202" s="165">
        <f t="shared" si="104"/>
        <v>7.9999997337932953</v>
      </c>
      <c r="AL202" s="165">
        <f t="shared" si="104"/>
        <v>7.9999998402759731</v>
      </c>
      <c r="AM202" s="165">
        <f t="shared" si="104"/>
        <v>7.9999999041655832</v>
      </c>
      <c r="AN202" s="165">
        <f t="shared" si="104"/>
        <v>7.9999999424993486</v>
      </c>
      <c r="AO202" s="165">
        <f t="shared" si="104"/>
        <v>7.9999999654996099</v>
      </c>
      <c r="AP202" s="165">
        <f t="shared" si="104"/>
        <v>7.9999999792997656</v>
      </c>
      <c r="AQ202" s="165">
        <f t="shared" si="104"/>
        <v>7.9999999875798586</v>
      </c>
      <c r="AR202" s="166">
        <f t="shared" si="104"/>
        <v>7.9999999925479157</v>
      </c>
    </row>
    <row r="203" spans="1:64" s="13" customFormat="1">
      <c r="C203" s="138" t="s">
        <v>98</v>
      </c>
      <c r="D203" s="150">
        <f t="shared" ref="D203:AR203" si="105">BilledDemand_Det</f>
        <v>1.3687499999999999</v>
      </c>
      <c r="E203" s="151">
        <f t="shared" si="105"/>
        <v>1.4117051345640335</v>
      </c>
      <c r="F203" s="151">
        <f t="shared" si="105"/>
        <v>1.4663223205731397</v>
      </c>
      <c r="G203" s="151">
        <f t="shared" si="105"/>
        <v>1.5636137776346484</v>
      </c>
      <c r="H203" s="151">
        <f t="shared" si="105"/>
        <v>1.7532026231958293</v>
      </c>
      <c r="I203" s="151">
        <f t="shared" si="105"/>
        <v>2.083778215198731</v>
      </c>
      <c r="J203" s="151">
        <f t="shared" si="105"/>
        <v>2.5038488888808801</v>
      </c>
      <c r="K203" s="151">
        <f t="shared" si="105"/>
        <v>2.8616341902584765</v>
      </c>
      <c r="L203" s="151">
        <f t="shared" si="105"/>
        <v>3.0906042901457167</v>
      </c>
      <c r="M203" s="151">
        <f t="shared" si="105"/>
        <v>3.2293361036334907</v>
      </c>
      <c r="N203" s="151">
        <f t="shared" si="105"/>
        <v>3.3435900504634635</v>
      </c>
      <c r="O203" s="151">
        <f t="shared" si="105"/>
        <v>3.411135049982954</v>
      </c>
      <c r="P203" s="151">
        <f t="shared" si="105"/>
        <v>3.4800445490048451</v>
      </c>
      <c r="Q203" s="151">
        <f t="shared" si="105"/>
        <v>3.5503461122475488</v>
      </c>
      <c r="R203" s="151">
        <f t="shared" si="105"/>
        <v>3.6220678612737327</v>
      </c>
      <c r="S203" s="151">
        <f t="shared" si="105"/>
        <v>3.6952384857393064</v>
      </c>
      <c r="T203" s="151">
        <f t="shared" si="105"/>
        <v>3.7698872548696807</v>
      </c>
      <c r="U203" s="151">
        <f t="shared" si="105"/>
        <v>3.8460440291678353</v>
      </c>
      <c r="V203" s="151">
        <f t="shared" si="105"/>
        <v>3.9237392723589291</v>
      </c>
      <c r="W203" s="151">
        <f t="shared" si="105"/>
        <v>4.0030040635761868</v>
      </c>
      <c r="X203" s="151">
        <f t="shared" si="105"/>
        <v>4.0838701097929739</v>
      </c>
      <c r="Y203" s="151">
        <f t="shared" si="105"/>
        <v>4.1663697585060069</v>
      </c>
      <c r="Z203" s="151">
        <f t="shared" si="105"/>
        <v>4.2505360106747796</v>
      </c>
      <c r="AA203" s="151">
        <f t="shared" si="105"/>
        <v>4.3364025339223904</v>
      </c>
      <c r="AB203" s="151">
        <f t="shared" si="105"/>
        <v>4.4240036760030419</v>
      </c>
      <c r="AC203" s="151">
        <f t="shared" si="105"/>
        <v>4.5133744785415972</v>
      </c>
      <c r="AD203" s="151">
        <f t="shared" si="105"/>
        <v>4.6045506910506964</v>
      </c>
      <c r="AE203" s="151">
        <f t="shared" si="105"/>
        <v>4.6975687852310433</v>
      </c>
      <c r="AF203" s="151">
        <f t="shared" si="105"/>
        <v>4.7924659695605714</v>
      </c>
      <c r="AG203" s="151">
        <f t="shared" si="105"/>
        <v>4.889280204178319</v>
      </c>
      <c r="AH203" s="151">
        <f t="shared" si="105"/>
        <v>4.988050216069011</v>
      </c>
      <c r="AI203" s="151">
        <f t="shared" si="105"/>
        <v>5.0888155145543532</v>
      </c>
      <c r="AJ203" s="151">
        <f t="shared" si="105"/>
        <v>5.191616407097297</v>
      </c>
      <c r="AK203" s="151">
        <f t="shared" si="105"/>
        <v>5.2964940154255533</v>
      </c>
      <c r="AL203" s="151">
        <f t="shared" si="105"/>
        <v>5.403490291980841</v>
      </c>
      <c r="AM203" s="151">
        <f t="shared" si="105"/>
        <v>5.51264803670042</v>
      </c>
      <c r="AN203" s="151">
        <f t="shared" si="105"/>
        <v>5.6240109141376324</v>
      </c>
      <c r="AO203" s="151">
        <f t="shared" si="105"/>
        <v>5.7376234709283125</v>
      </c>
      <c r="AP203" s="151">
        <f t="shared" si="105"/>
        <v>5.8535311536100298</v>
      </c>
      <c r="AQ203" s="151">
        <f t="shared" si="105"/>
        <v>5.9717803268013139</v>
      </c>
      <c r="AR203" s="152">
        <f t="shared" si="105"/>
        <v>6.0924182917481193</v>
      </c>
    </row>
    <row r="204" spans="1:64" s="3" customFormat="1">
      <c r="A204" s="6"/>
      <c r="B204" s="273" t="s">
        <v>162</v>
      </c>
      <c r="D204" s="272"/>
      <c r="E204" s="272"/>
      <c r="F204" s="272"/>
      <c r="G204" s="272"/>
      <c r="H204" s="272"/>
      <c r="I204" s="272"/>
      <c r="J204" s="272"/>
      <c r="K204" s="272"/>
      <c r="L204" s="272"/>
      <c r="M204" s="272"/>
      <c r="N204" s="272"/>
      <c r="O204" s="272"/>
      <c r="P204" s="272"/>
      <c r="Q204" s="272"/>
      <c r="R204" s="272"/>
      <c r="S204" s="272"/>
      <c r="T204" s="272"/>
      <c r="U204" s="272"/>
      <c r="V204" s="272"/>
      <c r="W204" s="272"/>
      <c r="X204" s="272"/>
      <c r="Y204" s="272"/>
      <c r="Z204" s="272"/>
      <c r="AA204" s="272" t="str">
        <f t="shared" ref="AA204:AR204" si="106">IF(Z204="","",IF(Z204+1&gt;Contract_Length,"",Z204+1))</f>
        <v/>
      </c>
      <c r="AB204" s="272" t="str">
        <f t="shared" si="106"/>
        <v/>
      </c>
      <c r="AC204" s="272" t="str">
        <f t="shared" si="106"/>
        <v/>
      </c>
      <c r="AD204" s="272" t="str">
        <f t="shared" si="106"/>
        <v/>
      </c>
      <c r="AE204" s="272" t="str">
        <f t="shared" si="106"/>
        <v/>
      </c>
      <c r="AF204" s="272" t="str">
        <f t="shared" si="106"/>
        <v/>
      </c>
      <c r="AG204" s="272" t="str">
        <f t="shared" si="106"/>
        <v/>
      </c>
      <c r="AH204" s="272" t="str">
        <f t="shared" si="106"/>
        <v/>
      </c>
      <c r="AI204" s="272" t="str">
        <f t="shared" si="106"/>
        <v/>
      </c>
      <c r="AJ204" s="272" t="str">
        <f t="shared" si="106"/>
        <v/>
      </c>
      <c r="AK204" s="272" t="str">
        <f t="shared" si="106"/>
        <v/>
      </c>
      <c r="AL204" s="272" t="str">
        <f t="shared" si="106"/>
        <v/>
      </c>
      <c r="AM204" s="272" t="str">
        <f t="shared" si="106"/>
        <v/>
      </c>
      <c r="AN204" s="272" t="str">
        <f t="shared" si="106"/>
        <v/>
      </c>
      <c r="AO204" s="272" t="str">
        <f t="shared" si="106"/>
        <v/>
      </c>
      <c r="AP204" s="272" t="str">
        <f t="shared" si="106"/>
        <v/>
      </c>
      <c r="AQ204" s="272" t="str">
        <f t="shared" si="106"/>
        <v/>
      </c>
      <c r="AR204" s="272" t="str">
        <f t="shared" si="106"/>
        <v/>
      </c>
      <c r="AS204" s="45"/>
      <c r="AT204" s="45"/>
      <c r="AU204" s="45"/>
      <c r="AV204" s="45"/>
      <c r="AW204" s="45"/>
      <c r="AX204" s="45"/>
      <c r="AY204" s="45"/>
      <c r="AZ204" s="45"/>
      <c r="BA204" s="45"/>
      <c r="BB204" s="45"/>
      <c r="BC204" s="45"/>
      <c r="BD204" s="45"/>
      <c r="BE204" s="45"/>
      <c r="BF204" s="45"/>
      <c r="BG204" s="45"/>
      <c r="BH204" s="45"/>
      <c r="BI204" s="45"/>
      <c r="BJ204" s="45"/>
      <c r="BK204" s="45"/>
      <c r="BL204" s="45"/>
    </row>
    <row r="205" spans="1:64" s="13" customFormat="1">
      <c r="C205" s="138" t="s">
        <v>95</v>
      </c>
      <c r="D205" s="147">
        <f t="shared" ref="D205:AR205" si="107">RealExRate_Risk</f>
        <v>100</v>
      </c>
      <c r="E205" s="148">
        <f t="shared" ca="1" si="107"/>
        <v>101.9370508645363</v>
      </c>
      <c r="F205" s="148">
        <f t="shared" ca="1" si="107"/>
        <v>106.31428945734736</v>
      </c>
      <c r="G205" s="148">
        <f t="shared" ca="1" si="107"/>
        <v>114.56656654919429</v>
      </c>
      <c r="H205" s="148">
        <f t="shared" ca="1" si="107"/>
        <v>121.76722213093306</v>
      </c>
      <c r="I205" s="148">
        <f t="shared" ca="1" si="107"/>
        <v>134.8930214018099</v>
      </c>
      <c r="J205" s="148">
        <f t="shared" ca="1" si="107"/>
        <v>128.87104264092991</v>
      </c>
      <c r="K205" s="148">
        <f t="shared" ca="1" si="107"/>
        <v>147.89699749736812</v>
      </c>
      <c r="L205" s="148">
        <f t="shared" ca="1" si="107"/>
        <v>154.80797735894654</v>
      </c>
      <c r="M205" s="148">
        <f t="shared" ca="1" si="107"/>
        <v>157.29763195188582</v>
      </c>
      <c r="N205" s="148">
        <f t="shared" ca="1" si="107"/>
        <v>159.66412514946373</v>
      </c>
      <c r="O205" s="148">
        <f t="shared" ca="1" si="107"/>
        <v>158.54402664997841</v>
      </c>
      <c r="P205" s="148">
        <f t="shared" ca="1" si="107"/>
        <v>177.09731202696861</v>
      </c>
      <c r="Q205" s="148">
        <f t="shared" ca="1" si="107"/>
        <v>179.91544598336168</v>
      </c>
      <c r="R205" s="148">
        <f t="shared" ca="1" si="107"/>
        <v>180.65560692774756</v>
      </c>
      <c r="S205" s="148">
        <f t="shared" ca="1" si="107"/>
        <v>180.97986352715384</v>
      </c>
      <c r="T205" s="148">
        <f t="shared" ca="1" si="107"/>
        <v>203.7838404003202</v>
      </c>
      <c r="U205" s="148">
        <f t="shared" ca="1" si="107"/>
        <v>217.88276333272339</v>
      </c>
      <c r="V205" s="148">
        <f t="shared" ca="1" si="107"/>
        <v>232.61770705098468</v>
      </c>
      <c r="W205" s="148">
        <f t="shared" ca="1" si="107"/>
        <v>253.62683707167244</v>
      </c>
      <c r="X205" s="148">
        <f t="shared" ca="1" si="107"/>
        <v>278.8099923098564</v>
      </c>
      <c r="Y205" s="148">
        <f t="shared" ca="1" si="107"/>
        <v>312.69891105437955</v>
      </c>
      <c r="Z205" s="148">
        <f t="shared" ca="1" si="107"/>
        <v>337.99470702762824</v>
      </c>
      <c r="AA205" s="148">
        <f t="shared" ca="1" si="107"/>
        <v>367.75549121294881</v>
      </c>
      <c r="AB205" s="148">
        <f t="shared" ca="1" si="107"/>
        <v>382.17570811893933</v>
      </c>
      <c r="AC205" s="148">
        <f t="shared" ca="1" si="107"/>
        <v>391.85877461960445</v>
      </c>
      <c r="AD205" s="148">
        <f t="shared" ca="1" si="107"/>
        <v>394.06391311038868</v>
      </c>
      <c r="AE205" s="148">
        <f t="shared" ca="1" si="107"/>
        <v>411.39714809253968</v>
      </c>
      <c r="AF205" s="148">
        <f t="shared" ca="1" si="107"/>
        <v>425.89301996626892</v>
      </c>
      <c r="AG205" s="148">
        <f t="shared" ca="1" si="107"/>
        <v>473.45761995361619</v>
      </c>
      <c r="AH205" s="148">
        <f t="shared" ca="1" si="107"/>
        <v>549.78716194496019</v>
      </c>
      <c r="AI205" s="148">
        <f t="shared" ca="1" si="107"/>
        <v>537.8235119886906</v>
      </c>
      <c r="AJ205" s="148">
        <f t="shared" ca="1" si="107"/>
        <v>525.21769367631737</v>
      </c>
      <c r="AK205" s="148">
        <f t="shared" ca="1" si="107"/>
        <v>528.93011721023049</v>
      </c>
      <c r="AL205" s="148">
        <f t="shared" ca="1" si="107"/>
        <v>556.62199321186381</v>
      </c>
      <c r="AM205" s="148">
        <f t="shared" ca="1" si="107"/>
        <v>579.20535222610511</v>
      </c>
      <c r="AN205" s="148">
        <f t="shared" ca="1" si="107"/>
        <v>626.74657694134146</v>
      </c>
      <c r="AO205" s="148">
        <f t="shared" ca="1" si="107"/>
        <v>636.79073812036086</v>
      </c>
      <c r="AP205" s="148">
        <f t="shared" ca="1" si="107"/>
        <v>567.12355936439872</v>
      </c>
      <c r="AQ205" s="148">
        <f t="shared" ca="1" si="107"/>
        <v>619.34966811666663</v>
      </c>
      <c r="AR205" s="149">
        <f t="shared" ca="1" si="107"/>
        <v>718.31972175883914</v>
      </c>
    </row>
    <row r="206" spans="1:64" s="13" customFormat="1">
      <c r="C206" s="13" t="s">
        <v>176</v>
      </c>
      <c r="D206" s="213">
        <f t="shared" ref="D206:AR206" si="108">Inflation_Risk*100</f>
        <v>5</v>
      </c>
      <c r="E206" s="165">
        <f t="shared" ca="1" si="108"/>
        <v>5.8062380620419054</v>
      </c>
      <c r="F206" s="165">
        <f t="shared" ca="1" si="108"/>
        <v>6.5206959906419577</v>
      </c>
      <c r="G206" s="165">
        <f t="shared" ca="1" si="108"/>
        <v>7.0015593622106849</v>
      </c>
      <c r="H206" s="165">
        <f t="shared" ca="1" si="108"/>
        <v>7.3888188425965753</v>
      </c>
      <c r="I206" s="165">
        <f t="shared" ca="1" si="108"/>
        <v>7.7816887244429918</v>
      </c>
      <c r="J206" s="165">
        <f t="shared" ca="1" si="108"/>
        <v>7.9098516926643558</v>
      </c>
      <c r="K206" s="165">
        <f t="shared" ca="1" si="108"/>
        <v>7.8060453474032023</v>
      </c>
      <c r="L206" s="165">
        <f t="shared" ca="1" si="108"/>
        <v>7.8393443503435227</v>
      </c>
      <c r="M206" s="165">
        <f t="shared" ca="1" si="108"/>
        <v>7.7039820899016203</v>
      </c>
      <c r="N206" s="165">
        <f t="shared" ca="1" si="108"/>
        <v>7.7138621588835266</v>
      </c>
      <c r="O206" s="165">
        <f t="shared" ca="1" si="108"/>
        <v>7.8186789952475841</v>
      </c>
      <c r="P206" s="165">
        <f t="shared" ca="1" si="108"/>
        <v>7.8661362962463111</v>
      </c>
      <c r="Q206" s="165">
        <f t="shared" ca="1" si="108"/>
        <v>8.017901303894428</v>
      </c>
      <c r="R206" s="165">
        <f t="shared" ca="1" si="108"/>
        <v>8.1485452194043511</v>
      </c>
      <c r="S206" s="165">
        <f t="shared" ca="1" si="108"/>
        <v>8.1639725760576489</v>
      </c>
      <c r="T206" s="165">
        <f t="shared" ca="1" si="108"/>
        <v>7.9958575832113032</v>
      </c>
      <c r="U206" s="165">
        <f t="shared" ca="1" si="108"/>
        <v>7.6320756725442047</v>
      </c>
      <c r="V206" s="165">
        <f t="shared" ca="1" si="108"/>
        <v>7.6315381242437974</v>
      </c>
      <c r="W206" s="165">
        <f t="shared" ca="1" si="108"/>
        <v>7.6926158553218631</v>
      </c>
      <c r="X206" s="165">
        <f t="shared" ca="1" si="108"/>
        <v>7.6240751804830618</v>
      </c>
      <c r="Y206" s="165">
        <f t="shared" ca="1" si="108"/>
        <v>7.6010347530552052</v>
      </c>
      <c r="Z206" s="165">
        <f t="shared" ca="1" si="108"/>
        <v>7.9610249675459359</v>
      </c>
      <c r="AA206" s="165">
        <f t="shared" ca="1" si="108"/>
        <v>8.0139480008624471</v>
      </c>
      <c r="AB206" s="165">
        <f t="shared" ca="1" si="108"/>
        <v>8.1026448608845634</v>
      </c>
      <c r="AC206" s="165">
        <f t="shared" ca="1" si="108"/>
        <v>7.8481770666585611</v>
      </c>
      <c r="AD206" s="165">
        <f t="shared" ca="1" si="108"/>
        <v>7.871213349475747</v>
      </c>
      <c r="AE206" s="165">
        <f t="shared" ca="1" si="108"/>
        <v>7.9429196560054693</v>
      </c>
      <c r="AF206" s="165">
        <f t="shared" ca="1" si="108"/>
        <v>8.1774713452786632</v>
      </c>
      <c r="AG206" s="165">
        <f t="shared" ca="1" si="108"/>
        <v>8.0260744571418261</v>
      </c>
      <c r="AH206" s="165">
        <f t="shared" ca="1" si="108"/>
        <v>8.1228133584697702</v>
      </c>
      <c r="AI206" s="165">
        <f t="shared" ca="1" si="108"/>
        <v>8.2914779612728164</v>
      </c>
      <c r="AJ206" s="165">
        <f t="shared" ca="1" si="108"/>
        <v>7.7909759387992148</v>
      </c>
      <c r="AK206" s="165">
        <f t="shared" ca="1" si="108"/>
        <v>7.6273213390943839</v>
      </c>
      <c r="AL206" s="165">
        <f t="shared" ca="1" si="108"/>
        <v>7.8480301992638672</v>
      </c>
      <c r="AM206" s="165">
        <f t="shared" ca="1" si="108"/>
        <v>7.7500557713208336</v>
      </c>
      <c r="AN206" s="165">
        <f t="shared" ca="1" si="108"/>
        <v>7.8959510860053426</v>
      </c>
      <c r="AO206" s="165">
        <f t="shared" ca="1" si="108"/>
        <v>7.9631961351180811</v>
      </c>
      <c r="AP206" s="165">
        <f t="shared" ca="1" si="108"/>
        <v>7.9851495446006089</v>
      </c>
      <c r="AQ206" s="165">
        <f t="shared" ca="1" si="108"/>
        <v>8.3030651425410529</v>
      </c>
      <c r="AR206" s="166">
        <f t="shared" ca="1" si="108"/>
        <v>8.2693614886024669</v>
      </c>
    </row>
    <row r="207" spans="1:64" s="13" customFormat="1">
      <c r="C207" s="138" t="s">
        <v>98</v>
      </c>
      <c r="D207" s="150">
        <f t="shared" ref="D207:AR207" si="109">BilledDemand_Risk</f>
        <v>1.3687499999999999</v>
      </c>
      <c r="E207" s="151">
        <f t="shared" ca="1" si="109"/>
        <v>1.4510814868641946</v>
      </c>
      <c r="F207" s="151">
        <f t="shared" ca="1" si="109"/>
        <v>1.5810557848501099</v>
      </c>
      <c r="G207" s="151">
        <f t="shared" ca="1" si="109"/>
        <v>1.713349217428914</v>
      </c>
      <c r="H207" s="151">
        <f t="shared" ca="1" si="109"/>
        <v>1.9065341069298427</v>
      </c>
      <c r="I207" s="151">
        <f t="shared" ca="1" si="109"/>
        <v>2.2767758678883103</v>
      </c>
      <c r="J207" s="151">
        <f t="shared" ca="1" si="109"/>
        <v>2.720400670622908</v>
      </c>
      <c r="K207" s="151">
        <f t="shared" ca="1" si="109"/>
        <v>2.9357681098980439</v>
      </c>
      <c r="L207" s="151">
        <f t="shared" ca="1" si="109"/>
        <v>3.1606101408943013</v>
      </c>
      <c r="M207" s="151">
        <f t="shared" ca="1" si="109"/>
        <v>3.3361348136524422</v>
      </c>
      <c r="N207" s="151">
        <f t="shared" ca="1" si="109"/>
        <v>3.3745857373054662</v>
      </c>
      <c r="O207" s="151">
        <f t="shared" ca="1" si="109"/>
        <v>3.3079984468096715</v>
      </c>
      <c r="P207" s="151">
        <f t="shared" ca="1" si="109"/>
        <v>3.2888266760405367</v>
      </c>
      <c r="Q207" s="151">
        <f t="shared" ca="1" si="109"/>
        <v>3.3637723997115554</v>
      </c>
      <c r="R207" s="151">
        <f t="shared" ca="1" si="109"/>
        <v>3.5384211365993541</v>
      </c>
      <c r="S207" s="151">
        <f t="shared" ca="1" si="109"/>
        <v>3.6357731990948969</v>
      </c>
      <c r="T207" s="151">
        <f t="shared" ca="1" si="109"/>
        <v>3.7612423433640232</v>
      </c>
      <c r="U207" s="151">
        <f t="shared" ca="1" si="109"/>
        <v>3.6008761845741875</v>
      </c>
      <c r="V207" s="151">
        <f t="shared" ca="1" si="109"/>
        <v>3.6097771840947765</v>
      </c>
      <c r="W207" s="151">
        <f t="shared" ca="1" si="109"/>
        <v>3.638704068976502</v>
      </c>
      <c r="X207" s="151">
        <f t="shared" ca="1" si="109"/>
        <v>3.8915164725151019</v>
      </c>
      <c r="Y207" s="151">
        <f t="shared" ca="1" si="109"/>
        <v>4.0491675603213473</v>
      </c>
      <c r="Z207" s="151">
        <f t="shared" ca="1" si="109"/>
        <v>4.1494518366791402</v>
      </c>
      <c r="AA207" s="151">
        <f t="shared" ca="1" si="109"/>
        <v>4.4126868950477576</v>
      </c>
      <c r="AB207" s="151">
        <f t="shared" ca="1" si="109"/>
        <v>4.5762519972962048</v>
      </c>
      <c r="AC207" s="151">
        <f t="shared" ca="1" si="109"/>
        <v>4.580666304159597</v>
      </c>
      <c r="AD207" s="151">
        <f t="shared" ca="1" si="109"/>
        <v>4.8026297072642379</v>
      </c>
      <c r="AE207" s="151">
        <f t="shared" ca="1" si="109"/>
        <v>4.6191466532281025</v>
      </c>
      <c r="AF207" s="151">
        <f t="shared" ca="1" si="109"/>
        <v>4.7497630218602156</v>
      </c>
      <c r="AG207" s="151">
        <f t="shared" ca="1" si="109"/>
        <v>4.7100027133273965</v>
      </c>
      <c r="AH207" s="151">
        <f t="shared" ca="1" si="109"/>
        <v>4.8278015229643518</v>
      </c>
      <c r="AI207" s="151">
        <f t="shared" ca="1" si="109"/>
        <v>5.0118956882021761</v>
      </c>
      <c r="AJ207" s="151">
        <f t="shared" ca="1" si="109"/>
        <v>5.1398825554834477</v>
      </c>
      <c r="AK207" s="151">
        <f t="shared" ca="1" si="109"/>
        <v>5.406944028809856</v>
      </c>
      <c r="AL207" s="151">
        <f t="shared" ca="1" si="109"/>
        <v>5.09286685240117</v>
      </c>
      <c r="AM207" s="151">
        <f t="shared" ca="1" si="109"/>
        <v>5.1992467256270922</v>
      </c>
      <c r="AN207" s="151">
        <f t="shared" ca="1" si="109"/>
        <v>5.3728586002597591</v>
      </c>
      <c r="AO207" s="151">
        <f t="shared" ca="1" si="109"/>
        <v>5.4427545887552951</v>
      </c>
      <c r="AP207" s="151">
        <f t="shared" ca="1" si="109"/>
        <v>5.6342182185059393</v>
      </c>
      <c r="AQ207" s="151">
        <f t="shared" ca="1" si="109"/>
        <v>5.6917873265517809</v>
      </c>
      <c r="AR207" s="152">
        <f t="shared" ca="1" si="109"/>
        <v>5.4234841798036451</v>
      </c>
    </row>
    <row r="208" spans="1:64" s="3" customFormat="1"/>
    <row r="209" spans="1:52" s="45" customFormat="1">
      <c r="A209" s="4" t="s">
        <v>82</v>
      </c>
      <c r="B209" s="12"/>
      <c r="C209" s="12"/>
      <c r="D209" s="272"/>
      <c r="E209" s="272"/>
      <c r="F209" s="272"/>
      <c r="G209" s="272"/>
      <c r="H209" s="272"/>
      <c r="I209" s="272"/>
      <c r="J209" s="272"/>
      <c r="K209" s="272"/>
      <c r="L209" s="272"/>
      <c r="M209" s="272"/>
      <c r="N209" s="272"/>
      <c r="O209" s="272"/>
      <c r="P209" s="272"/>
      <c r="Q209" s="272"/>
      <c r="R209" s="272"/>
      <c r="S209" s="272"/>
      <c r="T209" s="272"/>
      <c r="U209" s="272"/>
      <c r="V209" s="272"/>
      <c r="W209" s="272"/>
      <c r="X209" s="272"/>
      <c r="Y209" s="272"/>
      <c r="Z209" s="272"/>
      <c r="AA209" s="272"/>
      <c r="AB209" s="272"/>
      <c r="AC209" s="272"/>
      <c r="AD209" s="272"/>
      <c r="AE209" s="272"/>
      <c r="AF209" s="272"/>
      <c r="AG209" s="272"/>
      <c r="AH209" s="272"/>
      <c r="AI209" s="272"/>
      <c r="AJ209" s="272"/>
      <c r="AK209" s="272"/>
      <c r="AL209" s="272"/>
      <c r="AM209" s="272"/>
      <c r="AN209" s="272"/>
      <c r="AO209" s="272"/>
      <c r="AP209" s="272"/>
      <c r="AQ209" s="272"/>
      <c r="AR209" s="272"/>
    </row>
    <row r="210" spans="1:52" s="45" customFormat="1">
      <c r="A210" s="98" t="str">
        <f>lbl_LocalCurrency &amp; " per m3"</f>
        <v>pesos per m3</v>
      </c>
      <c r="B210" s="251" t="str">
        <f>"Customer tariff based on " &amp; Tariff_Period &amp;" year reset period"</f>
        <v>Customer tariff based on 5 year reset period</v>
      </c>
      <c r="C210" s="274"/>
      <c r="D210" s="272"/>
      <c r="E210" s="272"/>
      <c r="F210" s="272"/>
      <c r="G210" s="272"/>
      <c r="H210" s="272"/>
      <c r="I210" s="272"/>
      <c r="J210" s="272"/>
      <c r="K210" s="272"/>
      <c r="L210" s="272"/>
      <c r="M210" s="272"/>
      <c r="N210" s="272"/>
      <c r="O210" s="272"/>
      <c r="P210" s="272"/>
      <c r="Q210" s="272"/>
      <c r="R210" s="272"/>
      <c r="S210" s="272"/>
      <c r="T210" s="272"/>
      <c r="U210" s="272"/>
      <c r="V210" s="272"/>
      <c r="W210" s="272"/>
      <c r="X210" s="272"/>
      <c r="Y210" s="272"/>
      <c r="Z210" s="272"/>
      <c r="AA210" s="272" t="str">
        <f t="shared" ref="AA210:AR210" si="110">IF(Z210="","",IF(Z210+1&gt;Contract_Length,"",Z210+1))</f>
        <v/>
      </c>
      <c r="AB210" s="272" t="str">
        <f t="shared" si="110"/>
        <v/>
      </c>
      <c r="AC210" s="272" t="str">
        <f t="shared" si="110"/>
        <v/>
      </c>
      <c r="AD210" s="272" t="str">
        <f t="shared" si="110"/>
        <v/>
      </c>
      <c r="AE210" s="272" t="str">
        <f t="shared" si="110"/>
        <v/>
      </c>
      <c r="AF210" s="272" t="str">
        <f t="shared" si="110"/>
        <v/>
      </c>
      <c r="AG210" s="272" t="str">
        <f t="shared" si="110"/>
        <v/>
      </c>
      <c r="AH210" s="272" t="str">
        <f t="shared" si="110"/>
        <v/>
      </c>
      <c r="AI210" s="272" t="str">
        <f t="shared" si="110"/>
        <v/>
      </c>
      <c r="AJ210" s="272" t="str">
        <f t="shared" si="110"/>
        <v/>
      </c>
      <c r="AK210" s="272" t="str">
        <f t="shared" si="110"/>
        <v/>
      </c>
      <c r="AL210" s="272" t="str">
        <f t="shared" si="110"/>
        <v/>
      </c>
      <c r="AM210" s="272" t="str">
        <f t="shared" si="110"/>
        <v/>
      </c>
      <c r="AN210" s="272" t="str">
        <f t="shared" si="110"/>
        <v/>
      </c>
      <c r="AO210" s="272" t="str">
        <f t="shared" si="110"/>
        <v/>
      </c>
      <c r="AP210" s="272" t="str">
        <f t="shared" si="110"/>
        <v/>
      </c>
      <c r="AQ210" s="272" t="str">
        <f t="shared" si="110"/>
        <v/>
      </c>
      <c r="AR210" s="272" t="str">
        <f t="shared" si="110"/>
        <v/>
      </c>
    </row>
    <row r="211" spans="1:52" s="13" customFormat="1">
      <c r="C211" s="138" t="s">
        <v>177</v>
      </c>
      <c r="D211" s="147">
        <f>ExistTariff_Connected</f>
        <v>30</v>
      </c>
      <c r="E211" s="148">
        <f>IF(Year="",,'Analysis - No risk'!E140+'Analysis - No risk'!E141)</f>
        <v>57.812094572503639</v>
      </c>
      <c r="F211" s="148">
        <f>IF(Year="",,'Analysis - No risk'!F140+'Analysis - No risk'!F141)</f>
        <v>57.812094572503639</v>
      </c>
      <c r="G211" s="148">
        <f>IF(Year="",,'Analysis - No risk'!G140+'Analysis - No risk'!G141)</f>
        <v>57.812094572503639</v>
      </c>
      <c r="H211" s="148">
        <f>IF(Year="",,'Analysis - No risk'!H140+'Analysis - No risk'!H141)</f>
        <v>57.812094572503639</v>
      </c>
      <c r="I211" s="148">
        <f>IF(Year="",,'Analysis - No risk'!I140+'Analysis - No risk'!I141)</f>
        <v>57.812094572503639</v>
      </c>
      <c r="J211" s="148">
        <f>IF(Year="",,'Analysis - No risk'!J140+'Analysis - No risk'!J141)</f>
        <v>57.812094572503639</v>
      </c>
      <c r="K211" s="148">
        <f>IF(Year="",,'Analysis - No risk'!K140+'Analysis - No risk'!K141)</f>
        <v>57.812094572503639</v>
      </c>
      <c r="L211" s="148">
        <f>IF(Year="",,'Analysis - No risk'!L140+'Analysis - No risk'!L141)</f>
        <v>57.812094572503639</v>
      </c>
      <c r="M211" s="148">
        <f>IF(Year="",,'Analysis - No risk'!M140+'Analysis - No risk'!M141)</f>
        <v>57.812094572503639</v>
      </c>
      <c r="N211" s="148">
        <f>IF(Year="",,'Analysis - No risk'!N140+'Analysis - No risk'!N141)</f>
        <v>57.812094572503639</v>
      </c>
      <c r="O211" s="148">
        <f>IF(Year="",,'Analysis - No risk'!O140+'Analysis - No risk'!O141)</f>
        <v>57.812094572503639</v>
      </c>
      <c r="P211" s="148">
        <f>IF(Year="",,'Analysis - No risk'!P140+'Analysis - No risk'!P141)</f>
        <v>57.812094572503639</v>
      </c>
      <c r="Q211" s="148">
        <f>IF(Year="",,'Analysis - No risk'!Q140+'Analysis - No risk'!Q141)</f>
        <v>57.812094572503639</v>
      </c>
      <c r="R211" s="148">
        <f>IF(Year="",,'Analysis - No risk'!R140+'Analysis - No risk'!R141)</f>
        <v>57.812094572503639</v>
      </c>
      <c r="S211" s="148">
        <f>IF(Year="",,'Analysis - No risk'!S140+'Analysis - No risk'!S141)</f>
        <v>57.812094572503639</v>
      </c>
      <c r="T211" s="148">
        <f>IF(Year="",,'Analysis - No risk'!T140+'Analysis - No risk'!T141)</f>
        <v>57.812094572503639</v>
      </c>
      <c r="U211" s="148">
        <f>IF(Year="",,'Analysis - No risk'!U140+'Analysis - No risk'!U141)</f>
        <v>57.812094572503639</v>
      </c>
      <c r="V211" s="148">
        <f>IF(Year="",,'Analysis - No risk'!V140+'Analysis - No risk'!V141)</f>
        <v>57.812094572503639</v>
      </c>
      <c r="W211" s="148">
        <f>IF(Year="",,'Analysis - No risk'!W140+'Analysis - No risk'!W141)</f>
        <v>57.812094572503639</v>
      </c>
      <c r="X211" s="148">
        <f>IF(Year="",,'Analysis - No risk'!X140+'Analysis - No risk'!X141)</f>
        <v>57.812094572503639</v>
      </c>
      <c r="Y211" s="148">
        <f>IF(Year="",,'Analysis - No risk'!Y140+'Analysis - No risk'!Y141)</f>
        <v>0</v>
      </c>
      <c r="Z211" s="148">
        <f>IF(Year="",,'Analysis - No risk'!Z140+'Analysis - No risk'!Z141)</f>
        <v>0</v>
      </c>
      <c r="AA211" s="148">
        <f>IF(Year="",,'Analysis - No risk'!AA140+'Analysis - No risk'!AA141)</f>
        <v>0</v>
      </c>
      <c r="AB211" s="148">
        <f>IF(Year="",,'Analysis - No risk'!AB140+'Analysis - No risk'!AB141)</f>
        <v>0</v>
      </c>
      <c r="AC211" s="148">
        <f>IF(Year="",,'Analysis - No risk'!AC140+'Analysis - No risk'!AC141)</f>
        <v>0</v>
      </c>
      <c r="AD211" s="148">
        <f>IF(Year="",,'Analysis - No risk'!AD140+'Analysis - No risk'!AD141)</f>
        <v>0</v>
      </c>
      <c r="AE211" s="148">
        <f>IF(Year="",,'Analysis - No risk'!AE140+'Analysis - No risk'!AE141)</f>
        <v>0</v>
      </c>
      <c r="AF211" s="148">
        <f>IF(Year="",,'Analysis - No risk'!AF140+'Analysis - No risk'!AF141)</f>
        <v>0</v>
      </c>
      <c r="AG211" s="148">
        <f>IF(Year="",,'Analysis - No risk'!AG140+'Analysis - No risk'!AG141)</f>
        <v>0</v>
      </c>
      <c r="AH211" s="148">
        <f>IF(Year="",,'Analysis - No risk'!AH140+'Analysis - No risk'!AH141)</f>
        <v>0</v>
      </c>
      <c r="AI211" s="148">
        <f>IF(Year="",,'Analysis - No risk'!AI140+'Analysis - No risk'!AI141)</f>
        <v>0</v>
      </c>
      <c r="AJ211" s="148">
        <f>IF(Year="",,'Analysis - No risk'!AJ140+'Analysis - No risk'!AJ141)</f>
        <v>0</v>
      </c>
      <c r="AK211" s="148">
        <f>IF(Year="",,'Analysis - No risk'!AK140+'Analysis - No risk'!AK141)</f>
        <v>0</v>
      </c>
      <c r="AL211" s="148">
        <f>IF(Year="",,'Analysis - No risk'!AL140+'Analysis - No risk'!AL141)</f>
        <v>0</v>
      </c>
      <c r="AM211" s="148">
        <f>IF(Year="",,'Analysis - No risk'!AM140+'Analysis - No risk'!AM141)</f>
        <v>0</v>
      </c>
      <c r="AN211" s="148">
        <f>IF(Year="",,'Analysis - No risk'!AN140+'Analysis - No risk'!AN141)</f>
        <v>0</v>
      </c>
      <c r="AO211" s="148">
        <f>IF(Year="",,'Analysis - No risk'!AO140+'Analysis - No risk'!AO141)</f>
        <v>0</v>
      </c>
      <c r="AP211" s="148">
        <f>IF(Year="",,'Analysis - No risk'!AP140+'Analysis - No risk'!AP141)</f>
        <v>0</v>
      </c>
      <c r="AQ211" s="148">
        <f>IF(Year="",,'Analysis - No risk'!AQ140+'Analysis - No risk'!AQ141)</f>
        <v>0</v>
      </c>
      <c r="AR211" s="149">
        <f>IF(Year="",,'Analysis - No risk'!AR140+'Analysis - No risk'!AR141)</f>
        <v>0</v>
      </c>
    </row>
    <row r="212" spans="1:52" s="13" customFormat="1">
      <c r="C212" s="13" t="s">
        <v>178</v>
      </c>
      <c r="D212" s="213">
        <f>ExistTariff_Connected</f>
        <v>30</v>
      </c>
      <c r="E212" s="165">
        <f>IF(Year="",,'Analysis - No risk'!E143+'Analysis - No risk'!E144)</f>
        <v>46.131118260729544</v>
      </c>
      <c r="F212" s="165">
        <f>IF(Year="",,'Analysis - No risk'!F143+'Analysis - No risk'!F144)</f>
        <v>46.131118260729544</v>
      </c>
      <c r="G212" s="165">
        <f>IF(Year="",,'Analysis - No risk'!G143+'Analysis - No risk'!G144)</f>
        <v>46.131118260729544</v>
      </c>
      <c r="H212" s="165">
        <f>IF(Year="",,'Analysis - No risk'!H143+'Analysis - No risk'!H144)</f>
        <v>46.131118260729544</v>
      </c>
      <c r="I212" s="165">
        <f>IF(Year="",,'Analysis - No risk'!I143+'Analysis - No risk'!I144)</f>
        <v>46.131118260729544</v>
      </c>
      <c r="J212" s="165">
        <f>IF(Year="",,'Analysis - No risk'!J143+'Analysis - No risk'!J144)</f>
        <v>49.350805258913269</v>
      </c>
      <c r="K212" s="165">
        <f>IF(Year="",,'Analysis - No risk'!K143+'Analysis - No risk'!K144)</f>
        <v>49.350805258913269</v>
      </c>
      <c r="L212" s="165">
        <f>IF(Year="",,'Analysis - No risk'!L143+'Analysis - No risk'!L144)</f>
        <v>49.350805258913269</v>
      </c>
      <c r="M212" s="165">
        <f>IF(Year="",,'Analysis - No risk'!M143+'Analysis - No risk'!M144)</f>
        <v>49.350805258913269</v>
      </c>
      <c r="N212" s="165">
        <f>IF(Year="",,'Analysis - No risk'!N143+'Analysis - No risk'!N144)</f>
        <v>49.350805258913269</v>
      </c>
      <c r="O212" s="165">
        <f>IF(Year="",,'Analysis - No risk'!O143+'Analysis - No risk'!O144)</f>
        <v>61.281669156207627</v>
      </c>
      <c r="P212" s="165">
        <f>IF(Year="",,'Analysis - No risk'!P143+'Analysis - No risk'!P144)</f>
        <v>61.281669156207627</v>
      </c>
      <c r="Q212" s="165">
        <f>IF(Year="",,'Analysis - No risk'!Q143+'Analysis - No risk'!Q144)</f>
        <v>61.281669156207627</v>
      </c>
      <c r="R212" s="165">
        <f>IF(Year="",,'Analysis - No risk'!R143+'Analysis - No risk'!R144)</f>
        <v>61.281669156207627</v>
      </c>
      <c r="S212" s="165">
        <f>IF(Year="",,'Analysis - No risk'!S143+'Analysis - No risk'!S144)</f>
        <v>61.281669156207627</v>
      </c>
      <c r="T212" s="165">
        <f>IF(Year="",,'Analysis - No risk'!T143+'Analysis - No risk'!T144)</f>
        <v>80.243221427968166</v>
      </c>
      <c r="U212" s="165">
        <f>IF(Year="",,'Analysis - No risk'!U143+'Analysis - No risk'!U144)</f>
        <v>80.243221427968166</v>
      </c>
      <c r="V212" s="165">
        <f>IF(Year="",,'Analysis - No risk'!V143+'Analysis - No risk'!V144)</f>
        <v>80.243221427968166</v>
      </c>
      <c r="W212" s="165">
        <f>IF(Year="",,'Analysis - No risk'!W143+'Analysis - No risk'!W144)</f>
        <v>80.243221427968166</v>
      </c>
      <c r="X212" s="165">
        <f>IF(Year="",,'Analysis - No risk'!X143+'Analysis - No risk'!X144)</f>
        <v>80.243221427968166</v>
      </c>
      <c r="Y212" s="165">
        <f>IF(Year="",,'Analysis - No risk'!Y143+'Analysis - No risk'!Y144)</f>
        <v>0</v>
      </c>
      <c r="Z212" s="165">
        <f>IF(Year="",,'Analysis - No risk'!Z143+'Analysis - No risk'!Z144)</f>
        <v>0</v>
      </c>
      <c r="AA212" s="165">
        <f>IF(Year="",,'Analysis - No risk'!AA143+'Analysis - No risk'!AA144)</f>
        <v>0</v>
      </c>
      <c r="AB212" s="165">
        <f>IF(Year="",,'Analysis - No risk'!AB143+'Analysis - No risk'!AB144)</f>
        <v>0</v>
      </c>
      <c r="AC212" s="165">
        <f>IF(Year="",,'Analysis - No risk'!AC143+'Analysis - No risk'!AC144)</f>
        <v>0</v>
      </c>
      <c r="AD212" s="165">
        <f>IF(Year="",,'Analysis - No risk'!AD143+'Analysis - No risk'!AD144)</f>
        <v>0</v>
      </c>
      <c r="AE212" s="165">
        <f>IF(Year="",,'Analysis - No risk'!AE143+'Analysis - No risk'!AE144)</f>
        <v>0</v>
      </c>
      <c r="AF212" s="165">
        <f>IF(Year="",,'Analysis - No risk'!AF143+'Analysis - No risk'!AF144)</f>
        <v>0</v>
      </c>
      <c r="AG212" s="165">
        <f>IF(Year="",,'Analysis - No risk'!AG143+'Analysis - No risk'!AG144)</f>
        <v>0</v>
      </c>
      <c r="AH212" s="165">
        <f>IF(Year="",,'Analysis - No risk'!AH143+'Analysis - No risk'!AH144)</f>
        <v>0</v>
      </c>
      <c r="AI212" s="165">
        <f>IF(Year="",,'Analysis - No risk'!AI143+'Analysis - No risk'!AI144)</f>
        <v>0</v>
      </c>
      <c r="AJ212" s="165">
        <f>IF(Year="",,'Analysis - No risk'!AJ143+'Analysis - No risk'!AJ144)</f>
        <v>0</v>
      </c>
      <c r="AK212" s="165">
        <f>IF(Year="",,'Analysis - No risk'!AK143+'Analysis - No risk'!AK144)</f>
        <v>0</v>
      </c>
      <c r="AL212" s="165">
        <f>IF(Year="",,'Analysis - No risk'!AL143+'Analysis - No risk'!AL144)</f>
        <v>0</v>
      </c>
      <c r="AM212" s="165">
        <f>IF(Year="",,'Analysis - No risk'!AM143+'Analysis - No risk'!AM144)</f>
        <v>0</v>
      </c>
      <c r="AN212" s="165">
        <f>IF(Year="",,'Analysis - No risk'!AN143+'Analysis - No risk'!AN144)</f>
        <v>0</v>
      </c>
      <c r="AO212" s="165">
        <f>IF(Year="",,'Analysis - No risk'!AO143+'Analysis - No risk'!AO144)</f>
        <v>0</v>
      </c>
      <c r="AP212" s="165">
        <f>IF(Year="",,'Analysis - No risk'!AP143+'Analysis - No risk'!AP144)</f>
        <v>0</v>
      </c>
      <c r="AQ212" s="165">
        <f>IF(Year="",,'Analysis - No risk'!AQ143+'Analysis - No risk'!AQ144)</f>
        <v>0</v>
      </c>
      <c r="AR212" s="166">
        <f>IF(Year="",,'Analysis - No risk'!AR143+'Analysis - No risk'!AR144)</f>
        <v>0</v>
      </c>
    </row>
    <row r="213" spans="1:52" s="13" customFormat="1">
      <c r="C213" s="13" t="s">
        <v>179</v>
      </c>
      <c r="D213" s="150">
        <f>ExistTariff_Connected</f>
        <v>30</v>
      </c>
      <c r="E213" s="151">
        <f t="shared" ref="E213:AR213" si="111">IF(Year="",,E144+E145)</f>
        <v>46.131118260729536</v>
      </c>
      <c r="F213" s="151">
        <f t="shared" si="111"/>
        <v>46.131118260729536</v>
      </c>
      <c r="G213" s="151">
        <f t="shared" si="111"/>
        <v>46.131118260729536</v>
      </c>
      <c r="H213" s="151">
        <f t="shared" si="111"/>
        <v>46.131118260729536</v>
      </c>
      <c r="I213" s="151">
        <f t="shared" si="111"/>
        <v>46.131118260729536</v>
      </c>
      <c r="J213" s="151">
        <f t="shared" ca="1" si="111"/>
        <v>46.899596383314126</v>
      </c>
      <c r="K213" s="151">
        <f t="shared" ca="1" si="111"/>
        <v>46.899596383314126</v>
      </c>
      <c r="L213" s="151">
        <f t="shared" ca="1" si="111"/>
        <v>46.899596383314126</v>
      </c>
      <c r="M213" s="151">
        <f t="shared" ca="1" si="111"/>
        <v>46.899596383314126</v>
      </c>
      <c r="N213" s="151">
        <f t="shared" ca="1" si="111"/>
        <v>46.899596383314126</v>
      </c>
      <c r="O213" s="151">
        <f t="shared" ca="1" si="111"/>
        <v>58.609933113267239</v>
      </c>
      <c r="P213" s="151">
        <f t="shared" ca="1" si="111"/>
        <v>58.609933113267239</v>
      </c>
      <c r="Q213" s="151">
        <f t="shared" ca="1" si="111"/>
        <v>58.609933113267239</v>
      </c>
      <c r="R213" s="151">
        <f t="shared" ca="1" si="111"/>
        <v>58.609933113267239</v>
      </c>
      <c r="S213" s="151">
        <f t="shared" ca="1" si="111"/>
        <v>58.609933113267239</v>
      </c>
      <c r="T213" s="151">
        <f t="shared" ca="1" si="111"/>
        <v>75.717451654949429</v>
      </c>
      <c r="U213" s="151">
        <f t="shared" ca="1" si="111"/>
        <v>75.717451654949429</v>
      </c>
      <c r="V213" s="151">
        <f t="shared" ca="1" si="111"/>
        <v>75.717451654949429</v>
      </c>
      <c r="W213" s="151">
        <f t="shared" ca="1" si="111"/>
        <v>75.717451654949429</v>
      </c>
      <c r="X213" s="151">
        <f t="shared" ca="1" si="111"/>
        <v>75.717451654949429</v>
      </c>
      <c r="Y213" s="151">
        <f t="shared" si="111"/>
        <v>0</v>
      </c>
      <c r="Z213" s="151">
        <f t="shared" si="111"/>
        <v>0</v>
      </c>
      <c r="AA213" s="151">
        <f t="shared" si="111"/>
        <v>0</v>
      </c>
      <c r="AB213" s="151">
        <f t="shared" si="111"/>
        <v>0</v>
      </c>
      <c r="AC213" s="151">
        <f t="shared" si="111"/>
        <v>0</v>
      </c>
      <c r="AD213" s="151">
        <f t="shared" si="111"/>
        <v>0</v>
      </c>
      <c r="AE213" s="151">
        <f t="shared" si="111"/>
        <v>0</v>
      </c>
      <c r="AF213" s="151">
        <f t="shared" si="111"/>
        <v>0</v>
      </c>
      <c r="AG213" s="151">
        <f t="shared" si="111"/>
        <v>0</v>
      </c>
      <c r="AH213" s="151">
        <f t="shared" si="111"/>
        <v>0</v>
      </c>
      <c r="AI213" s="151">
        <f t="shared" si="111"/>
        <v>0</v>
      </c>
      <c r="AJ213" s="151">
        <f t="shared" si="111"/>
        <v>0</v>
      </c>
      <c r="AK213" s="151">
        <f t="shared" si="111"/>
        <v>0</v>
      </c>
      <c r="AL213" s="151">
        <f t="shared" si="111"/>
        <v>0</v>
      </c>
      <c r="AM213" s="151">
        <f t="shared" si="111"/>
        <v>0</v>
      </c>
      <c r="AN213" s="151">
        <f t="shared" si="111"/>
        <v>0</v>
      </c>
      <c r="AO213" s="151">
        <f t="shared" si="111"/>
        <v>0</v>
      </c>
      <c r="AP213" s="151">
        <f t="shared" si="111"/>
        <v>0</v>
      </c>
      <c r="AQ213" s="151">
        <f t="shared" si="111"/>
        <v>0</v>
      </c>
      <c r="AR213" s="152">
        <f t="shared" si="111"/>
        <v>0</v>
      </c>
    </row>
    <row r="214" spans="1:52" s="3" customFormat="1">
      <c r="E214" s="109"/>
      <c r="F214" s="109"/>
      <c r="G214" s="109"/>
      <c r="H214" s="109"/>
      <c r="I214" s="109"/>
      <c r="J214" s="109"/>
      <c r="K214" s="109"/>
      <c r="L214" s="109"/>
      <c r="M214" s="109"/>
      <c r="N214" s="109"/>
      <c r="O214" s="109"/>
      <c r="P214" s="109"/>
      <c r="Q214" s="109"/>
      <c r="R214" s="109"/>
      <c r="S214" s="109"/>
    </row>
    <row r="215" spans="1:52" s="45" customFormat="1">
      <c r="B215" s="4" t="s">
        <v>180</v>
      </c>
      <c r="C215" s="12"/>
      <c r="D215" s="272">
        <f>MIN(Year)</f>
        <v>0</v>
      </c>
      <c r="E215" s="272">
        <f t="shared" ref="E215:AR215" si="112">IF(D215="","",IF(D215+1&gt;Contract_Length,"",D215+1))</f>
        <v>1</v>
      </c>
      <c r="F215" s="272">
        <f t="shared" si="112"/>
        <v>2</v>
      </c>
      <c r="G215" s="272">
        <f t="shared" si="112"/>
        <v>3</v>
      </c>
      <c r="H215" s="272">
        <f t="shared" si="112"/>
        <v>4</v>
      </c>
      <c r="I215" s="272">
        <f t="shared" si="112"/>
        <v>5</v>
      </c>
      <c r="J215" s="272">
        <f t="shared" si="112"/>
        <v>6</v>
      </c>
      <c r="K215" s="272">
        <f t="shared" si="112"/>
        <v>7</v>
      </c>
      <c r="L215" s="272">
        <f t="shared" si="112"/>
        <v>8</v>
      </c>
      <c r="M215" s="272">
        <f t="shared" si="112"/>
        <v>9</v>
      </c>
      <c r="N215" s="272">
        <f t="shared" si="112"/>
        <v>10</v>
      </c>
      <c r="O215" s="272">
        <f t="shared" si="112"/>
        <v>11</v>
      </c>
      <c r="P215" s="272">
        <f t="shared" si="112"/>
        <v>12</v>
      </c>
      <c r="Q215" s="272">
        <f t="shared" si="112"/>
        <v>13</v>
      </c>
      <c r="R215" s="272">
        <f t="shared" si="112"/>
        <v>14</v>
      </c>
      <c r="S215" s="272">
        <f t="shared" si="112"/>
        <v>15</v>
      </c>
      <c r="T215" s="272">
        <f t="shared" si="112"/>
        <v>16</v>
      </c>
      <c r="U215" s="272">
        <f t="shared" si="112"/>
        <v>17</v>
      </c>
      <c r="V215" s="272">
        <f t="shared" si="112"/>
        <v>18</v>
      </c>
      <c r="W215" s="272">
        <f t="shared" si="112"/>
        <v>19</v>
      </c>
      <c r="X215" s="272">
        <f t="shared" si="112"/>
        <v>20</v>
      </c>
      <c r="Y215" s="272" t="str">
        <f t="shared" si="112"/>
        <v/>
      </c>
      <c r="Z215" s="272" t="str">
        <f t="shared" si="112"/>
        <v/>
      </c>
      <c r="AA215" s="272" t="str">
        <f t="shared" si="112"/>
        <v/>
      </c>
      <c r="AB215" s="272" t="str">
        <f t="shared" si="112"/>
        <v/>
      </c>
      <c r="AC215" s="272" t="str">
        <f t="shared" si="112"/>
        <v/>
      </c>
      <c r="AD215" s="272" t="str">
        <f t="shared" si="112"/>
        <v/>
      </c>
      <c r="AE215" s="272" t="str">
        <f t="shared" si="112"/>
        <v/>
      </c>
      <c r="AF215" s="272" t="str">
        <f t="shared" si="112"/>
        <v/>
      </c>
      <c r="AG215" s="272" t="str">
        <f t="shared" si="112"/>
        <v/>
      </c>
      <c r="AH215" s="272" t="str">
        <f t="shared" si="112"/>
        <v/>
      </c>
      <c r="AI215" s="272" t="str">
        <f t="shared" si="112"/>
        <v/>
      </c>
      <c r="AJ215" s="272" t="str">
        <f t="shared" si="112"/>
        <v/>
      </c>
      <c r="AK215" s="272" t="str">
        <f t="shared" si="112"/>
        <v/>
      </c>
      <c r="AL215" s="272" t="str">
        <f t="shared" si="112"/>
        <v/>
      </c>
      <c r="AM215" s="272" t="str">
        <f t="shared" si="112"/>
        <v/>
      </c>
      <c r="AN215" s="272" t="str">
        <f t="shared" si="112"/>
        <v/>
      </c>
      <c r="AO215" s="272" t="str">
        <f t="shared" si="112"/>
        <v/>
      </c>
      <c r="AP215" s="272" t="str">
        <f t="shared" si="112"/>
        <v/>
      </c>
      <c r="AQ215" s="272" t="str">
        <f t="shared" si="112"/>
        <v/>
      </c>
      <c r="AR215" s="272" t="str">
        <f t="shared" si="112"/>
        <v/>
      </c>
    </row>
    <row r="216" spans="1:52" s="13" customFormat="1">
      <c r="C216" s="13" t="s">
        <v>181</v>
      </c>
      <c r="D216" s="219">
        <f t="shared" ref="D216:AR216" si="113">ServTarget_FC*100</f>
        <v>50</v>
      </c>
      <c r="E216" s="252">
        <f t="shared" si="113"/>
        <v>50.549347131529657</v>
      </c>
      <c r="F216" s="252">
        <f t="shared" si="113"/>
        <v>51.46561153756781</v>
      </c>
      <c r="G216" s="252">
        <f t="shared" si="113"/>
        <v>53.792909001062171</v>
      </c>
      <c r="H216" s="252">
        <f t="shared" si="113"/>
        <v>59.121276190317815</v>
      </c>
      <c r="I216" s="252">
        <f t="shared" si="113"/>
        <v>68.877033439907279</v>
      </c>
      <c r="J216" s="252">
        <f t="shared" si="113"/>
        <v>81.122966560092721</v>
      </c>
      <c r="K216" s="252">
        <f t="shared" si="113"/>
        <v>90.878723809682185</v>
      </c>
      <c r="L216" s="252">
        <f t="shared" si="113"/>
        <v>96.207090998937829</v>
      </c>
      <c r="M216" s="252">
        <f t="shared" si="113"/>
        <v>98.53438846243219</v>
      </c>
      <c r="N216" s="252">
        <f t="shared" si="113"/>
        <v>100</v>
      </c>
      <c r="O216" s="252">
        <f t="shared" si="113"/>
        <v>100</v>
      </c>
      <c r="P216" s="252">
        <f t="shared" si="113"/>
        <v>100</v>
      </c>
      <c r="Q216" s="252">
        <f t="shared" si="113"/>
        <v>100</v>
      </c>
      <c r="R216" s="252">
        <f t="shared" si="113"/>
        <v>100</v>
      </c>
      <c r="S216" s="252">
        <f t="shared" si="113"/>
        <v>100</v>
      </c>
      <c r="T216" s="252">
        <f t="shared" si="113"/>
        <v>100</v>
      </c>
      <c r="U216" s="252">
        <f t="shared" si="113"/>
        <v>100</v>
      </c>
      <c r="V216" s="252">
        <f t="shared" si="113"/>
        <v>100</v>
      </c>
      <c r="W216" s="252">
        <f t="shared" si="113"/>
        <v>100</v>
      </c>
      <c r="X216" s="252">
        <f t="shared" si="113"/>
        <v>100</v>
      </c>
      <c r="Y216" s="252">
        <f t="shared" si="113"/>
        <v>100</v>
      </c>
      <c r="Z216" s="252">
        <f t="shared" si="113"/>
        <v>100</v>
      </c>
      <c r="AA216" s="252">
        <f t="shared" si="113"/>
        <v>100</v>
      </c>
      <c r="AB216" s="252">
        <f t="shared" si="113"/>
        <v>100</v>
      </c>
      <c r="AC216" s="252">
        <f t="shared" si="113"/>
        <v>100</v>
      </c>
      <c r="AD216" s="252">
        <f t="shared" si="113"/>
        <v>100</v>
      </c>
      <c r="AE216" s="252">
        <f t="shared" si="113"/>
        <v>100</v>
      </c>
      <c r="AF216" s="252">
        <f t="shared" si="113"/>
        <v>100</v>
      </c>
      <c r="AG216" s="252">
        <f t="shared" si="113"/>
        <v>100</v>
      </c>
      <c r="AH216" s="252">
        <f t="shared" si="113"/>
        <v>100</v>
      </c>
      <c r="AI216" s="252">
        <f t="shared" si="113"/>
        <v>100</v>
      </c>
      <c r="AJ216" s="252">
        <f t="shared" si="113"/>
        <v>100</v>
      </c>
      <c r="AK216" s="252">
        <f t="shared" si="113"/>
        <v>100</v>
      </c>
      <c r="AL216" s="252">
        <f t="shared" si="113"/>
        <v>100</v>
      </c>
      <c r="AM216" s="252">
        <f t="shared" si="113"/>
        <v>100</v>
      </c>
      <c r="AN216" s="252">
        <f t="shared" si="113"/>
        <v>100</v>
      </c>
      <c r="AO216" s="252">
        <f t="shared" si="113"/>
        <v>100</v>
      </c>
      <c r="AP216" s="252">
        <f t="shared" si="113"/>
        <v>100</v>
      </c>
      <c r="AQ216" s="252">
        <f t="shared" si="113"/>
        <v>100</v>
      </c>
      <c r="AR216" s="253">
        <f t="shared" si="113"/>
        <v>100</v>
      </c>
    </row>
    <row r="217" spans="1:52" s="3" customFormat="1">
      <c r="E217" s="109"/>
      <c r="F217" s="109"/>
      <c r="G217" s="109"/>
      <c r="H217" s="109"/>
      <c r="I217" s="109"/>
      <c r="J217" s="109"/>
      <c r="K217" s="109"/>
      <c r="L217" s="109"/>
      <c r="M217" s="109"/>
      <c r="N217" s="109"/>
      <c r="O217" s="109"/>
      <c r="P217" s="109"/>
      <c r="Q217" s="109"/>
      <c r="R217" s="109"/>
      <c r="S217" s="109"/>
    </row>
    <row r="218" spans="1:52" s="45" customFormat="1">
      <c r="B218" s="4" t="str">
        <f>"Change in social welfare (" &amp; ServTarget*100 &amp; "% coverage target over " &amp; ServTarget_Year &amp; " years)"</f>
        <v>Change in social welfare (100% coverage target over 10 years)</v>
      </c>
      <c r="C218" s="3"/>
      <c r="D218" s="275" t="str">
        <f xml:space="preserve"> "Currently connected (" &amp; 'Other assumptions'!D15*100 &amp; "%)"</f>
        <v>Currently connected (50%)</v>
      </c>
      <c r="E218" s="275" t="s">
        <v>182</v>
      </c>
      <c r="F218" s="276" t="s">
        <v>183</v>
      </c>
      <c r="G218" s="109"/>
      <c r="H218" s="277"/>
      <c r="I218" s="272"/>
      <c r="J218" s="272"/>
      <c r="K218" s="272"/>
      <c r="L218" s="272"/>
      <c r="M218" s="272"/>
      <c r="N218" s="272"/>
      <c r="O218" s="272"/>
      <c r="P218" s="272"/>
      <c r="Q218" s="272"/>
      <c r="R218" s="272"/>
      <c r="S218" s="272"/>
      <c r="T218" s="272"/>
      <c r="U218" s="272"/>
      <c r="V218" s="272"/>
      <c r="W218" s="272"/>
      <c r="X218" s="272"/>
      <c r="Y218" s="272"/>
      <c r="Z218" s="272"/>
      <c r="AA218" s="272"/>
      <c r="AB218" s="272"/>
      <c r="AC218" s="272"/>
      <c r="AD218" s="272"/>
      <c r="AE218" s="272"/>
      <c r="AF218" s="272"/>
      <c r="AG218" s="272"/>
      <c r="AH218" s="272"/>
      <c r="AI218" s="272"/>
      <c r="AJ218" s="272"/>
      <c r="AK218" s="272"/>
      <c r="AL218" s="272"/>
      <c r="AM218" s="272"/>
      <c r="AN218" s="272"/>
      <c r="AO218" s="272"/>
      <c r="AP218" s="272"/>
      <c r="AQ218" s="272"/>
      <c r="AR218" s="272"/>
      <c r="AS218" s="92"/>
      <c r="AT218" s="92"/>
      <c r="AU218" s="92"/>
      <c r="AV218" s="92"/>
      <c r="AW218" s="92"/>
      <c r="AX218" s="92"/>
      <c r="AY218" s="92"/>
      <c r="AZ218" s="92"/>
    </row>
    <row r="219" spans="1:52" s="13" customFormat="1">
      <c r="A219" s="192" t="str">
        <f>MonDenomination &amp; " of pesos"</f>
        <v>Millions of pesos</v>
      </c>
      <c r="C219" s="138" t="s">
        <v>184</v>
      </c>
      <c r="D219" s="219">
        <f>SUM('Analysis - No risk'!$209:$209)</f>
        <v>-1195.732375202477</v>
      </c>
      <c r="E219" s="252">
        <f>SUM('Analysis - No risk'!210:210)</f>
        <v>1699.6974765374136</v>
      </c>
      <c r="F219" s="253">
        <f>SUM(D219:E219)</f>
        <v>503.96510133493666</v>
      </c>
      <c r="G219" s="109"/>
      <c r="H219" s="73"/>
      <c r="I219" s="73"/>
      <c r="J219" s="73"/>
      <c r="K219" s="73"/>
      <c r="L219" s="73"/>
      <c r="M219" s="73"/>
      <c r="N219" s="73"/>
      <c r="O219" s="73"/>
      <c r="P219" s="73"/>
      <c r="Q219" s="73"/>
      <c r="R219" s="73"/>
      <c r="S219" s="73"/>
      <c r="T219" s="73"/>
      <c r="U219" s="73"/>
      <c r="V219" s="73"/>
      <c r="W219" s="73"/>
      <c r="X219" s="73"/>
      <c r="Y219" s="73"/>
      <c r="Z219" s="73"/>
      <c r="AA219" s="73"/>
      <c r="AB219" s="73"/>
      <c r="AC219" s="73"/>
      <c r="AD219" s="73"/>
      <c r="AE219" s="73"/>
      <c r="AF219" s="73"/>
      <c r="AG219" s="73"/>
      <c r="AH219" s="73"/>
      <c r="AI219" s="73"/>
      <c r="AJ219" s="73"/>
      <c r="AK219" s="73"/>
      <c r="AL219" s="73"/>
      <c r="AM219" s="73"/>
      <c r="AN219" s="73"/>
      <c r="AO219" s="73"/>
      <c r="AP219" s="73"/>
      <c r="AQ219" s="73"/>
      <c r="AR219" s="73"/>
      <c r="AS219" s="73"/>
      <c r="AT219" s="73"/>
      <c r="AU219" s="73"/>
      <c r="AV219" s="73"/>
      <c r="AW219" s="73"/>
      <c r="AX219" s="73"/>
      <c r="AY219" s="73"/>
      <c r="AZ219" s="73"/>
    </row>
    <row r="220" spans="1:52" s="278" customFormat="1" ht="6" customHeight="1">
      <c r="A220" s="98"/>
      <c r="B220" s="98"/>
      <c r="C220" s="98"/>
      <c r="D220" s="278">
        <f>IF('Policy choices'!Y8='Policy choices'!Y9,"",'Policy choices'!Y9)</f>
        <v>-120</v>
      </c>
      <c r="E220" s="278">
        <f>IF(D220="","",IF(D220+('Policy choices'!$Y$8-'Policy choices'!$Y$9)/Contract_Length&gt;'Policy choices'!$Y$8,"",D220+('Policy choices'!$Y$8-'Policy choices'!$Y$9)/Contract_Length))</f>
        <v>-109.5</v>
      </c>
      <c r="F220" s="278">
        <f>IF(E220="","",IF(E220+('Policy choices'!$Y$8-'Policy choices'!$Y$9)/Contract_Length&gt;'Policy choices'!$Y$8,"",E220+('Policy choices'!$Y$8-'Policy choices'!$Y$9)/Contract_Length))</f>
        <v>-99</v>
      </c>
      <c r="G220" s="278">
        <f>IF(F220="","",IF(F220+('Policy choices'!$Y$8-'Policy choices'!$Y$9)/Contract_Length&gt;'Policy choices'!$Y$8,"",F220+('Policy choices'!$Y$8-'Policy choices'!$Y$9)/Contract_Length))</f>
        <v>-88.5</v>
      </c>
      <c r="H220" s="278">
        <f>IF(G220="","",IF(G220+('Policy choices'!$Y$8-'Policy choices'!$Y$9)/Contract_Length&gt;'Policy choices'!$Y$8,"",G220+('Policy choices'!$Y$8-'Policy choices'!$Y$9)/Contract_Length))</f>
        <v>-78</v>
      </c>
      <c r="I220" s="278">
        <f>IF(H220="","",IF(H220+('Policy choices'!$Y$8-'Policy choices'!$Y$9)/Contract_Length&gt;'Policy choices'!$Y$8,"",H220+('Policy choices'!$Y$8-'Policy choices'!$Y$9)/Contract_Length))</f>
        <v>-67.5</v>
      </c>
      <c r="J220" s="278">
        <f>IF(I220="","",IF(I220+('Policy choices'!$Y$8-'Policy choices'!$Y$9)/Contract_Length&gt;'Policy choices'!$Y$8,"",I220+('Policy choices'!$Y$8-'Policy choices'!$Y$9)/Contract_Length))</f>
        <v>-57</v>
      </c>
      <c r="K220" s="278">
        <f>IF(J220="","",IF(J220+('Policy choices'!$Y$8-'Policy choices'!$Y$9)/Contract_Length&gt;'Policy choices'!$Y$8,"",J220+('Policy choices'!$Y$8-'Policy choices'!$Y$9)/Contract_Length))</f>
        <v>-46.5</v>
      </c>
      <c r="L220" s="278">
        <f>IF(K220="","",IF(K220+('Policy choices'!$Y$8-'Policy choices'!$Y$9)/Contract_Length&gt;'Policy choices'!$Y$8,"",K220+('Policy choices'!$Y$8-'Policy choices'!$Y$9)/Contract_Length))</f>
        <v>-36</v>
      </c>
      <c r="M220" s="278">
        <f>IF(L220="","",IF(L220+('Policy choices'!$Y$8-'Policy choices'!$Y$9)/Contract_Length&gt;'Policy choices'!$Y$8,"",L220+('Policy choices'!$Y$8-'Policy choices'!$Y$9)/Contract_Length))</f>
        <v>-25.5</v>
      </c>
      <c r="N220" s="278">
        <f>IF(M220="","",IF(M220+('Policy choices'!$Y$8-'Policy choices'!$Y$9)/Contract_Length&gt;'Policy choices'!$Y$8,"",M220+('Policy choices'!$Y$8-'Policy choices'!$Y$9)/Contract_Length))</f>
        <v>-15</v>
      </c>
      <c r="O220" s="278">
        <f>IF(N220="","",IF(N220+('Policy choices'!$Y$8-'Policy choices'!$Y$9)/Contract_Length&gt;'Policy choices'!$Y$8,"",N220+('Policy choices'!$Y$8-'Policy choices'!$Y$9)/Contract_Length))</f>
        <v>-4.5</v>
      </c>
      <c r="P220" s="278">
        <f>IF(O220="","",IF(O220+('Policy choices'!$Y$8-'Policy choices'!$Y$9)/Contract_Length&gt;'Policy choices'!$Y$8,"",O220+('Policy choices'!$Y$8-'Policy choices'!$Y$9)/Contract_Length))</f>
        <v>6</v>
      </c>
      <c r="Q220" s="278">
        <f>IF(P220="","",IF(P220+('Policy choices'!$Y$8-'Policy choices'!$Y$9)/Contract_Length&gt;'Policy choices'!$Y$8,"",P220+('Policy choices'!$Y$8-'Policy choices'!$Y$9)/Contract_Length))</f>
        <v>16.5</v>
      </c>
      <c r="R220" s="278">
        <f>IF(Q220="","",IF(Q220+('Policy choices'!$Y$8-'Policy choices'!$Y$9)/Contract_Length&gt;'Policy choices'!$Y$8,"",Q220+('Policy choices'!$Y$8-'Policy choices'!$Y$9)/Contract_Length))</f>
        <v>27</v>
      </c>
      <c r="S220" s="278">
        <f>IF(R220="","",IF(R220+('Policy choices'!$Y$8-'Policy choices'!$Y$9)/Contract_Length&gt;'Policy choices'!$Y$8,"",R220+('Policy choices'!$Y$8-'Policy choices'!$Y$9)/Contract_Length))</f>
        <v>37.5</v>
      </c>
      <c r="T220" s="278">
        <f>IF(S220="","",IF(S220+('Policy choices'!$Y$8-'Policy choices'!$Y$9)/Contract_Length&gt;'Policy choices'!$Y$8,"",S220+('Policy choices'!$Y$8-'Policy choices'!$Y$9)/Contract_Length))</f>
        <v>48</v>
      </c>
      <c r="U220" s="278">
        <f>IF(T220="","",IF(T220+('Policy choices'!$Y$8-'Policy choices'!$Y$9)/Contract_Length&gt;'Policy choices'!$Y$8,"",T220+('Policy choices'!$Y$8-'Policy choices'!$Y$9)/Contract_Length))</f>
        <v>58.5</v>
      </c>
      <c r="V220" s="278">
        <f>IF(U220="","",IF(U220+('Policy choices'!$Y$8-'Policy choices'!$Y$9)/Contract_Length&gt;'Policy choices'!$Y$8,"",U220+('Policy choices'!$Y$8-'Policy choices'!$Y$9)/Contract_Length))</f>
        <v>69</v>
      </c>
      <c r="W220" s="278">
        <f>IF(V220="","",IF(V220+('Policy choices'!$Y$8-'Policy choices'!$Y$9)/Contract_Length&gt;'Policy choices'!$Y$8,"",V220+('Policy choices'!$Y$8-'Policy choices'!$Y$9)/Contract_Length))</f>
        <v>79.5</v>
      </c>
      <c r="X220" s="278">
        <f>IF(W220="","",IF(W220+('Policy choices'!$Y$8-'Policy choices'!$Y$9)/Contract_Length&gt;'Policy choices'!$Y$8,"",W220+('Policy choices'!$Y$8-'Policy choices'!$Y$9)/Contract_Length))</f>
        <v>90</v>
      </c>
      <c r="Y220" s="278" t="str">
        <f>IF(X220="","",IF(X220+('Policy choices'!$Y$8-'Policy choices'!$Y$9)/Contract_Length&gt;'Policy choices'!$Y$8,"",X220+('Policy choices'!$Y$8-'Policy choices'!$Y$9)/Contract_Length))</f>
        <v/>
      </c>
      <c r="Z220" s="278" t="str">
        <f>IF(Y220="","",IF(Y220+('Policy choices'!$Y$8-'Policy choices'!$Y$9)/Contract_Length&gt;'Policy choices'!$Y$8,"",Y220+('Policy choices'!$Y$8-'Policy choices'!$Y$9)/Contract_Length))</f>
        <v/>
      </c>
      <c r="AA220" s="278" t="str">
        <f>IF(Z220="","",IF(Z220+('Policy choices'!$Y$8-'Policy choices'!$Y$9)/Contract_Length&gt;'Policy choices'!$Y$8,"",Z220+('Policy choices'!$Y$8-'Policy choices'!$Y$9)/Contract_Length))</f>
        <v/>
      </c>
      <c r="AB220" s="278" t="str">
        <f>IF(AA220="","",IF(AA220+('Policy choices'!$Y$8-'Policy choices'!$Y$9)/Contract_Length&gt;'Policy choices'!$Y$8,"",AA220+('Policy choices'!$Y$8-'Policy choices'!$Y$9)/Contract_Length))</f>
        <v/>
      </c>
      <c r="AC220" s="278" t="str">
        <f>IF(AB220="","",IF(AB220+('Policy choices'!$Y$8-'Policy choices'!$Y$9)/Contract_Length&gt;'Policy choices'!$Y$8,"",AB220+('Policy choices'!$Y$8-'Policy choices'!$Y$9)/Contract_Length))</f>
        <v/>
      </c>
      <c r="AD220" s="278" t="str">
        <f>IF(AC220="","",IF(AC220+('Policy choices'!$Y$8-'Policy choices'!$Y$9)/Contract_Length&gt;'Policy choices'!$Y$8,"",AC220+('Policy choices'!$Y$8-'Policy choices'!$Y$9)/Contract_Length))</f>
        <v/>
      </c>
      <c r="AE220" s="278" t="str">
        <f>IF(AD220="","",IF(AD220+('Policy choices'!$Y$8-'Policy choices'!$Y$9)/Contract_Length&gt;'Policy choices'!$Y$8,"",AD220+('Policy choices'!$Y$8-'Policy choices'!$Y$9)/Contract_Length))</f>
        <v/>
      </c>
      <c r="AF220" s="278" t="str">
        <f>IF(AE220="","",IF(AE220+('Policy choices'!$Y$8-'Policy choices'!$Y$9)/Contract_Length&gt;'Policy choices'!$Y$8,"",AE220+('Policy choices'!$Y$8-'Policy choices'!$Y$9)/Contract_Length))</f>
        <v/>
      </c>
      <c r="AG220" s="278" t="str">
        <f>IF(AF220="","",IF(AF220+('Policy choices'!$Y$8-'Policy choices'!$Y$9)/Contract_Length&gt;'Policy choices'!$Y$8,"",AF220+('Policy choices'!$Y$8-'Policy choices'!$Y$9)/Contract_Length))</f>
        <v/>
      </c>
      <c r="AH220" s="278" t="str">
        <f>IF(AG220="","",IF(AG220+('Policy choices'!$Y$8-'Policy choices'!$Y$9)/Contract_Length&gt;'Policy choices'!$Y$8,"",AG220+('Policy choices'!$Y$8-'Policy choices'!$Y$9)/Contract_Length))</f>
        <v/>
      </c>
      <c r="AI220" s="278" t="str">
        <f>IF(AH220="","",IF(AH220+('Policy choices'!$Y$8-'Policy choices'!$Y$9)/Contract_Length&gt;'Policy choices'!$Y$8,"",AH220+('Policy choices'!$Y$8-'Policy choices'!$Y$9)/Contract_Length))</f>
        <v/>
      </c>
      <c r="AJ220" s="278" t="str">
        <f>IF(AI220="","",IF(AI220+('Policy choices'!$Y$8-'Policy choices'!$Y$9)/Contract_Length&gt;'Policy choices'!$Y$8,"",AI220+('Policy choices'!$Y$8-'Policy choices'!$Y$9)/Contract_Length))</f>
        <v/>
      </c>
      <c r="AK220" s="278" t="str">
        <f>IF(AJ220="","",IF(AJ220+('Policy choices'!$Y$8-'Policy choices'!$Y$9)/Contract_Length&gt;'Policy choices'!$Y$8,"",AJ220+('Policy choices'!$Y$8-'Policy choices'!$Y$9)/Contract_Length))</f>
        <v/>
      </c>
      <c r="AL220" s="278" t="str">
        <f>IF(AK220="","",IF(AK220+('Policy choices'!$Y$8-'Policy choices'!$Y$9)/Contract_Length&gt;'Policy choices'!$Y$8,"",AK220+('Policy choices'!$Y$8-'Policy choices'!$Y$9)/Contract_Length))</f>
        <v/>
      </c>
      <c r="AM220" s="278" t="str">
        <f>IF(AL220="","",IF(AL220+('Policy choices'!$Y$8-'Policy choices'!$Y$9)/Contract_Length&gt;'Policy choices'!$Y$8,"",AL220+('Policy choices'!$Y$8-'Policy choices'!$Y$9)/Contract_Length))</f>
        <v/>
      </c>
      <c r="AN220" s="278" t="str">
        <f>IF(AM220="","",IF(AM220+('Policy choices'!$Y$8-'Policy choices'!$Y$9)/Contract_Length&gt;'Policy choices'!$Y$8,"",AM220+('Policy choices'!$Y$8-'Policy choices'!$Y$9)/Contract_Length))</f>
        <v/>
      </c>
      <c r="AO220" s="278" t="str">
        <f>IF(AN220="","",IF(AN220+('Policy choices'!$Y$8-'Policy choices'!$Y$9)/Contract_Length&gt;'Policy choices'!$Y$8,"",AN220+('Policy choices'!$Y$8-'Policy choices'!$Y$9)/Contract_Length))</f>
        <v/>
      </c>
      <c r="AP220" s="278" t="str">
        <f>IF(AO220="","",IF(AO220+('Policy choices'!$Y$8-'Policy choices'!$Y$9)/Contract_Length&gt;'Policy choices'!$Y$8,"",AO220+('Policy choices'!$Y$8-'Policy choices'!$Y$9)/Contract_Length))</f>
        <v/>
      </c>
      <c r="AQ220" s="278" t="str">
        <f>IF(AP220="","",IF(AP220+('Policy choices'!$Y$8-'Policy choices'!$Y$9)/Contract_Length&gt;'Policy choices'!$Y$8,"",AP220+('Policy choices'!$Y$8-'Policy choices'!$Y$9)/Contract_Length))</f>
        <v/>
      </c>
      <c r="AR220" s="278" t="str">
        <f>IF(AQ220="","",IF(AQ220+('Policy choices'!$Y$8-'Policy choices'!$Y$9)/Contract_Length&gt;'Policy choices'!$Y$8,"",AQ220+('Policy choices'!$Y$8-'Policy choices'!$Y$9)/Contract_Length))</f>
        <v/>
      </c>
      <c r="AS220" s="278" t="str">
        <f>IF(AR220="","",IF(AR220+('Policy choices'!$Y$8-'Policy choices'!$Y$9)/Contract_Length&gt;'Policy choices'!$Y$8,"",AR220+('Policy choices'!$Y$8-'Policy choices'!$Y$9)/Contract_Length))</f>
        <v/>
      </c>
    </row>
    <row r="221" spans="1:52" s="279" customFormat="1" ht="6" customHeight="1">
      <c r="B221" s="280"/>
      <c r="C221" s="280"/>
      <c r="D221" s="281">
        <f>IF(D220="","",D220)</f>
        <v>-120</v>
      </c>
      <c r="E221" s="281">
        <f>IF(E220="","",ROUND(E220,ABS(INT(LOG(ABS('Policy choices'!$Y$8),10))-INT(LOG(ABS('Policy choices'!$Y$9),10)))))</f>
        <v>-109.5</v>
      </c>
      <c r="F221" s="281">
        <f>IF(F220="","",ROUND(F220,ABS(INT(LOG(ABS('Policy choices'!$Y$8),10))-INT(LOG(ABS('Policy choices'!$Y$9),10)))))</f>
        <v>-99</v>
      </c>
      <c r="G221" s="281">
        <f>IF(G220="","",ROUND(G220,ABS(INT(LOG(ABS('Policy choices'!$Y$8),10))-INT(LOG(ABS('Policy choices'!$Y$9),10)))))</f>
        <v>-88.5</v>
      </c>
      <c r="H221" s="281">
        <f>IF(H220="","",ROUND(H220,ABS(INT(LOG(ABS('Policy choices'!$Y$8),10))-INT(LOG(ABS('Policy choices'!$Y$9),10)))))</f>
        <v>-78</v>
      </c>
      <c r="I221" s="281">
        <f>IF(I220="","",ROUND(I220,ABS(INT(LOG(ABS('Policy choices'!$Y$8),10))-INT(LOG(ABS('Policy choices'!$Y$9),10)))))</f>
        <v>-67.5</v>
      </c>
      <c r="J221" s="281">
        <f>IF(J220="","",ROUND(J220,ABS(INT(LOG(ABS('Policy choices'!$Y$8),10))-INT(LOG(ABS('Policy choices'!$Y$9),10)))))</f>
        <v>-57</v>
      </c>
      <c r="K221" s="281">
        <f>IF(K220="","",ROUND(K220,ABS(INT(LOG(ABS('Policy choices'!$Y$8),10))-INT(LOG(ABS('Policy choices'!$Y$9),10)))))</f>
        <v>-46.5</v>
      </c>
      <c r="L221" s="281">
        <f>IF(L220="","",ROUND(L220,ABS(INT(LOG(ABS('Policy choices'!$Y$8),10))-INT(LOG(ABS('Policy choices'!$Y$9),10)))))</f>
        <v>-36</v>
      </c>
      <c r="M221" s="281">
        <f>IF(M220="","",ROUND(M220,ABS(INT(LOG(ABS('Policy choices'!$Y$8),10))-INT(LOG(ABS('Policy choices'!$Y$9),10)))))</f>
        <v>-25.5</v>
      </c>
      <c r="N221" s="281">
        <f>IF(N220="","",ROUND(N220,ABS(INT(LOG(ABS('Policy choices'!$Y$8),10))-INT(LOG(ABS('Policy choices'!$Y$9),10)))))</f>
        <v>-15</v>
      </c>
      <c r="O221" s="281">
        <f>IF(O220="","",ROUND(O220,ABS(INT(LOG(ABS('Policy choices'!$Y$8),10))-INT(LOG(ABS('Policy choices'!$Y$9),10)))))</f>
        <v>-4.5</v>
      </c>
      <c r="P221" s="281">
        <f>IF(P220="","",ROUND(P220,ABS(INT(LOG(ABS('Policy choices'!$Y$8),10))-INT(LOG(ABS('Policy choices'!$Y$9),10)))))</f>
        <v>6</v>
      </c>
      <c r="Q221" s="281">
        <f>IF(Q220="","",ROUND(Q220,ABS(INT(LOG(ABS('Policy choices'!$Y$8),10))-INT(LOG(ABS('Policy choices'!$Y$9),10)))))</f>
        <v>16.5</v>
      </c>
      <c r="R221" s="281">
        <f>IF(R220="","",ROUND(R220,ABS(INT(LOG(ABS('Policy choices'!$Y$8),10))-INT(LOG(ABS('Policy choices'!$Y$9),10)))))</f>
        <v>27</v>
      </c>
      <c r="S221" s="281">
        <f>IF(S220="","",ROUND(S220,ABS(INT(LOG(ABS('Policy choices'!$Y$8),10))-INT(LOG(ABS('Policy choices'!$Y$9),10)))))</f>
        <v>37.5</v>
      </c>
      <c r="T221" s="281">
        <f>IF(T220="","",ROUND(T220,ABS(INT(LOG(ABS('Policy choices'!$Y$8),10))-INT(LOG(ABS('Policy choices'!$Y$9),10)))))</f>
        <v>48</v>
      </c>
      <c r="U221" s="281">
        <f>IF(U220="","",ROUND(U220,ABS(INT(LOG(ABS('Policy choices'!$Y$8),10))-INT(LOG(ABS('Policy choices'!$Y$9),10)))))</f>
        <v>58.5</v>
      </c>
      <c r="V221" s="281">
        <f>IF(V220="","",ROUND(V220,ABS(INT(LOG(ABS('Policy choices'!$Y$8),10))-INT(LOG(ABS('Policy choices'!$Y$9),10)))))</f>
        <v>69</v>
      </c>
      <c r="W221" s="281">
        <f>IF(W220="","",ROUND(W220,ABS(INT(LOG(ABS('Policy choices'!$Y$8),10))-INT(LOG(ABS('Policy choices'!$Y$9),10)))))</f>
        <v>79.5</v>
      </c>
      <c r="X221" s="281">
        <f>IF(X220="","",ROUND(X220,ABS(INT(LOG(ABS('Policy choices'!$Y$8),10))-INT(LOG(ABS('Policy choices'!$Y$9),10)))))</f>
        <v>90</v>
      </c>
      <c r="Y221" s="281" t="str">
        <f>IF(Y220="","",ROUND(Y220,ABS(INT(LOG(ABS('Policy choices'!$Y$8),10))-INT(LOG(ABS('Policy choices'!$Y$9),10)))))</f>
        <v/>
      </c>
      <c r="Z221" s="281" t="str">
        <f>IF(Z220="","",ROUND(Z220,ABS(INT(LOG(ABS('Policy choices'!$Y$8),10))-INT(LOG(ABS('Policy choices'!$Y$9),10)))))</f>
        <v/>
      </c>
      <c r="AA221" s="281" t="str">
        <f>IF(AA220="","",ROUND(AA220,ABS(INT(LOG(ABS('Policy choices'!$Y$8),10))-INT(LOG(ABS('Policy choices'!$Y$9),10)))))</f>
        <v/>
      </c>
      <c r="AB221" s="281" t="str">
        <f>IF(AB220="","",ROUND(AB220,ABS(INT(LOG(ABS('Policy choices'!$Y$8),10))-INT(LOG(ABS('Policy choices'!$Y$9),10)))))</f>
        <v/>
      </c>
      <c r="AC221" s="281" t="str">
        <f>IF(AC220="","",ROUND(AC220,ABS(INT(LOG(ABS('Policy choices'!$Y$8),10))-INT(LOG(ABS('Policy choices'!$Y$9),10)))))</f>
        <v/>
      </c>
      <c r="AD221" s="281" t="str">
        <f>IF(AD220="","",ROUND(AD220,ABS(INT(LOG(ABS('Policy choices'!$Y$8),10))-INT(LOG(ABS('Policy choices'!$Y$9),10)))))</f>
        <v/>
      </c>
      <c r="AE221" s="281" t="str">
        <f>IF(AE220="","",ROUND(AE220,ABS(INT(LOG(ABS('Policy choices'!$Y$8),10))-INT(LOG(ABS('Policy choices'!$Y$9),10)))))</f>
        <v/>
      </c>
      <c r="AF221" s="281" t="str">
        <f>IF(AF220="","",ROUND(AF220,ABS(INT(LOG(ABS('Policy choices'!$Y$8),10))-INT(LOG(ABS('Policy choices'!$Y$9),10)))))</f>
        <v/>
      </c>
      <c r="AG221" s="281" t="str">
        <f>IF(AG220="","",ROUND(AG220,ABS(INT(LOG(ABS('Policy choices'!$Y$8),10))-INT(LOG(ABS('Policy choices'!$Y$9),10)))))</f>
        <v/>
      </c>
      <c r="AH221" s="281" t="str">
        <f>IF(AH220="","",ROUND(AH220,ABS(INT(LOG(ABS('Policy choices'!$Y$8),10))-INT(LOG(ABS('Policy choices'!$Y$9),10)))))</f>
        <v/>
      </c>
      <c r="AI221" s="281" t="str">
        <f>IF(AI220="","",ROUND(AI220,ABS(INT(LOG(ABS('Policy choices'!$Y$8),10))-INT(LOG(ABS('Policy choices'!$Y$9),10)))))</f>
        <v/>
      </c>
      <c r="AJ221" s="281" t="str">
        <f>IF(AJ220="","",ROUND(AJ220,ABS(INT(LOG(ABS('Policy choices'!$Y$8),10))-INT(LOG(ABS('Policy choices'!$Y$9),10)))))</f>
        <v/>
      </c>
      <c r="AK221" s="281" t="str">
        <f>IF(AK220="","",ROUND(AK220,ABS(INT(LOG(ABS('Policy choices'!$Y$8),10))-INT(LOG(ABS('Policy choices'!$Y$9),10)))))</f>
        <v/>
      </c>
      <c r="AL221" s="281" t="str">
        <f>IF(AL220="","",ROUND(AL220,ABS(INT(LOG(ABS('Policy choices'!$Y$8),10))-INT(LOG(ABS('Policy choices'!$Y$9),10)))))</f>
        <v/>
      </c>
      <c r="AM221" s="281" t="str">
        <f>IF(AM220="","",ROUND(AM220,ABS(INT(LOG(ABS('Policy choices'!$Y$8),10))-INT(LOG(ABS('Policy choices'!$Y$9),10)))))</f>
        <v/>
      </c>
      <c r="AN221" s="281" t="str">
        <f>IF(AN220="","",ROUND(AN220,ABS(INT(LOG(ABS('Policy choices'!$Y$8),10))-INT(LOG(ABS('Policy choices'!$Y$9),10)))))</f>
        <v/>
      </c>
      <c r="AO221" s="281" t="str">
        <f>IF(AO220="","",ROUND(AO220,ABS(INT(LOG(ABS('Policy choices'!$Y$8),10))-INT(LOG(ABS('Policy choices'!$Y$9),10)))))</f>
        <v/>
      </c>
      <c r="AP221" s="281" t="str">
        <f>IF(AP220="","",ROUND(AP220,ABS(INT(LOG(ABS('Policy choices'!$Y$8),10))-INT(LOG(ABS('Policy choices'!$Y$9),10)))))</f>
        <v/>
      </c>
      <c r="AQ221" s="281" t="str">
        <f>IF(AQ220="","",ROUND(AQ220,ABS(INT(LOG(ABS('Policy choices'!$Y$8),10))-INT(LOG(ABS('Policy choices'!$Y$9),10)))))</f>
        <v/>
      </c>
      <c r="AR221" s="281" t="str">
        <f>IF(AR220="","",ROUND(AR220,ABS(INT(LOG(ABS('Policy choices'!$Y$8),10))-INT(LOG(ABS('Policy choices'!$Y$9),10)))))</f>
        <v/>
      </c>
      <c r="AS221" s="281" t="str">
        <f>IF(AS220="","",ROUND(AS220,ABS(INT(LOG(ABS('Policy choices'!$Y$8),10))-INT(LOG(ABS('Policy choices'!$Y$9),10)))))</f>
        <v/>
      </c>
    </row>
    <row r="222" spans="1:52" s="282" customFormat="1">
      <c r="B222" s="251" t="str">
        <f>"Present value operator cash flow based on "&amp; Tariff_Period &amp;" year reset period"</f>
        <v>Present value operator cash flow based on 5 year reset period</v>
      </c>
      <c r="C222" s="274"/>
      <c r="D222" s="283" t="str">
        <f>IF(D220="","","less than "&amp;D221)</f>
        <v>less than -120</v>
      </c>
      <c r="E222" s="284" t="str">
        <f t="shared" ref="E222:AS222" si="114">IF(COLUMN()&gt;Contract_Length+5,"",IF(COLUMN()=Contract_Length+5,IF(D220="","","more than "&amp;D221),IF(E220="","",D221&amp;" to "&amp;E221)))</f>
        <v>-120 to -109.5</v>
      </c>
      <c r="F222" s="284" t="str">
        <f t="shared" si="114"/>
        <v>-109.5 to -99</v>
      </c>
      <c r="G222" s="284" t="str">
        <f t="shared" si="114"/>
        <v>-99 to -88.5</v>
      </c>
      <c r="H222" s="284" t="str">
        <f t="shared" si="114"/>
        <v>-88.5 to -78</v>
      </c>
      <c r="I222" s="284" t="str">
        <f t="shared" si="114"/>
        <v>-78 to -67.5</v>
      </c>
      <c r="J222" s="284" t="str">
        <f t="shared" si="114"/>
        <v>-67.5 to -57</v>
      </c>
      <c r="K222" s="284" t="str">
        <f t="shared" si="114"/>
        <v>-57 to -46.5</v>
      </c>
      <c r="L222" s="284" t="str">
        <f t="shared" si="114"/>
        <v>-46.5 to -36</v>
      </c>
      <c r="M222" s="284" t="str">
        <f t="shared" si="114"/>
        <v>-36 to -25.5</v>
      </c>
      <c r="N222" s="284" t="str">
        <f t="shared" si="114"/>
        <v>-25.5 to -15</v>
      </c>
      <c r="O222" s="284" t="str">
        <f t="shared" si="114"/>
        <v>-15 to -4.5</v>
      </c>
      <c r="P222" s="284" t="str">
        <f t="shared" si="114"/>
        <v>-4.5 to 6</v>
      </c>
      <c r="Q222" s="284" t="str">
        <f t="shared" si="114"/>
        <v>6 to 16.5</v>
      </c>
      <c r="R222" s="284" t="str">
        <f t="shared" si="114"/>
        <v>16.5 to 27</v>
      </c>
      <c r="S222" s="284" t="str">
        <f t="shared" si="114"/>
        <v>27 to 37.5</v>
      </c>
      <c r="T222" s="284" t="str">
        <f t="shared" si="114"/>
        <v>37.5 to 48</v>
      </c>
      <c r="U222" s="284" t="str">
        <f t="shared" si="114"/>
        <v>48 to 58.5</v>
      </c>
      <c r="V222" s="284" t="str">
        <f t="shared" si="114"/>
        <v>58.5 to 69</v>
      </c>
      <c r="W222" s="284" t="str">
        <f t="shared" si="114"/>
        <v>69 to 79.5</v>
      </c>
      <c r="X222" s="284" t="str">
        <f t="shared" si="114"/>
        <v>79.5 to 90</v>
      </c>
      <c r="Y222" s="284" t="str">
        <f t="shared" si="114"/>
        <v>more than 90</v>
      </c>
      <c r="Z222" s="284" t="str">
        <f t="shared" si="114"/>
        <v/>
      </c>
      <c r="AA222" s="284" t="str">
        <f t="shared" si="114"/>
        <v/>
      </c>
      <c r="AB222" s="284" t="str">
        <f t="shared" si="114"/>
        <v/>
      </c>
      <c r="AC222" s="284" t="str">
        <f t="shared" si="114"/>
        <v/>
      </c>
      <c r="AD222" s="284" t="str">
        <f t="shared" si="114"/>
        <v/>
      </c>
      <c r="AE222" s="284" t="str">
        <f t="shared" si="114"/>
        <v/>
      </c>
      <c r="AF222" s="284" t="str">
        <f t="shared" si="114"/>
        <v/>
      </c>
      <c r="AG222" s="284" t="str">
        <f t="shared" si="114"/>
        <v/>
      </c>
      <c r="AH222" s="284" t="str">
        <f t="shared" si="114"/>
        <v/>
      </c>
      <c r="AI222" s="284" t="str">
        <f t="shared" si="114"/>
        <v/>
      </c>
      <c r="AJ222" s="284" t="str">
        <f t="shared" si="114"/>
        <v/>
      </c>
      <c r="AK222" s="284" t="str">
        <f t="shared" si="114"/>
        <v/>
      </c>
      <c r="AL222" s="284" t="str">
        <f t="shared" si="114"/>
        <v/>
      </c>
      <c r="AM222" s="284" t="str">
        <f t="shared" si="114"/>
        <v/>
      </c>
      <c r="AN222" s="284" t="str">
        <f t="shared" si="114"/>
        <v/>
      </c>
      <c r="AO222" s="284" t="str">
        <f t="shared" si="114"/>
        <v/>
      </c>
      <c r="AP222" s="284" t="str">
        <f t="shared" si="114"/>
        <v/>
      </c>
      <c r="AQ222" s="284" t="str">
        <f t="shared" si="114"/>
        <v/>
      </c>
      <c r="AR222" s="284" t="str">
        <f t="shared" si="114"/>
        <v/>
      </c>
      <c r="AS222" s="284" t="str">
        <f t="shared" si="114"/>
        <v/>
      </c>
    </row>
    <row r="223" spans="1:52" s="13" customFormat="1">
      <c r="C223" s="214" t="str">
        <f>Tariff_Period &amp; " year reset period (Forecast = No risk case)"</f>
        <v>5 year reset period (Forecast = No risk case)</v>
      </c>
      <c r="D223" s="147" t="str">
        <f t="array" ref="D223:AS223">IF($D$221:$AS$221="","",IF(SUM('Analysis - No risk'!$180:$180)&lt;MIN($D$221:$AS$221),IF(COLUMN($D$224:$AS$224)=4,$D$224:$AS$224,""),IF(COLUMN()&lt;&gt;MATCH(SUM('Analysis - No risk'!$180:$180),$D$221:$AS$221,1)+4,"",$D$224:$AS$224)))</f>
        <v/>
      </c>
      <c r="E223" s="148" t="str">
        <v/>
      </c>
      <c r="F223" s="148" t="str">
        <v/>
      </c>
      <c r="G223" s="148" t="str">
        <v/>
      </c>
      <c r="H223" s="148" t="str">
        <v/>
      </c>
      <c r="I223" s="148" t="str">
        <v/>
      </c>
      <c r="J223" s="148" t="str">
        <v/>
      </c>
      <c r="K223" s="148" t="str">
        <v/>
      </c>
      <c r="L223" s="148" t="str">
        <v/>
      </c>
      <c r="M223" s="148" t="str">
        <v/>
      </c>
      <c r="N223" s="148" t="str">
        <v/>
      </c>
      <c r="O223" s="148" t="str">
        <v/>
      </c>
      <c r="P223" s="148">
        <v>14.000000000000002</v>
      </c>
      <c r="Q223" s="148" t="str">
        <v/>
      </c>
      <c r="R223" s="148" t="str">
        <v/>
      </c>
      <c r="S223" s="148" t="str">
        <v/>
      </c>
      <c r="T223" s="148" t="str">
        <v/>
      </c>
      <c r="U223" s="148" t="str">
        <v/>
      </c>
      <c r="V223" s="148" t="str">
        <v/>
      </c>
      <c r="W223" s="148" t="str">
        <v/>
      </c>
      <c r="X223" s="148" t="str">
        <v/>
      </c>
      <c r="Y223" s="148" t="str">
        <v/>
      </c>
      <c r="Z223" s="148" t="str">
        <v/>
      </c>
      <c r="AA223" s="148" t="str">
        <v/>
      </c>
      <c r="AB223" s="148" t="str">
        <v/>
      </c>
      <c r="AC223" s="148" t="str">
        <v/>
      </c>
      <c r="AD223" s="148" t="str">
        <v/>
      </c>
      <c r="AE223" s="148" t="str">
        <v/>
      </c>
      <c r="AF223" s="148" t="str">
        <v/>
      </c>
      <c r="AG223" s="148" t="str">
        <v/>
      </c>
      <c r="AH223" s="148" t="str">
        <v/>
      </c>
      <c r="AI223" s="148" t="str">
        <v/>
      </c>
      <c r="AJ223" s="148" t="str">
        <v/>
      </c>
      <c r="AK223" s="148" t="str">
        <v/>
      </c>
      <c r="AL223" s="148" t="str">
        <v/>
      </c>
      <c r="AM223" s="148" t="str">
        <v/>
      </c>
      <c r="AN223" s="148" t="str">
        <v/>
      </c>
      <c r="AO223" s="148" t="str">
        <v/>
      </c>
      <c r="AP223" s="148" t="str">
        <v/>
      </c>
      <c r="AQ223" s="148" t="str">
        <v/>
      </c>
      <c r="AR223" s="149" t="str">
        <v/>
      </c>
      <c r="AS223" s="13" t="str">
        <v/>
      </c>
    </row>
    <row r="224" spans="1:52" s="13" customFormat="1">
      <c r="C224" s="214" t="str">
        <f>Tariff_Period &amp; " year reset period (Forecast = Risk case)"</f>
        <v>5 year reset period (Forecast = Risk case)</v>
      </c>
      <c r="D224" s="150">
        <f t="array" ref="D224:AS224">IF($D$221:$AS$221="","",IF(COLUMN($D$221:$AS$221)&gt;4+Contract_Length+1,"",TRANSPOSE(FREQUENCY(INDEX(SimResults,,1),$D$221:$AS$221))/'Policy choices'!$T$5*100))</f>
        <v>0</v>
      </c>
      <c r="E224" s="151">
        <v>0.1</v>
      </c>
      <c r="F224" s="151">
        <v>0</v>
      </c>
      <c r="G224" s="151">
        <v>0.1</v>
      </c>
      <c r="H224" s="151">
        <v>0</v>
      </c>
      <c r="I224" s="151">
        <v>0.70000000000000007</v>
      </c>
      <c r="J224" s="151">
        <v>0.5</v>
      </c>
      <c r="K224" s="151">
        <v>2.5</v>
      </c>
      <c r="L224" s="151">
        <v>3.6999999999999997</v>
      </c>
      <c r="M224" s="151">
        <v>6.2</v>
      </c>
      <c r="N224" s="151">
        <v>8.6</v>
      </c>
      <c r="O224" s="151">
        <v>10.299999999999999</v>
      </c>
      <c r="P224" s="151">
        <v>14.000000000000002</v>
      </c>
      <c r="Q224" s="151">
        <v>14.000000000000002</v>
      </c>
      <c r="R224" s="151">
        <v>13.8</v>
      </c>
      <c r="S224" s="151">
        <v>11.3</v>
      </c>
      <c r="T224" s="151">
        <v>8.2000000000000011</v>
      </c>
      <c r="U224" s="151">
        <v>3.3000000000000003</v>
      </c>
      <c r="V224" s="151">
        <v>1.7999999999999998</v>
      </c>
      <c r="W224" s="151">
        <v>0.6</v>
      </c>
      <c r="X224" s="151">
        <v>0.3</v>
      </c>
      <c r="Y224" s="151" t="str">
        <v/>
      </c>
      <c r="Z224" s="151" t="str">
        <v/>
      </c>
      <c r="AA224" s="151" t="str">
        <v/>
      </c>
      <c r="AB224" s="151" t="str">
        <v/>
      </c>
      <c r="AC224" s="151" t="str">
        <v/>
      </c>
      <c r="AD224" s="151" t="str">
        <v/>
      </c>
      <c r="AE224" s="151" t="str">
        <v/>
      </c>
      <c r="AF224" s="151" t="str">
        <v/>
      </c>
      <c r="AG224" s="151" t="str">
        <v/>
      </c>
      <c r="AH224" s="151" t="str">
        <v/>
      </c>
      <c r="AI224" s="151" t="str">
        <v/>
      </c>
      <c r="AJ224" s="151" t="str">
        <v/>
      </c>
      <c r="AK224" s="151" t="str">
        <v/>
      </c>
      <c r="AL224" s="151" t="str">
        <v/>
      </c>
      <c r="AM224" s="151" t="str">
        <v/>
      </c>
      <c r="AN224" s="151" t="str">
        <v/>
      </c>
      <c r="AO224" s="151" t="str">
        <v/>
      </c>
      <c r="AP224" s="151" t="str">
        <v/>
      </c>
      <c r="AQ224" s="151" t="str">
        <v/>
      </c>
      <c r="AR224" s="152" t="str">
        <v/>
      </c>
      <c r="AS224" s="13" t="str">
        <v/>
      </c>
    </row>
    <row r="225" spans="4:19" s="3" customFormat="1">
      <c r="D225" s="285"/>
      <c r="E225" s="109"/>
      <c r="F225" s="109"/>
      <c r="G225" s="109"/>
      <c r="H225" s="109"/>
      <c r="I225" s="109"/>
      <c r="J225" s="109"/>
      <c r="K225" s="109"/>
      <c r="L225" s="109"/>
      <c r="M225" s="109"/>
      <c r="N225" s="109"/>
    </row>
    <row r="226" spans="4:19" s="3" customFormat="1" ht="13.8" thickBot="1">
      <c r="E226" s="109"/>
      <c r="F226" s="109"/>
      <c r="G226" s="109"/>
      <c r="H226" s="109"/>
      <c r="I226" s="109"/>
      <c r="J226" s="109"/>
      <c r="K226" s="109"/>
      <c r="L226" s="109"/>
      <c r="M226" s="109"/>
      <c r="N226" s="109"/>
      <c r="O226" s="109"/>
      <c r="P226" s="109"/>
      <c r="Q226" s="109"/>
      <c r="R226" s="109"/>
      <c r="S226" s="109"/>
    </row>
    <row r="227" spans="4:19" s="78" customFormat="1">
      <c r="G227" s="286"/>
      <c r="I227" s="286"/>
    </row>
    <row r="228" spans="4:19">
      <c r="G228" s="287"/>
    </row>
  </sheetData>
  <sheetProtection sheet="1" objects="1" scenarios="1"/>
  <conditionalFormatting sqref="D96:AR99 D101:AR104 D21:AR22 D14:AR15 D24:AR25 E29:AR30 E75:AR77 E81:AR83 E85:AR87 D216:AR216 E149:AR149 D4:AR6 E164:AR169 D8:AR9 D11:AR11 E114:AR115 E117:AR119 E190:AR191 E151:AR152 E154:AR155 E160:AR161 E172:AR173 E178:AR179 E121:AR123 E181:AR182 D109:AR111 D129 E131:AR133 D133 E127:AR129 D136:AR137 E141:AR142 E144:AR145 E106:AR107 E187:AR188 D201:AR203 D205:AR207 D197:AR198 D211:AR213 D92:AR93">
    <cfRule type="expression" dxfId="8" priority="1" stopIfTrue="1">
      <formula>D$2=""</formula>
    </cfRule>
    <cfRule type="expression" dxfId="7" priority="2" stopIfTrue="1">
      <formula>D$2=Contract_Length</formula>
    </cfRule>
  </conditionalFormatting>
  <conditionalFormatting sqref="E33:AR73">
    <cfRule type="expression" dxfId="6" priority="3" stopIfTrue="1">
      <formula>E$2=""</formula>
    </cfRule>
    <cfRule type="expression" dxfId="5" priority="4" stopIfTrue="1">
      <formula>E33=0</formula>
    </cfRule>
  </conditionalFormatting>
  <conditionalFormatting sqref="BK219:IV219">
    <cfRule type="expression" dxfId="4" priority="5" stopIfTrue="1">
      <formula>BK$25=""</formula>
    </cfRule>
    <cfRule type="expression" dxfId="3" priority="6" stopIfTrue="1">
      <formula>BK$25=Ch_FinRange</formula>
    </cfRule>
  </conditionalFormatting>
  <conditionalFormatting sqref="D223:AS224">
    <cfRule type="expression" dxfId="2" priority="7" stopIfTrue="1">
      <formula>COLUMN(D$2)-4&gt;Contract_Length+1</formula>
    </cfRule>
    <cfRule type="expression" dxfId="1" priority="8" stopIfTrue="1">
      <formula>COLUMN(D$2)-4=Contract_Length+1</formula>
    </cfRule>
  </conditionalFormatting>
  <conditionalFormatting sqref="D33:D73">
    <cfRule type="cellIs" dxfId="0" priority="9" stopIfTrue="1" operator="equal">
      <formula>0</formula>
    </cfRule>
  </conditionalFormatting>
  <pageMargins left="0.75" right="0.75" top="1" bottom="1" header="0.5" footer="0.5"/>
  <pageSetup paperSize="9" scale="49" fitToHeight="4" orientation="portrait"/>
  <headerFooter>
    <oddHeader>&amp;LPAGE &amp;P OF  &amp;N&amp;C&amp;F</oddHeader>
    <oddFooter>&amp;L&amp;A&amp;R&amp;D &amp;T</oddFooter>
  </headerFooter>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tRiskRes">
    <pageSetUpPr autoPageBreaks="0"/>
  </sheetPr>
  <dimension ref="A1:J1003"/>
  <sheetViews>
    <sheetView workbookViewId="0">
      <pane xSplit="3" ySplit="3" topLeftCell="D4" activePane="bottomRight" state="frozen"/>
      <selection activeCell="A1003" sqref="A1003:XFD1003"/>
      <selection pane="topRight" activeCell="A1003" sqref="A1003:XFD1003"/>
      <selection pane="bottomLeft" activeCell="A1003" sqref="A1003:XFD1003"/>
      <selection pane="bottomRight" activeCell="C6" sqref="C6"/>
    </sheetView>
  </sheetViews>
  <sheetFormatPr defaultColWidth="9.109375" defaultRowHeight="13.2"/>
  <cols>
    <col min="1" max="2" width="2.88671875" style="3" customWidth="1"/>
    <col min="3" max="3" width="14.44140625" style="299" customWidth="1"/>
    <col min="4" max="4" width="15" style="305" customWidth="1"/>
    <col min="5" max="5" width="14.44140625" style="301" customWidth="1"/>
    <col min="6" max="6" width="14.44140625" style="302" customWidth="1"/>
    <col min="7" max="8" width="9.109375" style="3"/>
    <col min="9" max="9" width="10.109375" style="3" customWidth="1"/>
    <col min="10" max="10" width="9.88671875" style="3" customWidth="1"/>
    <col min="11" max="16384" width="9.109375" style="3"/>
  </cols>
  <sheetData>
    <row r="1" spans="1:10" s="2" customFormat="1" ht="37.5" customHeight="1" thickBot="1">
      <c r="B1" s="1" t="s">
        <v>185</v>
      </c>
      <c r="E1" s="288"/>
      <c r="F1" s="288"/>
    </row>
    <row r="2" spans="1:10" s="236" customFormat="1">
      <c r="B2" s="289"/>
    </row>
    <row r="3" spans="1:10" s="293" customFormat="1" ht="53.4" thickBot="1">
      <c r="A3" s="290"/>
      <c r="B3" s="290"/>
      <c r="C3" s="291" t="s">
        <v>3</v>
      </c>
      <c r="D3" s="292" t="s">
        <v>186</v>
      </c>
      <c r="E3" s="292" t="s">
        <v>187</v>
      </c>
      <c r="F3" s="292" t="s">
        <v>188</v>
      </c>
    </row>
    <row r="4" spans="1:10">
      <c r="A4" s="90"/>
      <c r="B4" s="90"/>
      <c r="C4" s="294">
        <v>1</v>
      </c>
      <c r="D4" s="295">
        <v>38539.783831712964</v>
      </c>
      <c r="E4" s="296">
        <v>15.354864584113074</v>
      </c>
      <c r="F4" s="297">
        <v>0</v>
      </c>
      <c r="G4" s="298"/>
      <c r="H4" s="298"/>
      <c r="I4" s="298"/>
      <c r="J4" s="298"/>
    </row>
    <row r="5" spans="1:10">
      <c r="C5" s="299">
        <v>2</v>
      </c>
      <c r="D5" s="300">
        <v>38539.783832986112</v>
      </c>
      <c r="E5" s="301">
        <v>-4.1400456101720238</v>
      </c>
      <c r="F5" s="302">
        <v>0</v>
      </c>
      <c r="G5" s="298"/>
      <c r="H5" s="298"/>
      <c r="I5" s="298"/>
      <c r="J5" s="298"/>
    </row>
    <row r="6" spans="1:10">
      <c r="C6" s="299">
        <v>3</v>
      </c>
      <c r="D6" s="300">
        <v>38539.783834259259</v>
      </c>
      <c r="E6" s="301">
        <v>-4.1778595760381112</v>
      </c>
      <c r="F6" s="302">
        <v>0</v>
      </c>
      <c r="G6" s="298"/>
      <c r="H6" s="298"/>
      <c r="I6" s="298"/>
      <c r="J6" s="298"/>
    </row>
    <row r="7" spans="1:10">
      <c r="C7" s="299">
        <v>4</v>
      </c>
      <c r="D7" s="300">
        <v>38539.783835416667</v>
      </c>
      <c r="E7" s="301">
        <v>2.7694810904522527</v>
      </c>
      <c r="F7" s="302">
        <v>0</v>
      </c>
      <c r="G7" s="298"/>
      <c r="H7" s="298"/>
      <c r="I7" s="298"/>
      <c r="J7" s="298"/>
    </row>
    <row r="8" spans="1:10">
      <c r="C8" s="299">
        <v>5</v>
      </c>
      <c r="D8" s="300">
        <v>38539.783836689814</v>
      </c>
      <c r="E8" s="301">
        <v>-3.2108886411471147</v>
      </c>
      <c r="F8" s="302">
        <v>0</v>
      </c>
      <c r="G8" s="298"/>
    </row>
    <row r="9" spans="1:10">
      <c r="C9" s="299">
        <v>6</v>
      </c>
      <c r="D9" s="300">
        <v>38539.783837962961</v>
      </c>
      <c r="E9" s="301">
        <v>-19.137637053613176</v>
      </c>
      <c r="F9" s="302">
        <v>0</v>
      </c>
    </row>
    <row r="10" spans="1:10">
      <c r="C10" s="299">
        <v>7</v>
      </c>
      <c r="D10" s="300">
        <v>38539.783839236108</v>
      </c>
      <c r="E10" s="301">
        <v>-7.2533378723566457</v>
      </c>
      <c r="F10" s="302">
        <v>0</v>
      </c>
    </row>
    <row r="11" spans="1:10">
      <c r="B11" s="6"/>
      <c r="C11" s="299">
        <v>8</v>
      </c>
      <c r="D11" s="300">
        <v>38539.783840393517</v>
      </c>
      <c r="E11" s="301">
        <v>14.053591336469372</v>
      </c>
      <c r="F11" s="302">
        <v>0</v>
      </c>
    </row>
    <row r="12" spans="1:10">
      <c r="C12" s="299">
        <v>9</v>
      </c>
      <c r="D12" s="300">
        <v>38539.783841666664</v>
      </c>
      <c r="E12" s="301">
        <v>35.885699192386156</v>
      </c>
      <c r="F12" s="302">
        <v>0</v>
      </c>
    </row>
    <row r="13" spans="1:10">
      <c r="C13" s="299">
        <v>10</v>
      </c>
      <c r="D13" s="300">
        <v>38539.783842939818</v>
      </c>
      <c r="E13" s="301">
        <v>10.083208845933843</v>
      </c>
      <c r="F13" s="302">
        <v>0</v>
      </c>
    </row>
    <row r="14" spans="1:10">
      <c r="C14" s="299">
        <v>11</v>
      </c>
      <c r="D14" s="300">
        <v>38539.783844212965</v>
      </c>
      <c r="E14" s="301">
        <v>-22.780250339861947</v>
      </c>
      <c r="F14" s="302">
        <v>0</v>
      </c>
    </row>
    <row r="15" spans="1:10">
      <c r="C15" s="299">
        <v>12</v>
      </c>
      <c r="D15" s="300">
        <v>38539.783846643521</v>
      </c>
      <c r="E15" s="301">
        <v>23.257324011260465</v>
      </c>
      <c r="F15" s="302">
        <v>0</v>
      </c>
    </row>
    <row r="16" spans="1:10">
      <c r="C16" s="299">
        <v>13</v>
      </c>
      <c r="D16" s="300">
        <v>38539.783847916668</v>
      </c>
      <c r="E16" s="301">
        <v>31.882910134091574</v>
      </c>
      <c r="F16" s="302">
        <v>0</v>
      </c>
    </row>
    <row r="17" spans="2:6">
      <c r="C17" s="299">
        <v>14</v>
      </c>
      <c r="D17" s="300">
        <v>38539.783849537038</v>
      </c>
      <c r="E17" s="301">
        <v>-7.7116563681146797</v>
      </c>
      <c r="F17" s="302">
        <v>0</v>
      </c>
    </row>
    <row r="18" spans="2:6">
      <c r="B18" s="6"/>
      <c r="C18" s="299">
        <v>15</v>
      </c>
      <c r="D18" s="300">
        <v>38539.783851157408</v>
      </c>
      <c r="E18" s="301">
        <v>40.877395036225224</v>
      </c>
      <c r="F18" s="302">
        <v>0</v>
      </c>
    </row>
    <row r="19" spans="2:6">
      <c r="C19" s="299">
        <v>16</v>
      </c>
      <c r="D19" s="300">
        <v>38539.783852777779</v>
      </c>
      <c r="E19" s="301">
        <v>15.40255761813976</v>
      </c>
      <c r="F19" s="302">
        <v>0</v>
      </c>
    </row>
    <row r="20" spans="2:6">
      <c r="C20" s="299">
        <v>17</v>
      </c>
      <c r="D20" s="300">
        <v>38539.783854166664</v>
      </c>
      <c r="E20" s="301">
        <v>-1.3041752767624999</v>
      </c>
      <c r="F20" s="302">
        <v>0</v>
      </c>
    </row>
    <row r="21" spans="2:6">
      <c r="C21" s="299">
        <v>18</v>
      </c>
      <c r="D21" s="300">
        <v>38539.783855671296</v>
      </c>
      <c r="E21" s="301">
        <v>-17.423528739296916</v>
      </c>
      <c r="F21" s="302">
        <v>0</v>
      </c>
    </row>
    <row r="22" spans="2:6">
      <c r="C22" s="299">
        <v>19</v>
      </c>
      <c r="D22" s="300">
        <v>38539.783857060182</v>
      </c>
      <c r="E22" s="301">
        <v>-13.84725928115232</v>
      </c>
      <c r="F22" s="302">
        <v>0</v>
      </c>
    </row>
    <row r="23" spans="2:6">
      <c r="B23" s="6"/>
      <c r="C23" s="299">
        <v>20</v>
      </c>
      <c r="D23" s="300">
        <v>38539.783858564813</v>
      </c>
      <c r="E23" s="301">
        <v>34.48558867428121</v>
      </c>
      <c r="F23" s="302">
        <v>0</v>
      </c>
    </row>
    <row r="24" spans="2:6">
      <c r="C24" s="299">
        <v>21</v>
      </c>
      <c r="D24" s="300">
        <v>38539.783860185184</v>
      </c>
      <c r="E24" s="301">
        <v>28.944266981255673</v>
      </c>
      <c r="F24" s="302">
        <v>0</v>
      </c>
    </row>
    <row r="25" spans="2:6">
      <c r="C25" s="299">
        <v>22</v>
      </c>
      <c r="D25" s="300">
        <v>38539.783861574077</v>
      </c>
      <c r="E25" s="301">
        <v>12.403150075040756</v>
      </c>
      <c r="F25" s="302">
        <v>0</v>
      </c>
    </row>
    <row r="26" spans="2:6">
      <c r="C26" s="299">
        <v>23</v>
      </c>
      <c r="D26" s="300">
        <v>38539.783863194447</v>
      </c>
      <c r="E26" s="301">
        <v>46.834643387571091</v>
      </c>
      <c r="F26" s="302">
        <v>0</v>
      </c>
    </row>
    <row r="27" spans="2:6">
      <c r="C27" s="299">
        <v>24</v>
      </c>
      <c r="D27" s="300">
        <v>38539.783864699071</v>
      </c>
      <c r="E27" s="301">
        <v>2.6494732142582311</v>
      </c>
      <c r="F27" s="302">
        <v>0</v>
      </c>
    </row>
    <row r="28" spans="2:6">
      <c r="C28" s="299">
        <v>25</v>
      </c>
      <c r="D28" s="300">
        <v>38539.783865972226</v>
      </c>
      <c r="E28" s="301">
        <v>3.6447105640909268</v>
      </c>
      <c r="F28" s="302">
        <v>0</v>
      </c>
    </row>
    <row r="29" spans="2:6">
      <c r="C29" s="299">
        <v>26</v>
      </c>
      <c r="D29" s="300">
        <v>38539.783867361111</v>
      </c>
      <c r="E29" s="301">
        <v>-26.160711444256876</v>
      </c>
      <c r="F29" s="302">
        <v>0</v>
      </c>
    </row>
    <row r="30" spans="2:6">
      <c r="B30" s="4"/>
      <c r="C30" s="299">
        <v>27</v>
      </c>
      <c r="D30" s="300">
        <v>38539.783868634258</v>
      </c>
      <c r="E30" s="301">
        <v>28.130982605631079</v>
      </c>
      <c r="F30" s="302">
        <v>0</v>
      </c>
    </row>
    <row r="31" spans="2:6">
      <c r="C31" s="299">
        <v>28</v>
      </c>
      <c r="D31" s="300">
        <v>38539.78387013889</v>
      </c>
      <c r="E31" s="301">
        <v>34.384897097698534</v>
      </c>
      <c r="F31" s="302">
        <v>0</v>
      </c>
    </row>
    <row r="32" spans="2:6">
      <c r="C32" s="303">
        <v>29</v>
      </c>
      <c r="D32" s="300">
        <v>38539.783871527776</v>
      </c>
      <c r="E32" s="301">
        <v>23.657577082616935</v>
      </c>
      <c r="F32" s="302">
        <v>0</v>
      </c>
    </row>
    <row r="33" spans="3:6">
      <c r="C33" s="299">
        <v>30</v>
      </c>
      <c r="D33" s="300">
        <v>38539.783873032407</v>
      </c>
      <c r="E33" s="301">
        <v>-40.387908798193862</v>
      </c>
      <c r="F33" s="302">
        <v>0</v>
      </c>
    </row>
    <row r="34" spans="3:6">
      <c r="C34" s="303">
        <v>31</v>
      </c>
      <c r="D34" s="300">
        <v>38539.783874421293</v>
      </c>
      <c r="E34" s="301">
        <v>-11.729106201594766</v>
      </c>
      <c r="F34" s="302">
        <v>0</v>
      </c>
    </row>
    <row r="35" spans="3:6">
      <c r="C35" s="299">
        <v>32</v>
      </c>
      <c r="D35" s="300">
        <v>38539.783876273148</v>
      </c>
      <c r="E35" s="301">
        <v>-55.330058411300023</v>
      </c>
      <c r="F35" s="302">
        <v>0</v>
      </c>
    </row>
    <row r="36" spans="3:6">
      <c r="C36" s="299">
        <v>33</v>
      </c>
      <c r="D36" s="300">
        <v>38539.783877893518</v>
      </c>
      <c r="E36" s="301">
        <v>-44.655808317763757</v>
      </c>
      <c r="F36" s="302">
        <v>0</v>
      </c>
    </row>
    <row r="37" spans="3:6">
      <c r="C37" s="299">
        <v>34</v>
      </c>
      <c r="D37" s="300">
        <v>38539.783879282404</v>
      </c>
      <c r="E37" s="301">
        <v>-6.0511671568024941</v>
      </c>
      <c r="F37" s="302">
        <v>0</v>
      </c>
    </row>
    <row r="38" spans="3:6">
      <c r="C38" s="299">
        <v>35</v>
      </c>
      <c r="D38" s="300">
        <v>38539.783880787036</v>
      </c>
      <c r="E38" s="301">
        <v>0.51204918191268689</v>
      </c>
      <c r="F38" s="302">
        <v>0</v>
      </c>
    </row>
    <row r="39" spans="3:6">
      <c r="C39" s="299">
        <v>36</v>
      </c>
      <c r="D39" s="300">
        <v>38539.783882060183</v>
      </c>
      <c r="E39" s="301">
        <v>31.895138801743268</v>
      </c>
      <c r="F39" s="302">
        <v>0</v>
      </c>
    </row>
    <row r="40" spans="3:6">
      <c r="C40" s="299">
        <v>37</v>
      </c>
      <c r="D40" s="300">
        <v>38539.78388333333</v>
      </c>
      <c r="E40" s="301">
        <v>32.938995970460567</v>
      </c>
      <c r="F40" s="302">
        <v>0</v>
      </c>
    </row>
    <row r="41" spans="3:6">
      <c r="C41" s="299">
        <v>38</v>
      </c>
      <c r="D41" s="300">
        <v>38539.783884722223</v>
      </c>
      <c r="E41" s="301">
        <v>30.191912204573939</v>
      </c>
      <c r="F41" s="302">
        <v>0</v>
      </c>
    </row>
    <row r="42" spans="3:6" s="90" customFormat="1">
      <c r="C42" s="299">
        <v>39</v>
      </c>
      <c r="D42" s="300">
        <v>38539.78388599537</v>
      </c>
      <c r="E42" s="301">
        <v>44.924593582787281</v>
      </c>
      <c r="F42" s="302">
        <v>0</v>
      </c>
    </row>
    <row r="43" spans="3:6" s="90" customFormat="1">
      <c r="C43" s="299">
        <v>40</v>
      </c>
      <c r="D43" s="300">
        <v>38539.783888425925</v>
      </c>
      <c r="E43" s="301">
        <v>67.835590849977876</v>
      </c>
      <c r="F43" s="302">
        <v>0</v>
      </c>
    </row>
    <row r="44" spans="3:6">
      <c r="C44" s="299">
        <v>41</v>
      </c>
      <c r="D44" s="300">
        <v>38539.783889814818</v>
      </c>
      <c r="E44" s="301">
        <v>-15.908023463546577</v>
      </c>
      <c r="F44" s="302">
        <v>0</v>
      </c>
    </row>
    <row r="45" spans="3:6">
      <c r="C45" s="299">
        <v>42</v>
      </c>
      <c r="D45" s="300">
        <v>38539.783891087965</v>
      </c>
      <c r="E45" s="301">
        <v>10.742544924358812</v>
      </c>
      <c r="F45" s="302">
        <v>0</v>
      </c>
    </row>
    <row r="46" spans="3:6">
      <c r="C46" s="299">
        <v>43</v>
      </c>
      <c r="D46" s="300">
        <v>38539.783892476851</v>
      </c>
      <c r="E46" s="301">
        <v>-0.11361835567351708</v>
      </c>
      <c r="F46" s="302">
        <v>0</v>
      </c>
    </row>
    <row r="47" spans="3:6">
      <c r="C47" s="299">
        <v>44</v>
      </c>
      <c r="D47" s="300">
        <v>38539.783893981483</v>
      </c>
      <c r="E47" s="301">
        <v>38.320346186469727</v>
      </c>
      <c r="F47" s="302">
        <v>0</v>
      </c>
    </row>
    <row r="48" spans="3:6">
      <c r="C48" s="299">
        <v>45</v>
      </c>
      <c r="D48" s="300">
        <v>38539.78389525463</v>
      </c>
      <c r="E48" s="301">
        <v>-39.411304756533681</v>
      </c>
      <c r="F48" s="302">
        <v>0</v>
      </c>
    </row>
    <row r="49" spans="3:6">
      <c r="C49" s="299">
        <v>46</v>
      </c>
      <c r="D49" s="300">
        <v>38539.783896643516</v>
      </c>
      <c r="E49" s="301">
        <v>-20.512469994516472</v>
      </c>
      <c r="F49" s="302">
        <v>0</v>
      </c>
    </row>
    <row r="50" spans="3:6">
      <c r="C50" s="299">
        <v>47</v>
      </c>
      <c r="D50" s="300">
        <v>38539.78389791667</v>
      </c>
      <c r="E50" s="301">
        <v>25.232560903367624</v>
      </c>
      <c r="F50" s="302">
        <v>0</v>
      </c>
    </row>
    <row r="51" spans="3:6">
      <c r="C51" s="299">
        <v>48</v>
      </c>
      <c r="D51" s="300">
        <v>38539.783899421294</v>
      </c>
      <c r="E51" s="301">
        <v>50.757735622020682</v>
      </c>
      <c r="F51" s="302">
        <v>0</v>
      </c>
    </row>
    <row r="52" spans="3:6">
      <c r="C52" s="299">
        <v>49</v>
      </c>
      <c r="D52" s="300">
        <v>38539.783900694441</v>
      </c>
      <c r="E52" s="301">
        <v>5.6898388704610081</v>
      </c>
      <c r="F52" s="302">
        <v>0</v>
      </c>
    </row>
    <row r="53" spans="3:6">
      <c r="C53" s="299">
        <v>50</v>
      </c>
      <c r="D53" s="300">
        <v>38539.783902083334</v>
      </c>
      <c r="E53" s="301">
        <v>-7.7306159271835515</v>
      </c>
      <c r="F53" s="302">
        <v>0</v>
      </c>
    </row>
    <row r="54" spans="3:6">
      <c r="C54" s="299">
        <v>51</v>
      </c>
      <c r="D54" s="300">
        <v>38539.783903356481</v>
      </c>
      <c r="E54" s="301">
        <v>43.298648036697941</v>
      </c>
      <c r="F54" s="302">
        <v>0</v>
      </c>
    </row>
    <row r="55" spans="3:6">
      <c r="C55" s="299">
        <v>52</v>
      </c>
      <c r="D55" s="300">
        <v>38539.783904861113</v>
      </c>
      <c r="E55" s="301">
        <v>0.72528138848740475</v>
      </c>
      <c r="F55" s="302">
        <v>0</v>
      </c>
    </row>
    <row r="56" spans="3:6">
      <c r="C56" s="299">
        <v>53</v>
      </c>
      <c r="D56" s="300">
        <v>38539.783906828707</v>
      </c>
      <c r="E56" s="301">
        <v>14.119885544860447</v>
      </c>
      <c r="F56" s="302">
        <v>0</v>
      </c>
    </row>
    <row r="57" spans="3:6">
      <c r="C57" s="299">
        <v>54</v>
      </c>
      <c r="D57" s="300">
        <v>38539.783908101854</v>
      </c>
      <c r="E57" s="301">
        <v>-24.884557858953681</v>
      </c>
      <c r="F57" s="302">
        <v>0</v>
      </c>
    </row>
    <row r="58" spans="3:6">
      <c r="C58" s="299">
        <v>55</v>
      </c>
      <c r="D58" s="300">
        <v>38539.783916203705</v>
      </c>
      <c r="E58" s="301">
        <v>11.599411957374798</v>
      </c>
      <c r="F58" s="302">
        <v>0</v>
      </c>
    </row>
    <row r="59" spans="3:6">
      <c r="C59" s="299">
        <v>56</v>
      </c>
      <c r="D59" s="300">
        <v>38539.783922685187</v>
      </c>
      <c r="E59" s="301">
        <v>17.002916055035037</v>
      </c>
      <c r="F59" s="302">
        <v>0</v>
      </c>
    </row>
    <row r="60" spans="3:6">
      <c r="C60" s="299">
        <v>57</v>
      </c>
      <c r="D60" s="300">
        <v>38539.783923958334</v>
      </c>
      <c r="E60" s="301">
        <v>19.047839489716829</v>
      </c>
      <c r="F60" s="302">
        <v>0</v>
      </c>
    </row>
    <row r="61" spans="3:6">
      <c r="C61" s="299">
        <v>58</v>
      </c>
      <c r="D61" s="300">
        <v>38539.783929050929</v>
      </c>
      <c r="E61" s="301">
        <v>7.2847150826326601</v>
      </c>
      <c r="F61" s="302">
        <v>0</v>
      </c>
    </row>
    <row r="62" spans="3:6">
      <c r="C62" s="299">
        <v>59</v>
      </c>
      <c r="D62" s="300">
        <v>38539.783931828701</v>
      </c>
      <c r="E62" s="301">
        <v>-15.636413169084998</v>
      </c>
      <c r="F62" s="302">
        <v>0</v>
      </c>
    </row>
    <row r="63" spans="3:6">
      <c r="C63" s="299">
        <v>60</v>
      </c>
      <c r="D63" s="300">
        <v>38539.783933564817</v>
      </c>
      <c r="E63" s="301">
        <v>35.12164308336866</v>
      </c>
      <c r="F63" s="302">
        <v>0</v>
      </c>
    </row>
    <row r="64" spans="3:6">
      <c r="C64" s="299">
        <v>61</v>
      </c>
      <c r="D64" s="300">
        <v>38539.783935185187</v>
      </c>
      <c r="E64" s="301">
        <v>-47.029793742280226</v>
      </c>
      <c r="F64" s="302">
        <v>1</v>
      </c>
    </row>
    <row r="65" spans="3:6">
      <c r="C65" s="299">
        <v>62</v>
      </c>
      <c r="D65" s="300">
        <v>38539.783936458334</v>
      </c>
      <c r="E65" s="301">
        <v>14.474148727350235</v>
      </c>
      <c r="F65" s="302">
        <v>0</v>
      </c>
    </row>
    <row r="66" spans="3:6">
      <c r="C66" s="299">
        <v>63</v>
      </c>
      <c r="D66" s="300">
        <v>38539.783937615743</v>
      </c>
      <c r="E66" s="301">
        <v>44.631383305916451</v>
      </c>
      <c r="F66" s="302">
        <v>0</v>
      </c>
    </row>
    <row r="67" spans="3:6">
      <c r="C67" s="299">
        <v>64</v>
      </c>
      <c r="D67" s="300">
        <v>38539.783939004628</v>
      </c>
      <c r="E67" s="301">
        <v>-16.944400002050799</v>
      </c>
      <c r="F67" s="302">
        <v>0</v>
      </c>
    </row>
    <row r="68" spans="3:6">
      <c r="C68" s="299">
        <v>65</v>
      </c>
      <c r="D68" s="300">
        <v>38539.783940277775</v>
      </c>
      <c r="E68" s="301">
        <v>-15.58029133712779</v>
      </c>
      <c r="F68" s="302">
        <v>0</v>
      </c>
    </row>
    <row r="69" spans="3:6">
      <c r="C69" s="299">
        <v>66</v>
      </c>
      <c r="D69" s="300">
        <v>38539.783941550922</v>
      </c>
      <c r="E69" s="301">
        <v>-14.93006393337447</v>
      </c>
      <c r="F69" s="302">
        <v>0</v>
      </c>
    </row>
    <row r="70" spans="3:6">
      <c r="C70" s="299">
        <v>67</v>
      </c>
      <c r="D70" s="300">
        <v>38539.783942824077</v>
      </c>
      <c r="E70" s="301">
        <v>-17.531665783174635</v>
      </c>
      <c r="F70" s="302">
        <v>0</v>
      </c>
    </row>
    <row r="71" spans="3:6">
      <c r="C71" s="299">
        <v>68</v>
      </c>
      <c r="D71" s="300">
        <v>38539.783944097224</v>
      </c>
      <c r="E71" s="301">
        <v>25.099187698034928</v>
      </c>
      <c r="F71" s="302">
        <v>0</v>
      </c>
    </row>
    <row r="72" spans="3:6">
      <c r="C72" s="299">
        <v>69</v>
      </c>
      <c r="D72" s="300">
        <v>38539.78394548611</v>
      </c>
      <c r="E72" s="301">
        <v>12.394417966436141</v>
      </c>
      <c r="F72" s="302">
        <v>0</v>
      </c>
    </row>
    <row r="73" spans="3:6">
      <c r="C73" s="299">
        <v>70</v>
      </c>
      <c r="D73" s="300">
        <v>38539.783946759257</v>
      </c>
      <c r="E73" s="301">
        <v>32.708395264569376</v>
      </c>
      <c r="F73" s="302">
        <v>0</v>
      </c>
    </row>
    <row r="74" spans="3:6">
      <c r="C74" s="299">
        <v>71</v>
      </c>
      <c r="D74" s="300">
        <v>38539.783948032411</v>
      </c>
      <c r="E74" s="301">
        <v>1.8135475889662525</v>
      </c>
      <c r="F74" s="302">
        <v>0</v>
      </c>
    </row>
    <row r="75" spans="3:6">
      <c r="C75" s="299">
        <v>72</v>
      </c>
      <c r="D75" s="300">
        <v>38539.783949305558</v>
      </c>
      <c r="E75" s="301">
        <v>52.455116658461108</v>
      </c>
      <c r="F75" s="302">
        <v>0</v>
      </c>
    </row>
    <row r="76" spans="3:6">
      <c r="C76" s="299">
        <v>73</v>
      </c>
      <c r="D76" s="300">
        <v>38539.783950810182</v>
      </c>
      <c r="E76" s="301">
        <v>-31.262586074968567</v>
      </c>
      <c r="F76" s="302">
        <v>0</v>
      </c>
    </row>
    <row r="77" spans="3:6">
      <c r="C77" s="299">
        <v>74</v>
      </c>
      <c r="D77" s="300">
        <v>38539.783952199075</v>
      </c>
      <c r="E77" s="301">
        <v>-23.621821443558609</v>
      </c>
      <c r="F77" s="302">
        <v>0</v>
      </c>
    </row>
    <row r="78" spans="3:6">
      <c r="C78" s="299">
        <v>75</v>
      </c>
      <c r="D78" s="300">
        <v>38539.783953472222</v>
      </c>
      <c r="E78" s="301">
        <v>12.9206299729767</v>
      </c>
      <c r="F78" s="302">
        <v>0</v>
      </c>
    </row>
    <row r="79" spans="3:6">
      <c r="C79" s="299">
        <v>76</v>
      </c>
      <c r="D79" s="300">
        <v>38539.783954513892</v>
      </c>
      <c r="E79" s="301">
        <v>-9.4567332498976047</v>
      </c>
      <c r="F79" s="302">
        <v>0</v>
      </c>
    </row>
    <row r="80" spans="3:6">
      <c r="C80" s="299">
        <v>77</v>
      </c>
      <c r="D80" s="300">
        <v>38539.783956018517</v>
      </c>
      <c r="E80" s="301">
        <v>20.162072515288138</v>
      </c>
      <c r="F80" s="302">
        <v>0</v>
      </c>
    </row>
    <row r="81" spans="3:6">
      <c r="C81" s="299">
        <v>78</v>
      </c>
      <c r="D81" s="300">
        <v>38539.78395740741</v>
      </c>
      <c r="E81" s="301">
        <v>31.693363265936437</v>
      </c>
      <c r="F81" s="302">
        <v>0</v>
      </c>
    </row>
    <row r="82" spans="3:6">
      <c r="C82" s="299">
        <v>79</v>
      </c>
      <c r="D82" s="300">
        <v>38539.783958912034</v>
      </c>
      <c r="E82" s="301">
        <v>31.555410791848708</v>
      </c>
      <c r="F82" s="302">
        <v>0</v>
      </c>
    </row>
    <row r="83" spans="3:6">
      <c r="C83" s="299">
        <v>80</v>
      </c>
      <c r="D83" s="300">
        <v>38539.783960185188</v>
      </c>
      <c r="E83" s="301">
        <v>3.4743910936935709</v>
      </c>
      <c r="F83" s="302">
        <v>0</v>
      </c>
    </row>
    <row r="84" spans="3:6">
      <c r="C84" s="299">
        <v>81</v>
      </c>
      <c r="D84" s="300">
        <v>38539.783961574074</v>
      </c>
      <c r="E84" s="301">
        <v>11.526529425674479</v>
      </c>
      <c r="F84" s="302">
        <v>0</v>
      </c>
    </row>
    <row r="85" spans="3:6">
      <c r="C85" s="299">
        <v>82</v>
      </c>
      <c r="D85" s="300">
        <v>38539.783962847221</v>
      </c>
      <c r="E85" s="301">
        <v>14.277455043831752</v>
      </c>
      <c r="F85" s="302">
        <v>0</v>
      </c>
    </row>
    <row r="86" spans="3:6">
      <c r="C86" s="299">
        <v>83</v>
      </c>
      <c r="D86" s="300">
        <v>38539.783964120368</v>
      </c>
      <c r="E86" s="301">
        <v>27.477219242947609</v>
      </c>
      <c r="F86" s="302">
        <v>0</v>
      </c>
    </row>
    <row r="87" spans="3:6">
      <c r="C87" s="299">
        <v>84</v>
      </c>
      <c r="D87" s="300">
        <v>38539.783965740738</v>
      </c>
      <c r="E87" s="301">
        <v>-17.846319762622564</v>
      </c>
      <c r="F87" s="302">
        <v>0</v>
      </c>
    </row>
    <row r="88" spans="3:6">
      <c r="C88" s="299">
        <v>85</v>
      </c>
      <c r="D88" s="300">
        <v>38539.783967013886</v>
      </c>
      <c r="E88" s="301">
        <v>25.518850351537381</v>
      </c>
      <c r="F88" s="302">
        <v>0</v>
      </c>
    </row>
    <row r="89" spans="3:6">
      <c r="C89" s="299">
        <v>86</v>
      </c>
      <c r="D89" s="300">
        <v>38539.78396828704</v>
      </c>
      <c r="E89" s="301">
        <v>-40.526994662480526</v>
      </c>
      <c r="F89" s="302">
        <v>1</v>
      </c>
    </row>
    <row r="90" spans="3:6">
      <c r="C90" s="299">
        <v>87</v>
      </c>
      <c r="D90" s="300">
        <v>38539.783969560187</v>
      </c>
      <c r="E90" s="301">
        <v>23.629735566741704</v>
      </c>
      <c r="F90" s="302">
        <v>0</v>
      </c>
    </row>
    <row r="91" spans="3:6">
      <c r="C91" s="299">
        <v>88</v>
      </c>
      <c r="D91" s="300">
        <v>38539.783970833334</v>
      </c>
      <c r="E91" s="301">
        <v>14.827132293582432</v>
      </c>
      <c r="F91" s="302">
        <v>0</v>
      </c>
    </row>
    <row r="92" spans="3:6">
      <c r="C92" s="299">
        <v>89</v>
      </c>
      <c r="D92" s="300">
        <v>38539.783972337966</v>
      </c>
      <c r="E92" s="301">
        <v>-55.504603524067846</v>
      </c>
      <c r="F92" s="302">
        <v>0</v>
      </c>
    </row>
    <row r="93" spans="3:6">
      <c r="C93" s="299">
        <v>90</v>
      </c>
      <c r="D93" s="300">
        <v>38539.783973379628</v>
      </c>
      <c r="E93" s="301">
        <v>-20.0775246631054</v>
      </c>
      <c r="F93" s="302">
        <v>0</v>
      </c>
    </row>
    <row r="94" spans="3:6">
      <c r="C94" s="299">
        <v>91</v>
      </c>
      <c r="D94" s="300">
        <v>38539.783974768521</v>
      </c>
      <c r="E94" s="301">
        <v>46.083984949612137</v>
      </c>
      <c r="F94" s="302">
        <v>0</v>
      </c>
    </row>
    <row r="95" spans="3:6">
      <c r="C95" s="299">
        <v>92</v>
      </c>
      <c r="D95" s="300">
        <v>38539.783976041668</v>
      </c>
      <c r="E95" s="301">
        <v>20.141136023659062</v>
      </c>
      <c r="F95" s="302">
        <v>0</v>
      </c>
    </row>
    <row r="96" spans="3:6">
      <c r="C96" s="299">
        <v>93</v>
      </c>
      <c r="D96" s="300">
        <v>38539.783977314815</v>
      </c>
      <c r="E96" s="301">
        <v>8.6670967978084086</v>
      </c>
      <c r="F96" s="302">
        <v>0</v>
      </c>
    </row>
    <row r="97" spans="3:6">
      <c r="C97" s="299">
        <v>94</v>
      </c>
      <c r="D97" s="300">
        <v>38539.783978587962</v>
      </c>
      <c r="E97" s="301">
        <v>8.2990389518617373</v>
      </c>
      <c r="F97" s="302">
        <v>0</v>
      </c>
    </row>
    <row r="98" spans="3:6">
      <c r="C98" s="299">
        <v>95</v>
      </c>
      <c r="D98" s="300">
        <v>38539.783980092594</v>
      </c>
      <c r="E98" s="301">
        <v>-9.9843311980260179</v>
      </c>
      <c r="F98" s="302">
        <v>0</v>
      </c>
    </row>
    <row r="99" spans="3:6">
      <c r="C99" s="299">
        <v>96</v>
      </c>
      <c r="D99" s="300">
        <v>38539.78398148148</v>
      </c>
      <c r="E99" s="301">
        <v>28.587680172180846</v>
      </c>
      <c r="F99" s="302">
        <v>0</v>
      </c>
    </row>
    <row r="100" spans="3:6">
      <c r="C100" s="299">
        <v>97</v>
      </c>
      <c r="D100" s="300">
        <v>38539.783982754627</v>
      </c>
      <c r="E100" s="301">
        <v>-26.498993479252754</v>
      </c>
      <c r="F100" s="302">
        <v>0</v>
      </c>
    </row>
    <row r="101" spans="3:6">
      <c r="C101" s="299">
        <v>98</v>
      </c>
      <c r="D101" s="300">
        <v>38539.783984374997</v>
      </c>
      <c r="E101" s="301">
        <v>15.038032140913147</v>
      </c>
      <c r="F101" s="302">
        <v>0</v>
      </c>
    </row>
    <row r="102" spans="3:6">
      <c r="C102" s="299">
        <v>99</v>
      </c>
      <c r="D102" s="300">
        <v>38539.783985648151</v>
      </c>
      <c r="E102" s="301">
        <v>33.624218626736202</v>
      </c>
      <c r="F102" s="302">
        <v>0</v>
      </c>
    </row>
    <row r="103" spans="3:6">
      <c r="C103" s="299">
        <v>100</v>
      </c>
      <c r="D103" s="300">
        <v>38539.783987152776</v>
      </c>
      <c r="E103" s="301">
        <v>-29.531837793722168</v>
      </c>
      <c r="F103" s="302">
        <v>0</v>
      </c>
    </row>
    <row r="104" spans="3:6">
      <c r="C104" s="299">
        <v>101</v>
      </c>
      <c r="D104" s="304">
        <v>38539.783991319448</v>
      </c>
      <c r="E104" s="301">
        <v>33.930800869277917</v>
      </c>
      <c r="F104" s="302">
        <v>0</v>
      </c>
    </row>
    <row r="105" spans="3:6">
      <c r="C105" s="299">
        <v>102</v>
      </c>
      <c r="D105" s="300">
        <v>38539.783992592595</v>
      </c>
      <c r="E105" s="301">
        <v>0.73877756232842806</v>
      </c>
      <c r="F105" s="302">
        <v>0</v>
      </c>
    </row>
    <row r="106" spans="3:6">
      <c r="C106" s="299">
        <v>103</v>
      </c>
      <c r="D106" s="300">
        <v>38539.78399398148</v>
      </c>
      <c r="E106" s="301">
        <v>15.404591371521807</v>
      </c>
      <c r="F106" s="302">
        <v>0</v>
      </c>
    </row>
    <row r="107" spans="3:6">
      <c r="C107" s="299">
        <v>104</v>
      </c>
      <c r="D107" s="300">
        <v>38539.783995254627</v>
      </c>
      <c r="E107" s="301">
        <v>12.424697373945012</v>
      </c>
      <c r="F107" s="302">
        <v>0</v>
      </c>
    </row>
    <row r="108" spans="3:6">
      <c r="C108" s="299">
        <v>105</v>
      </c>
      <c r="D108" s="300">
        <v>38539.78399664352</v>
      </c>
      <c r="E108" s="301">
        <v>43.952262294571192</v>
      </c>
      <c r="F108" s="302">
        <v>0</v>
      </c>
    </row>
    <row r="109" spans="3:6">
      <c r="C109" s="299">
        <v>106</v>
      </c>
      <c r="D109" s="300">
        <v>38539.783997916667</v>
      </c>
      <c r="E109" s="301">
        <v>22.670525554543012</v>
      </c>
      <c r="F109" s="302">
        <v>0</v>
      </c>
    </row>
    <row r="110" spans="3:6">
      <c r="C110" s="299">
        <v>107</v>
      </c>
      <c r="D110" s="300">
        <v>38539.783999189814</v>
      </c>
      <c r="E110" s="301">
        <v>-40.654745420354509</v>
      </c>
      <c r="F110" s="302">
        <v>0</v>
      </c>
    </row>
    <row r="111" spans="3:6">
      <c r="C111" s="299">
        <v>108</v>
      </c>
      <c r="D111" s="300">
        <v>38539.784000462962</v>
      </c>
      <c r="E111" s="301">
        <v>4.6107440278271765</v>
      </c>
      <c r="F111" s="302">
        <v>0</v>
      </c>
    </row>
    <row r="112" spans="3:6">
      <c r="C112" s="299">
        <v>109</v>
      </c>
      <c r="D112" s="300">
        <v>38539.784001967593</v>
      </c>
      <c r="E112" s="301">
        <v>-11.515785832889105</v>
      </c>
      <c r="F112" s="302">
        <v>0</v>
      </c>
    </row>
    <row r="113" spans="3:6">
      <c r="C113" s="299">
        <v>110</v>
      </c>
      <c r="D113" s="300">
        <v>38539.784003356479</v>
      </c>
      <c r="E113" s="301">
        <v>-45.177806567664696</v>
      </c>
      <c r="F113" s="302">
        <v>0</v>
      </c>
    </row>
    <row r="114" spans="3:6">
      <c r="C114" s="299">
        <v>111</v>
      </c>
      <c r="D114" s="300">
        <v>38539.784004861111</v>
      </c>
      <c r="E114" s="301">
        <v>6.0715969593779153</v>
      </c>
      <c r="F114" s="302">
        <v>0</v>
      </c>
    </row>
    <row r="115" spans="3:6">
      <c r="C115" s="299">
        <v>112</v>
      </c>
      <c r="D115" s="300">
        <v>38539.784006134258</v>
      </c>
      <c r="E115" s="301">
        <v>12.069390048178875</v>
      </c>
      <c r="F115" s="302">
        <v>0</v>
      </c>
    </row>
    <row r="116" spans="3:6">
      <c r="C116" s="299">
        <v>113</v>
      </c>
      <c r="D116" s="300">
        <v>38539.784007407405</v>
      </c>
      <c r="E116" s="301">
        <v>-1.8056035605109511</v>
      </c>
      <c r="F116" s="302">
        <v>0</v>
      </c>
    </row>
    <row r="117" spans="3:6">
      <c r="C117" s="299">
        <v>114</v>
      </c>
      <c r="D117" s="300">
        <v>38539.784008796298</v>
      </c>
      <c r="E117" s="301">
        <v>15.278262080190467</v>
      </c>
      <c r="F117" s="302">
        <v>0</v>
      </c>
    </row>
    <row r="118" spans="3:6">
      <c r="C118" s="299">
        <v>115</v>
      </c>
      <c r="D118" s="300">
        <v>38539.784010069445</v>
      </c>
      <c r="E118" s="301">
        <v>12.088718322205906</v>
      </c>
      <c r="F118" s="302">
        <v>0</v>
      </c>
    </row>
    <row r="119" spans="3:6">
      <c r="C119" s="299">
        <v>116</v>
      </c>
      <c r="D119" s="300">
        <v>38539.784011342592</v>
      </c>
      <c r="E119" s="301">
        <v>24.430187747077792</v>
      </c>
      <c r="F119" s="302">
        <v>0</v>
      </c>
    </row>
    <row r="120" spans="3:6">
      <c r="C120" s="299">
        <v>117</v>
      </c>
      <c r="D120" s="300">
        <v>38539.784012615739</v>
      </c>
      <c r="E120" s="301">
        <v>46.287315484382894</v>
      </c>
      <c r="F120" s="302">
        <v>0</v>
      </c>
    </row>
    <row r="121" spans="3:6">
      <c r="C121" s="299">
        <v>118</v>
      </c>
      <c r="D121" s="300">
        <v>38539.784014004632</v>
      </c>
      <c r="E121" s="301">
        <v>-72.438475944934453</v>
      </c>
      <c r="F121" s="302">
        <v>0</v>
      </c>
    </row>
    <row r="122" spans="3:6">
      <c r="C122" s="299">
        <v>119</v>
      </c>
      <c r="D122" s="300">
        <v>38539.784015509256</v>
      </c>
      <c r="E122" s="301">
        <v>58.241471183892244</v>
      </c>
      <c r="F122" s="302">
        <v>0</v>
      </c>
    </row>
    <row r="123" spans="3:6">
      <c r="C123" s="299">
        <v>120</v>
      </c>
      <c r="D123" s="300">
        <v>38539.784016782411</v>
      </c>
      <c r="E123" s="301">
        <v>-34.053698558641599</v>
      </c>
      <c r="F123" s="302">
        <v>0</v>
      </c>
    </row>
    <row r="124" spans="3:6">
      <c r="C124" s="299">
        <v>121</v>
      </c>
      <c r="D124" s="300">
        <v>38539.784018171296</v>
      </c>
      <c r="E124" s="301">
        <v>38.800943162451823</v>
      </c>
      <c r="F124" s="302">
        <v>0</v>
      </c>
    </row>
    <row r="125" spans="3:6">
      <c r="C125" s="299">
        <v>122</v>
      </c>
      <c r="D125" s="300">
        <v>38539.784019444443</v>
      </c>
      <c r="E125" s="301">
        <v>-4.1735256816287585</v>
      </c>
      <c r="F125" s="302">
        <v>0</v>
      </c>
    </row>
    <row r="126" spans="3:6">
      <c r="C126" s="299">
        <v>123</v>
      </c>
      <c r="D126" s="300">
        <v>38539.78402071759</v>
      </c>
      <c r="E126" s="301">
        <v>34.268462095087052</v>
      </c>
      <c r="F126" s="302">
        <v>0</v>
      </c>
    </row>
    <row r="127" spans="3:6">
      <c r="C127" s="299">
        <v>124</v>
      </c>
      <c r="D127" s="300">
        <v>38539.784021990738</v>
      </c>
      <c r="E127" s="301">
        <v>-31.510581857840855</v>
      </c>
      <c r="F127" s="302">
        <v>0</v>
      </c>
    </row>
    <row r="128" spans="3:6">
      <c r="C128" s="299">
        <v>125</v>
      </c>
      <c r="D128" s="300">
        <v>38539.784023263892</v>
      </c>
      <c r="E128" s="301">
        <v>41.225559768159272</v>
      </c>
      <c r="F128" s="302">
        <v>0</v>
      </c>
    </row>
    <row r="129" spans="3:6">
      <c r="C129" s="299">
        <v>126</v>
      </c>
      <c r="D129" s="300">
        <v>38539.784024537039</v>
      </c>
      <c r="E129" s="301">
        <v>43.165395632047272</v>
      </c>
      <c r="F129" s="302">
        <v>0</v>
      </c>
    </row>
    <row r="130" spans="3:6">
      <c r="C130" s="299">
        <v>127</v>
      </c>
      <c r="D130" s="300">
        <v>38539.784026041663</v>
      </c>
      <c r="E130" s="301">
        <v>21.27425926713223</v>
      </c>
      <c r="F130" s="302">
        <v>0</v>
      </c>
    </row>
    <row r="131" spans="3:6">
      <c r="C131" s="299">
        <v>128</v>
      </c>
      <c r="D131" s="300">
        <v>38539.784027314818</v>
      </c>
      <c r="E131" s="301">
        <v>50.7338429742736</v>
      </c>
      <c r="F131" s="302">
        <v>0</v>
      </c>
    </row>
    <row r="132" spans="3:6">
      <c r="C132" s="299">
        <v>129</v>
      </c>
      <c r="D132" s="300">
        <v>38539.784028703703</v>
      </c>
      <c r="E132" s="301">
        <v>9.0364960696534826</v>
      </c>
      <c r="F132" s="302">
        <v>0</v>
      </c>
    </row>
    <row r="133" spans="3:6">
      <c r="C133" s="299">
        <v>130</v>
      </c>
      <c r="D133" s="300">
        <v>38539.78402997685</v>
      </c>
      <c r="E133" s="301">
        <v>-34.844125472520815</v>
      </c>
      <c r="F133" s="302">
        <v>0</v>
      </c>
    </row>
    <row r="134" spans="3:6">
      <c r="C134" s="299">
        <v>131</v>
      </c>
      <c r="D134" s="300">
        <v>38539.784031365743</v>
      </c>
      <c r="E134" s="301">
        <v>27.614000726566331</v>
      </c>
      <c r="F134" s="302">
        <v>0</v>
      </c>
    </row>
    <row r="135" spans="3:6">
      <c r="C135" s="299">
        <v>132</v>
      </c>
      <c r="D135" s="300">
        <v>38539.78403263889</v>
      </c>
      <c r="E135" s="301">
        <v>4.9266677913030339</v>
      </c>
      <c r="F135" s="302">
        <v>0</v>
      </c>
    </row>
    <row r="136" spans="3:6">
      <c r="C136" s="299">
        <v>133</v>
      </c>
      <c r="D136" s="300">
        <v>38539.784033912038</v>
      </c>
      <c r="E136" s="301">
        <v>-29.213814169136359</v>
      </c>
      <c r="F136" s="302">
        <v>1</v>
      </c>
    </row>
    <row r="137" spans="3:6">
      <c r="C137" s="299">
        <v>134</v>
      </c>
      <c r="D137" s="300">
        <v>38539.784035185185</v>
      </c>
      <c r="E137" s="301">
        <v>45.475265889065554</v>
      </c>
      <c r="F137" s="302">
        <v>0</v>
      </c>
    </row>
    <row r="138" spans="3:6">
      <c r="C138" s="299">
        <v>135</v>
      </c>
      <c r="D138" s="300">
        <v>38539.784036805555</v>
      </c>
      <c r="E138" s="301">
        <v>6.3011536951943636</v>
      </c>
      <c r="F138" s="302">
        <v>0</v>
      </c>
    </row>
    <row r="139" spans="3:6">
      <c r="C139" s="299">
        <v>136</v>
      </c>
      <c r="D139" s="300">
        <v>38539.784038078702</v>
      </c>
      <c r="E139" s="301">
        <v>-16.586164136185424</v>
      </c>
      <c r="F139" s="302">
        <v>0</v>
      </c>
    </row>
    <row r="140" spans="3:6">
      <c r="C140" s="299">
        <v>137</v>
      </c>
      <c r="D140" s="300">
        <v>38539.784039583334</v>
      </c>
      <c r="E140" s="301">
        <v>54.932104983918649</v>
      </c>
      <c r="F140" s="302">
        <v>0</v>
      </c>
    </row>
    <row r="141" spans="3:6">
      <c r="C141" s="299">
        <v>138</v>
      </c>
      <c r="D141" s="300">
        <v>38539.784040856481</v>
      </c>
      <c r="E141" s="301">
        <v>46.868294208391738</v>
      </c>
      <c r="F141" s="302">
        <v>0</v>
      </c>
    </row>
    <row r="142" spans="3:6">
      <c r="C142" s="299">
        <v>139</v>
      </c>
      <c r="D142" s="300">
        <v>38539.784042129628</v>
      </c>
      <c r="E142" s="301">
        <v>-57.538359293548943</v>
      </c>
      <c r="F142" s="302">
        <v>0</v>
      </c>
    </row>
    <row r="143" spans="3:6">
      <c r="C143" s="299">
        <v>140</v>
      </c>
      <c r="D143" s="300">
        <v>38539.784043518521</v>
      </c>
      <c r="E143" s="301">
        <v>23.736815992670937</v>
      </c>
      <c r="F143" s="302">
        <v>0</v>
      </c>
    </row>
    <row r="144" spans="3:6">
      <c r="C144" s="299">
        <v>141</v>
      </c>
      <c r="D144" s="300">
        <v>38539.784044791668</v>
      </c>
      <c r="E144" s="301">
        <v>-13.458714386276775</v>
      </c>
      <c r="F144" s="302">
        <v>0</v>
      </c>
    </row>
    <row r="145" spans="3:6">
      <c r="C145" s="299">
        <v>142</v>
      </c>
      <c r="D145" s="300">
        <v>38539.784046064815</v>
      </c>
      <c r="E145" s="301">
        <v>4.2606683461523449</v>
      </c>
      <c r="F145" s="302">
        <v>0</v>
      </c>
    </row>
    <row r="146" spans="3:6">
      <c r="C146" s="299">
        <v>143</v>
      </c>
      <c r="D146" s="300">
        <v>38539.784047337962</v>
      </c>
      <c r="E146" s="301">
        <v>32.666165608707246</v>
      </c>
      <c r="F146" s="302">
        <v>0</v>
      </c>
    </row>
    <row r="147" spans="3:6">
      <c r="C147" s="299">
        <v>144</v>
      </c>
      <c r="D147" s="300">
        <v>38539.784048611109</v>
      </c>
      <c r="E147" s="301">
        <v>32.576445857410548</v>
      </c>
      <c r="F147" s="302">
        <v>0</v>
      </c>
    </row>
    <row r="148" spans="3:6">
      <c r="C148" s="299">
        <v>145</v>
      </c>
      <c r="D148" s="300">
        <v>38539.784050000002</v>
      </c>
      <c r="E148" s="301">
        <v>8.6747746583205334</v>
      </c>
      <c r="F148" s="302">
        <v>0</v>
      </c>
    </row>
    <row r="149" spans="3:6">
      <c r="C149" s="299">
        <v>146</v>
      </c>
      <c r="D149" s="300">
        <v>38539.784051273149</v>
      </c>
      <c r="E149" s="301">
        <v>38.561297136672366</v>
      </c>
      <c r="F149" s="302">
        <v>0</v>
      </c>
    </row>
    <row r="150" spans="3:6">
      <c r="C150" s="299">
        <v>147</v>
      </c>
      <c r="D150" s="300">
        <v>38539.784052777781</v>
      </c>
      <c r="E150" s="301">
        <v>-20.177289959054896</v>
      </c>
      <c r="F150" s="302">
        <v>0</v>
      </c>
    </row>
    <row r="151" spans="3:6">
      <c r="C151" s="299">
        <v>148</v>
      </c>
      <c r="D151" s="300">
        <v>38539.784054050928</v>
      </c>
      <c r="E151" s="301">
        <v>-2.7501770442616822</v>
      </c>
      <c r="F151" s="302">
        <v>0</v>
      </c>
    </row>
    <row r="152" spans="3:6">
      <c r="C152" s="299">
        <v>149</v>
      </c>
      <c r="D152" s="300">
        <v>38539.784055324075</v>
      </c>
      <c r="E152" s="301">
        <v>20.129300057624622</v>
      </c>
      <c r="F152" s="302">
        <v>0</v>
      </c>
    </row>
    <row r="153" spans="3:6">
      <c r="C153" s="299">
        <v>150</v>
      </c>
      <c r="D153" s="300">
        <v>38539.784056712961</v>
      </c>
      <c r="E153" s="301">
        <v>-31.905220808742051</v>
      </c>
      <c r="F153" s="302">
        <v>0</v>
      </c>
    </row>
    <row r="154" spans="3:6">
      <c r="C154" s="299">
        <v>151</v>
      </c>
      <c r="D154" s="300">
        <v>38539.784057986108</v>
      </c>
      <c r="E154" s="301">
        <v>-11.212757433388999</v>
      </c>
      <c r="F154" s="302">
        <v>0</v>
      </c>
    </row>
    <row r="155" spans="3:6">
      <c r="C155" s="299">
        <v>152</v>
      </c>
      <c r="D155" s="300">
        <v>38539.784059490739</v>
      </c>
      <c r="E155" s="301">
        <v>9.6891745595264052</v>
      </c>
      <c r="F155" s="302">
        <v>0</v>
      </c>
    </row>
    <row r="156" spans="3:6">
      <c r="C156" s="299">
        <v>153</v>
      </c>
      <c r="D156" s="300">
        <v>38539.784060763886</v>
      </c>
      <c r="E156" s="301">
        <v>13.181943688900288</v>
      </c>
      <c r="F156" s="302">
        <v>0</v>
      </c>
    </row>
    <row r="157" spans="3:6">
      <c r="C157" s="299">
        <v>154</v>
      </c>
      <c r="D157" s="300">
        <v>38539.784062037033</v>
      </c>
      <c r="E157" s="301">
        <v>29.865293257474548</v>
      </c>
      <c r="F157" s="302">
        <v>0</v>
      </c>
    </row>
    <row r="158" spans="3:6">
      <c r="C158" s="299">
        <v>155</v>
      </c>
      <c r="D158" s="300">
        <v>38539.784063425926</v>
      </c>
      <c r="E158" s="301">
        <v>-76.023125887845467</v>
      </c>
      <c r="F158" s="302">
        <v>0</v>
      </c>
    </row>
    <row r="159" spans="3:6">
      <c r="C159" s="299">
        <v>156</v>
      </c>
      <c r="D159" s="300">
        <v>38539.784064699073</v>
      </c>
      <c r="E159" s="301">
        <v>-9.7052842883157524</v>
      </c>
      <c r="F159" s="302">
        <v>0</v>
      </c>
    </row>
    <row r="160" spans="3:6">
      <c r="C160" s="299">
        <v>157</v>
      </c>
      <c r="D160" s="300">
        <v>38539.784066087966</v>
      </c>
      <c r="E160" s="301">
        <v>3.4047593029055356</v>
      </c>
      <c r="F160" s="302">
        <v>0</v>
      </c>
    </row>
    <row r="161" spans="3:6">
      <c r="C161" s="299">
        <v>158</v>
      </c>
      <c r="D161" s="300">
        <v>38539.784067361114</v>
      </c>
      <c r="E161" s="301">
        <v>-16.0185935768889</v>
      </c>
      <c r="F161" s="302">
        <v>0</v>
      </c>
    </row>
    <row r="162" spans="3:6">
      <c r="C162" s="299">
        <v>159</v>
      </c>
      <c r="D162" s="300">
        <v>38539.784068634261</v>
      </c>
      <c r="E162" s="301">
        <v>-26.198019232528516</v>
      </c>
      <c r="F162" s="302">
        <v>0</v>
      </c>
    </row>
    <row r="163" spans="3:6">
      <c r="C163" s="299">
        <v>160</v>
      </c>
      <c r="D163" s="300">
        <v>38539.784070138892</v>
      </c>
      <c r="E163" s="301">
        <v>4.4596313786124817</v>
      </c>
      <c r="F163" s="302">
        <v>0</v>
      </c>
    </row>
    <row r="164" spans="3:6">
      <c r="C164" s="299">
        <v>161</v>
      </c>
      <c r="D164" s="300">
        <v>38539.784071527778</v>
      </c>
      <c r="E164" s="301">
        <v>7.5624234315906804</v>
      </c>
      <c r="F164" s="302">
        <v>0</v>
      </c>
    </row>
    <row r="165" spans="3:6">
      <c r="C165" s="299">
        <v>162</v>
      </c>
      <c r="D165" s="300">
        <v>38539.784072800925</v>
      </c>
      <c r="E165" s="301">
        <v>-31.297644642240858</v>
      </c>
      <c r="F165" s="302">
        <v>0</v>
      </c>
    </row>
    <row r="166" spans="3:6">
      <c r="C166" s="299">
        <v>163</v>
      </c>
      <c r="D166" s="300">
        <v>38539.784074305557</v>
      </c>
      <c r="E166" s="301">
        <v>-9.1433485360211897</v>
      </c>
      <c r="F166" s="302">
        <v>0</v>
      </c>
    </row>
    <row r="167" spans="3:6">
      <c r="C167" s="299">
        <v>164</v>
      </c>
      <c r="D167" s="300">
        <v>38539.784075578704</v>
      </c>
      <c r="E167" s="301">
        <v>5.4520091437396019</v>
      </c>
      <c r="F167" s="302">
        <v>0</v>
      </c>
    </row>
    <row r="168" spans="3:6">
      <c r="C168" s="299">
        <v>165</v>
      </c>
      <c r="D168" s="300">
        <v>38539.784076851851</v>
      </c>
      <c r="E168" s="301">
        <v>-0.85392310095367208</v>
      </c>
      <c r="F168" s="302">
        <v>0</v>
      </c>
    </row>
    <row r="169" spans="3:6">
      <c r="C169" s="299">
        <v>166</v>
      </c>
      <c r="D169" s="300">
        <v>38539.784078124998</v>
      </c>
      <c r="E169" s="301">
        <v>33.936427871244888</v>
      </c>
      <c r="F169" s="302">
        <v>0</v>
      </c>
    </row>
    <row r="170" spans="3:6">
      <c r="C170" s="299">
        <v>167</v>
      </c>
      <c r="D170" s="300">
        <v>38539.784079398145</v>
      </c>
      <c r="E170" s="301">
        <v>57.682222609599251</v>
      </c>
      <c r="F170" s="302">
        <v>0</v>
      </c>
    </row>
    <row r="171" spans="3:6">
      <c r="C171" s="299">
        <v>168</v>
      </c>
      <c r="D171" s="300">
        <v>38539.784080555553</v>
      </c>
      <c r="E171" s="301">
        <v>2.3512225876601232</v>
      </c>
      <c r="F171" s="302">
        <v>0</v>
      </c>
    </row>
    <row r="172" spans="3:6">
      <c r="C172" s="299">
        <v>169</v>
      </c>
      <c r="D172" s="300">
        <v>38539.784082060185</v>
      </c>
      <c r="E172" s="301">
        <v>48.630112122928537</v>
      </c>
      <c r="F172" s="302">
        <v>0</v>
      </c>
    </row>
    <row r="173" spans="3:6">
      <c r="C173" s="299">
        <v>170</v>
      </c>
      <c r="D173" s="300">
        <v>38539.784083101855</v>
      </c>
      <c r="E173" s="301">
        <v>24.924834143023617</v>
      </c>
      <c r="F173" s="302">
        <v>0</v>
      </c>
    </row>
    <row r="174" spans="3:6">
      <c r="C174" s="299">
        <v>171</v>
      </c>
      <c r="D174" s="300">
        <v>38539.784084606479</v>
      </c>
      <c r="E174" s="301">
        <v>-14.607114134503124</v>
      </c>
      <c r="F174" s="302">
        <v>0</v>
      </c>
    </row>
    <row r="175" spans="3:6">
      <c r="C175" s="299">
        <v>172</v>
      </c>
      <c r="D175" s="300">
        <v>38539.784085879626</v>
      </c>
      <c r="E175" s="301">
        <v>-6.7519627775454518</v>
      </c>
      <c r="F175" s="302">
        <v>0</v>
      </c>
    </row>
    <row r="176" spans="3:6">
      <c r="C176" s="299">
        <v>173</v>
      </c>
      <c r="D176" s="300">
        <v>38539.784087268519</v>
      </c>
      <c r="E176" s="301">
        <v>-1.0430686680423413</v>
      </c>
      <c r="F176" s="302">
        <v>0</v>
      </c>
    </row>
    <row r="177" spans="3:6">
      <c r="C177" s="299">
        <v>174</v>
      </c>
      <c r="D177" s="300">
        <v>38539.784088773151</v>
      </c>
      <c r="E177" s="301">
        <v>-22.999151196875012</v>
      </c>
      <c r="F177" s="302">
        <v>0</v>
      </c>
    </row>
    <row r="178" spans="3:6">
      <c r="C178" s="299">
        <v>175</v>
      </c>
      <c r="D178" s="300">
        <v>38539.784090046298</v>
      </c>
      <c r="E178" s="301">
        <v>33.767061368161102</v>
      </c>
      <c r="F178" s="302">
        <v>0</v>
      </c>
    </row>
    <row r="179" spans="3:6">
      <c r="C179" s="299">
        <v>176</v>
      </c>
      <c r="D179" s="300">
        <v>38539.784091319445</v>
      </c>
      <c r="E179" s="301">
        <v>40.434805017452568</v>
      </c>
      <c r="F179" s="302">
        <v>0</v>
      </c>
    </row>
    <row r="180" spans="3:6">
      <c r="C180" s="299">
        <v>177</v>
      </c>
      <c r="D180" s="300">
        <v>38539.784092708331</v>
      </c>
      <c r="E180" s="301">
        <v>55.954484664545376</v>
      </c>
      <c r="F180" s="302">
        <v>0</v>
      </c>
    </row>
    <row r="181" spans="3:6">
      <c r="C181" s="299">
        <v>178</v>
      </c>
      <c r="D181" s="300">
        <v>38539.784093981485</v>
      </c>
      <c r="E181" s="301">
        <v>39.632918783771345</v>
      </c>
      <c r="F181" s="302">
        <v>0</v>
      </c>
    </row>
    <row r="182" spans="3:6">
      <c r="C182" s="299">
        <v>179</v>
      </c>
      <c r="D182" s="300">
        <v>38539.784095254632</v>
      </c>
      <c r="E182" s="301">
        <v>-18.615002342764562</v>
      </c>
      <c r="F182" s="302">
        <v>0</v>
      </c>
    </row>
    <row r="183" spans="3:6">
      <c r="C183" s="299">
        <v>180</v>
      </c>
      <c r="D183" s="300">
        <v>38539.784096759256</v>
      </c>
      <c r="E183" s="301">
        <v>-32.192758510375114</v>
      </c>
      <c r="F183" s="302">
        <v>0</v>
      </c>
    </row>
    <row r="184" spans="3:6">
      <c r="C184" s="299">
        <v>181</v>
      </c>
      <c r="D184" s="300">
        <v>38539.784097800926</v>
      </c>
      <c r="E184" s="301">
        <v>13.846241529077188</v>
      </c>
      <c r="F184" s="302">
        <v>0</v>
      </c>
    </row>
    <row r="185" spans="3:6">
      <c r="C185" s="299">
        <v>182</v>
      </c>
      <c r="D185" s="300">
        <v>38539.784099074073</v>
      </c>
      <c r="E185" s="301">
        <v>15.825106865875568</v>
      </c>
      <c r="F185" s="302">
        <v>0</v>
      </c>
    </row>
    <row r="186" spans="3:6">
      <c r="C186" s="299">
        <v>183</v>
      </c>
      <c r="D186" s="300">
        <v>38539.78410034722</v>
      </c>
      <c r="E186" s="301">
        <v>14.865897635155973</v>
      </c>
      <c r="F186" s="302">
        <v>0</v>
      </c>
    </row>
    <row r="187" spans="3:6">
      <c r="C187" s="299">
        <v>184</v>
      </c>
      <c r="D187" s="300">
        <v>38539.784101620367</v>
      </c>
      <c r="E187" s="301">
        <v>88.967915839832102</v>
      </c>
      <c r="F187" s="302">
        <v>0</v>
      </c>
    </row>
    <row r="188" spans="3:6">
      <c r="C188" s="299">
        <v>185</v>
      </c>
      <c r="D188" s="300">
        <v>38539.78410300926</v>
      </c>
      <c r="E188" s="301">
        <v>-4.1402778071718291</v>
      </c>
      <c r="F188" s="302">
        <v>0</v>
      </c>
    </row>
    <row r="189" spans="3:6">
      <c r="C189" s="299">
        <v>186</v>
      </c>
      <c r="D189" s="300">
        <v>38539.784104282407</v>
      </c>
      <c r="E189" s="301">
        <v>43.375891345237562</v>
      </c>
      <c r="F189" s="302">
        <v>0</v>
      </c>
    </row>
    <row r="190" spans="3:6">
      <c r="C190" s="299">
        <v>187</v>
      </c>
      <c r="D190" s="300">
        <v>38539.784105555555</v>
      </c>
      <c r="E190" s="301">
        <v>10.030431328096626</v>
      </c>
      <c r="F190" s="302">
        <v>0</v>
      </c>
    </row>
    <row r="191" spans="3:6">
      <c r="C191" s="299">
        <v>188</v>
      </c>
      <c r="D191" s="300">
        <v>38539.784107060186</v>
      </c>
      <c r="E191" s="301">
        <v>-50.371123034669068</v>
      </c>
      <c r="F191" s="302">
        <v>0</v>
      </c>
    </row>
    <row r="192" spans="3:6">
      <c r="C192" s="299">
        <v>189</v>
      </c>
      <c r="D192" s="300">
        <v>38539.784108333333</v>
      </c>
      <c r="E192" s="301">
        <v>17.616836836564865</v>
      </c>
      <c r="F192" s="302">
        <v>0</v>
      </c>
    </row>
    <row r="193" spans="3:6">
      <c r="C193" s="299">
        <v>190</v>
      </c>
      <c r="D193" s="300">
        <v>38539.784109490742</v>
      </c>
      <c r="E193" s="301">
        <v>-7.1639077825029656</v>
      </c>
      <c r="F193" s="302">
        <v>0</v>
      </c>
    </row>
    <row r="194" spans="3:6">
      <c r="C194" s="299">
        <v>191</v>
      </c>
      <c r="D194" s="300">
        <v>38539.784110995373</v>
      </c>
      <c r="E194" s="301">
        <v>-15.64950247609443</v>
      </c>
      <c r="F194" s="302">
        <v>0</v>
      </c>
    </row>
    <row r="195" spans="3:6">
      <c r="C195" s="299">
        <v>192</v>
      </c>
      <c r="D195" s="300">
        <v>38539.78411226852</v>
      </c>
      <c r="E195" s="301">
        <v>24.722538778602797</v>
      </c>
      <c r="F195" s="302">
        <v>0</v>
      </c>
    </row>
    <row r="196" spans="3:6">
      <c r="C196" s="299">
        <v>193</v>
      </c>
      <c r="D196" s="300">
        <v>38539.784113541667</v>
      </c>
      <c r="E196" s="301">
        <v>12.343189142094598</v>
      </c>
      <c r="F196" s="302">
        <v>0</v>
      </c>
    </row>
    <row r="197" spans="3:6">
      <c r="C197" s="299">
        <v>194</v>
      </c>
      <c r="D197" s="300">
        <v>38539.784114814815</v>
      </c>
      <c r="E197" s="301">
        <v>32.766492115795401</v>
      </c>
      <c r="F197" s="302">
        <v>0</v>
      </c>
    </row>
    <row r="198" spans="3:6">
      <c r="C198" s="299">
        <v>195</v>
      </c>
      <c r="D198" s="300">
        <v>38539.784116550923</v>
      </c>
      <c r="E198" s="301">
        <v>-30.058329128615036</v>
      </c>
      <c r="F198" s="302">
        <v>0</v>
      </c>
    </row>
    <row r="199" spans="3:6">
      <c r="C199" s="299">
        <v>196</v>
      </c>
      <c r="D199" s="300">
        <v>38539.784118171294</v>
      </c>
      <c r="E199" s="301">
        <v>31.188314319730868</v>
      </c>
      <c r="F199" s="302">
        <v>0</v>
      </c>
    </row>
    <row r="200" spans="3:6">
      <c r="C200" s="299">
        <v>197</v>
      </c>
      <c r="D200" s="300">
        <v>38539.78411990741</v>
      </c>
      <c r="E200" s="301">
        <v>1.5769741752344064</v>
      </c>
      <c r="F200" s="302">
        <v>0</v>
      </c>
    </row>
    <row r="201" spans="3:6">
      <c r="C201" s="299">
        <v>198</v>
      </c>
      <c r="D201" s="300">
        <v>38539.784121064811</v>
      </c>
      <c r="E201" s="301">
        <v>-50.240638076499721</v>
      </c>
      <c r="F201" s="302">
        <v>0</v>
      </c>
    </row>
    <row r="202" spans="3:6">
      <c r="C202" s="299">
        <v>199</v>
      </c>
      <c r="D202" s="300">
        <v>38539.784122569443</v>
      </c>
      <c r="E202" s="301">
        <v>-41.790658042462709</v>
      </c>
      <c r="F202" s="302">
        <v>0</v>
      </c>
    </row>
    <row r="203" spans="3:6">
      <c r="C203" s="299">
        <v>200</v>
      </c>
      <c r="D203" s="300">
        <v>38539.784124189813</v>
      </c>
      <c r="E203" s="301">
        <v>32.802218751634534</v>
      </c>
      <c r="F203" s="302">
        <v>0</v>
      </c>
    </row>
    <row r="204" spans="3:6">
      <c r="C204" s="299">
        <v>201</v>
      </c>
      <c r="D204" s="300">
        <v>38539.784125694445</v>
      </c>
      <c r="E204" s="301">
        <v>40.66713714983905</v>
      </c>
      <c r="F204" s="302">
        <v>0</v>
      </c>
    </row>
    <row r="205" spans="3:6">
      <c r="C205" s="299">
        <v>202</v>
      </c>
      <c r="D205" s="300">
        <v>38539.784126851853</v>
      </c>
      <c r="E205" s="301">
        <v>-25.994883611330444</v>
      </c>
      <c r="F205" s="302">
        <v>0</v>
      </c>
    </row>
    <row r="206" spans="3:6">
      <c r="C206" s="299">
        <v>203</v>
      </c>
      <c r="D206" s="300">
        <v>38539.784129629632</v>
      </c>
      <c r="E206" s="301">
        <v>41.751819701112929</v>
      </c>
      <c r="F206" s="302">
        <v>0</v>
      </c>
    </row>
    <row r="207" spans="3:6">
      <c r="C207" s="299">
        <v>204</v>
      </c>
      <c r="D207" s="300">
        <v>38539.784130902779</v>
      </c>
      <c r="E207" s="301">
        <v>17.069182550952132</v>
      </c>
      <c r="F207" s="302">
        <v>0</v>
      </c>
    </row>
    <row r="208" spans="3:6">
      <c r="C208" s="299">
        <v>205</v>
      </c>
      <c r="D208" s="300">
        <v>38539.784132291665</v>
      </c>
      <c r="E208" s="301">
        <v>-15.810952013961419</v>
      </c>
      <c r="F208" s="302">
        <v>0</v>
      </c>
    </row>
    <row r="209" spans="3:6">
      <c r="C209" s="299">
        <v>206</v>
      </c>
      <c r="D209" s="300">
        <v>38539.784133564812</v>
      </c>
      <c r="E209" s="301">
        <v>3.1691246808865507</v>
      </c>
      <c r="F209" s="302">
        <v>0</v>
      </c>
    </row>
    <row r="210" spans="3:6">
      <c r="C210" s="299">
        <v>207</v>
      </c>
      <c r="D210" s="300">
        <v>38539.784134837966</v>
      </c>
      <c r="E210" s="301">
        <v>9.0361327253225046</v>
      </c>
      <c r="F210" s="302">
        <v>0</v>
      </c>
    </row>
    <row r="211" spans="3:6">
      <c r="C211" s="299">
        <v>208</v>
      </c>
      <c r="D211" s="300">
        <v>38539.784136111113</v>
      </c>
      <c r="E211" s="301">
        <v>-13.137738354415291</v>
      </c>
      <c r="F211" s="302">
        <v>0</v>
      </c>
    </row>
    <row r="212" spans="3:6">
      <c r="C212" s="299">
        <v>209</v>
      </c>
      <c r="D212" s="300">
        <v>38539.784137615738</v>
      </c>
      <c r="E212" s="301">
        <v>51.886379642058259</v>
      </c>
      <c r="F212" s="302">
        <v>0</v>
      </c>
    </row>
    <row r="213" spans="3:6">
      <c r="C213" s="299">
        <v>210</v>
      </c>
      <c r="D213" s="300">
        <v>38539.784139004631</v>
      </c>
      <c r="E213" s="301">
        <v>20.136627650532571</v>
      </c>
      <c r="F213" s="302">
        <v>0</v>
      </c>
    </row>
    <row r="214" spans="3:6">
      <c r="C214" s="299">
        <v>211</v>
      </c>
      <c r="D214" s="300">
        <v>38539.784140625001</v>
      </c>
      <c r="E214" s="301">
        <v>2.2815622880349231</v>
      </c>
      <c r="F214" s="302">
        <v>0</v>
      </c>
    </row>
    <row r="215" spans="3:6">
      <c r="C215" s="299">
        <v>212</v>
      </c>
      <c r="D215" s="300">
        <v>38539.784142476849</v>
      </c>
      <c r="E215" s="301">
        <v>53.812660628924363</v>
      </c>
      <c r="F215" s="302">
        <v>0</v>
      </c>
    </row>
    <row r="216" spans="3:6">
      <c r="C216" s="299">
        <v>213</v>
      </c>
      <c r="D216" s="300">
        <v>38539.784143865741</v>
      </c>
      <c r="E216" s="301">
        <v>-1.310620929347321</v>
      </c>
      <c r="F216" s="302">
        <v>0</v>
      </c>
    </row>
    <row r="217" spans="3:6">
      <c r="C217" s="299">
        <v>214</v>
      </c>
      <c r="D217" s="300">
        <v>38539.784145486112</v>
      </c>
      <c r="E217" s="301">
        <v>17.491754461749721</v>
      </c>
      <c r="F217" s="302">
        <v>0</v>
      </c>
    </row>
    <row r="218" spans="3:6">
      <c r="C218" s="299">
        <v>215</v>
      </c>
      <c r="D218" s="300">
        <v>38539.784147106482</v>
      </c>
      <c r="E218" s="301">
        <v>-8.3470652721733956</v>
      </c>
      <c r="F218" s="302">
        <v>0</v>
      </c>
    </row>
    <row r="219" spans="3:6">
      <c r="C219" s="299">
        <v>216</v>
      </c>
      <c r="D219" s="300">
        <v>38539.784148379629</v>
      </c>
      <c r="E219" s="301">
        <v>-13.919159733864005</v>
      </c>
      <c r="F219" s="302">
        <v>0</v>
      </c>
    </row>
    <row r="220" spans="3:6">
      <c r="C220" s="299">
        <v>217</v>
      </c>
      <c r="D220" s="300">
        <v>38539.784149652776</v>
      </c>
      <c r="E220" s="301">
        <v>-4.9621187273412204</v>
      </c>
      <c r="F220" s="302">
        <v>0</v>
      </c>
    </row>
    <row r="221" spans="3:6">
      <c r="C221" s="299">
        <v>218</v>
      </c>
      <c r="D221" s="300">
        <v>38539.784151504631</v>
      </c>
      <c r="E221" s="301">
        <v>10.275769406990177</v>
      </c>
      <c r="F221" s="302">
        <v>0</v>
      </c>
    </row>
    <row r="222" spans="3:6">
      <c r="C222" s="299">
        <v>219</v>
      </c>
      <c r="D222" s="300">
        <v>38539.784153125001</v>
      </c>
      <c r="E222" s="301">
        <v>9.9236249436689192</v>
      </c>
      <c r="F222" s="302">
        <v>0</v>
      </c>
    </row>
    <row r="223" spans="3:6">
      <c r="C223" s="299">
        <v>220</v>
      </c>
      <c r="D223" s="300">
        <v>38539.784154629633</v>
      </c>
      <c r="E223" s="301">
        <v>-23.755667678964535</v>
      </c>
      <c r="F223" s="302">
        <v>0</v>
      </c>
    </row>
    <row r="224" spans="3:6">
      <c r="C224" s="299">
        <v>221</v>
      </c>
      <c r="D224" s="300">
        <v>38539.784156365742</v>
      </c>
      <c r="E224" s="301">
        <v>33.02231833755809</v>
      </c>
      <c r="F224" s="302">
        <v>0</v>
      </c>
    </row>
    <row r="225" spans="3:6">
      <c r="C225" s="299">
        <v>222</v>
      </c>
      <c r="D225" s="300">
        <v>38539.784159606483</v>
      </c>
      <c r="E225" s="301">
        <v>40.876265037968814</v>
      </c>
      <c r="F225" s="302">
        <v>0</v>
      </c>
    </row>
    <row r="226" spans="3:6">
      <c r="C226" s="299">
        <v>223</v>
      </c>
      <c r="D226" s="300">
        <v>38539.784162037038</v>
      </c>
      <c r="E226" s="301">
        <v>44.143346303217292</v>
      </c>
      <c r="F226" s="302">
        <v>0</v>
      </c>
    </row>
    <row r="227" spans="3:6">
      <c r="C227" s="299">
        <v>224</v>
      </c>
      <c r="D227" s="300">
        <v>38539.784164004632</v>
      </c>
      <c r="E227" s="301">
        <v>47.967187089842497</v>
      </c>
      <c r="F227" s="302">
        <v>0</v>
      </c>
    </row>
    <row r="228" spans="3:6">
      <c r="C228" s="299">
        <v>225</v>
      </c>
      <c r="D228" s="300">
        <v>38539.784165625002</v>
      </c>
      <c r="E228" s="301">
        <v>7.0986393237766139</v>
      </c>
      <c r="F228" s="302">
        <v>0</v>
      </c>
    </row>
    <row r="229" spans="3:6">
      <c r="C229" s="299">
        <v>226</v>
      </c>
      <c r="D229" s="300">
        <v>38539.784167361111</v>
      </c>
      <c r="E229" s="301">
        <v>31.14126108183012</v>
      </c>
      <c r="F229" s="302">
        <v>0</v>
      </c>
    </row>
    <row r="230" spans="3:6">
      <c r="C230" s="299">
        <v>227</v>
      </c>
      <c r="D230" s="300">
        <v>38539.78417013889</v>
      </c>
      <c r="E230" s="301">
        <v>-0.63601661130266152</v>
      </c>
      <c r="F230" s="302">
        <v>0</v>
      </c>
    </row>
    <row r="231" spans="3:6">
      <c r="C231" s="299">
        <v>228</v>
      </c>
      <c r="D231" s="300">
        <v>38539.78417175926</v>
      </c>
      <c r="E231" s="301">
        <v>10.602553736954723</v>
      </c>
      <c r="F231" s="302">
        <v>0</v>
      </c>
    </row>
    <row r="232" spans="3:6">
      <c r="C232" s="299">
        <v>229</v>
      </c>
      <c r="D232" s="300">
        <v>38539.784173611108</v>
      </c>
      <c r="E232" s="301">
        <v>0.65321094952784975</v>
      </c>
      <c r="F232" s="302">
        <v>0</v>
      </c>
    </row>
    <row r="233" spans="3:6">
      <c r="C233" s="299">
        <v>230</v>
      </c>
      <c r="D233" s="300">
        <v>38539.784175000001</v>
      </c>
      <c r="E233" s="301">
        <v>-16.920643834379195</v>
      </c>
      <c r="F233" s="302">
        <v>0</v>
      </c>
    </row>
    <row r="234" spans="3:6">
      <c r="C234" s="299">
        <v>231</v>
      </c>
      <c r="D234" s="300">
        <v>38539.784176504632</v>
      </c>
      <c r="E234" s="301">
        <v>-23.309139362331088</v>
      </c>
      <c r="F234" s="302">
        <v>0</v>
      </c>
    </row>
    <row r="235" spans="3:6">
      <c r="C235" s="299">
        <v>232</v>
      </c>
      <c r="D235" s="300">
        <v>38539.784178125003</v>
      </c>
      <c r="E235" s="301">
        <v>18.293910741558371</v>
      </c>
      <c r="F235" s="302">
        <v>0</v>
      </c>
    </row>
    <row r="236" spans="3:6">
      <c r="C236" s="299">
        <v>233</v>
      </c>
      <c r="D236" s="300">
        <v>38539.784179745373</v>
      </c>
      <c r="E236" s="301">
        <v>45.403719794842345</v>
      </c>
      <c r="F236" s="302">
        <v>0</v>
      </c>
    </row>
    <row r="237" spans="3:6">
      <c r="C237" s="299">
        <v>234</v>
      </c>
      <c r="D237" s="300">
        <v>38539.784181134259</v>
      </c>
      <c r="E237" s="301">
        <v>-5.2763854674509787</v>
      </c>
      <c r="F237" s="302">
        <v>0</v>
      </c>
    </row>
    <row r="238" spans="3:6">
      <c r="C238" s="299">
        <v>235</v>
      </c>
      <c r="D238" s="300">
        <v>38539.784182407406</v>
      </c>
      <c r="E238" s="301">
        <v>-2.1668407701836592</v>
      </c>
      <c r="F238" s="302">
        <v>0</v>
      </c>
    </row>
    <row r="239" spans="3:6">
      <c r="C239" s="299">
        <v>236</v>
      </c>
      <c r="D239" s="300">
        <v>38539.784183912037</v>
      </c>
      <c r="E239" s="301">
        <v>-75.065413219278085</v>
      </c>
      <c r="F239" s="302">
        <v>0</v>
      </c>
    </row>
    <row r="240" spans="3:6">
      <c r="C240" s="299">
        <v>237</v>
      </c>
      <c r="D240" s="300">
        <v>38539.784186458332</v>
      </c>
      <c r="E240" s="301">
        <v>23.551803083108375</v>
      </c>
      <c r="F240" s="302">
        <v>0</v>
      </c>
    </row>
    <row r="241" spans="3:6">
      <c r="C241" s="299">
        <v>238</v>
      </c>
      <c r="D241" s="300">
        <v>38539.784187847225</v>
      </c>
      <c r="E241" s="301">
        <v>3.8196870675430254</v>
      </c>
      <c r="F241" s="302">
        <v>1</v>
      </c>
    </row>
    <row r="242" spans="3:6">
      <c r="C242" s="299">
        <v>239</v>
      </c>
      <c r="D242" s="300">
        <v>38539.784193055559</v>
      </c>
      <c r="E242" s="301">
        <v>-2.9720531797026126</v>
      </c>
      <c r="F242" s="302">
        <v>0</v>
      </c>
    </row>
    <row r="243" spans="3:6">
      <c r="C243" s="299">
        <v>240</v>
      </c>
      <c r="D243" s="300">
        <v>38539.784194560183</v>
      </c>
      <c r="E243" s="301">
        <v>71.032029961728412</v>
      </c>
      <c r="F243" s="302">
        <v>0</v>
      </c>
    </row>
    <row r="244" spans="3:6">
      <c r="C244" s="299">
        <v>241</v>
      </c>
      <c r="D244" s="300">
        <v>38539.78419583333</v>
      </c>
      <c r="E244" s="301">
        <v>-2.7811562673834462</v>
      </c>
      <c r="F244" s="302">
        <v>0</v>
      </c>
    </row>
    <row r="245" spans="3:6">
      <c r="C245" s="299">
        <v>242</v>
      </c>
      <c r="D245" s="300">
        <v>38539.784197222223</v>
      </c>
      <c r="E245" s="301">
        <v>10.137016351666595</v>
      </c>
      <c r="F245" s="302">
        <v>0</v>
      </c>
    </row>
    <row r="246" spans="3:6">
      <c r="C246" s="299">
        <v>243</v>
      </c>
      <c r="D246" s="300">
        <v>38539.78419849537</v>
      </c>
      <c r="E246" s="301">
        <v>0.11755673751391349</v>
      </c>
      <c r="F246" s="302">
        <v>0</v>
      </c>
    </row>
    <row r="247" spans="3:6">
      <c r="C247" s="299">
        <v>244</v>
      </c>
      <c r="D247" s="300">
        <v>38539.784200000002</v>
      </c>
      <c r="E247" s="301">
        <v>-29.147617293352923</v>
      </c>
      <c r="F247" s="302">
        <v>0</v>
      </c>
    </row>
    <row r="248" spans="3:6">
      <c r="C248" s="299">
        <v>245</v>
      </c>
      <c r="D248" s="300">
        <v>38539.784201273149</v>
      </c>
      <c r="E248" s="301">
        <v>-33.964301543204016</v>
      </c>
      <c r="F248" s="302">
        <v>0</v>
      </c>
    </row>
    <row r="249" spans="3:6">
      <c r="C249" s="299">
        <v>246</v>
      </c>
      <c r="D249" s="300">
        <v>38539.784202662035</v>
      </c>
      <c r="E249" s="301">
        <v>7.5718279824798191</v>
      </c>
      <c r="F249" s="302">
        <v>0</v>
      </c>
    </row>
    <row r="250" spans="3:6">
      <c r="C250" s="299">
        <v>247</v>
      </c>
      <c r="D250" s="300">
        <v>38539.784203935182</v>
      </c>
      <c r="E250" s="301">
        <v>25.065166024214108</v>
      </c>
      <c r="F250" s="302">
        <v>0</v>
      </c>
    </row>
    <row r="251" spans="3:6">
      <c r="C251" s="299">
        <v>248</v>
      </c>
      <c r="D251" s="300">
        <v>38539.784205208336</v>
      </c>
      <c r="E251" s="301">
        <v>-9.9317190299311182</v>
      </c>
      <c r="F251" s="302">
        <v>0</v>
      </c>
    </row>
    <row r="252" spans="3:6">
      <c r="C252" s="299">
        <v>249</v>
      </c>
      <c r="D252" s="300">
        <v>38539.78420671296</v>
      </c>
      <c r="E252" s="301">
        <v>-10.753573214274784</v>
      </c>
      <c r="F252" s="302">
        <v>0</v>
      </c>
    </row>
    <row r="253" spans="3:6">
      <c r="C253" s="299">
        <v>250</v>
      </c>
      <c r="D253" s="300">
        <v>38539.784208333331</v>
      </c>
      <c r="E253" s="301">
        <v>-7.5417196723978588</v>
      </c>
      <c r="F253" s="302">
        <v>0</v>
      </c>
    </row>
    <row r="254" spans="3:6">
      <c r="C254" s="299">
        <v>251</v>
      </c>
      <c r="D254" s="300">
        <v>38539.784209606485</v>
      </c>
      <c r="E254" s="301">
        <v>28.271632456587447</v>
      </c>
      <c r="F254" s="302">
        <v>0</v>
      </c>
    </row>
    <row r="255" spans="3:6">
      <c r="C255" s="299">
        <v>252</v>
      </c>
      <c r="D255" s="300">
        <v>38539.784210995371</v>
      </c>
      <c r="E255" s="301">
        <v>-74.090470912539757</v>
      </c>
      <c r="F255" s="302">
        <v>1</v>
      </c>
    </row>
    <row r="256" spans="3:6">
      <c r="C256" s="299">
        <v>253</v>
      </c>
      <c r="D256" s="300">
        <v>38539.784212500002</v>
      </c>
      <c r="E256" s="301">
        <v>27.23904629444203</v>
      </c>
      <c r="F256" s="302">
        <v>0</v>
      </c>
    </row>
    <row r="257" spans="3:6">
      <c r="C257" s="299">
        <v>254</v>
      </c>
      <c r="D257" s="300">
        <v>38539.784213657411</v>
      </c>
      <c r="E257" s="301">
        <v>-5.5546311891584423</v>
      </c>
      <c r="F257" s="302">
        <v>0</v>
      </c>
    </row>
    <row r="258" spans="3:6">
      <c r="C258" s="299">
        <v>255</v>
      </c>
      <c r="D258" s="300">
        <v>38539.784214930558</v>
      </c>
      <c r="E258" s="301">
        <v>7.025394438094799</v>
      </c>
      <c r="F258" s="302">
        <v>0</v>
      </c>
    </row>
    <row r="259" spans="3:6">
      <c r="C259" s="299">
        <v>256</v>
      </c>
      <c r="D259" s="300">
        <v>38539.784216782406</v>
      </c>
      <c r="E259" s="301">
        <v>1.6303695747705502</v>
      </c>
      <c r="F259" s="302">
        <v>0</v>
      </c>
    </row>
    <row r="260" spans="3:6">
      <c r="C260" s="299">
        <v>257</v>
      </c>
      <c r="D260" s="300">
        <v>38539.784218287037</v>
      </c>
      <c r="E260" s="301">
        <v>24.422740553828731</v>
      </c>
      <c r="F260" s="302">
        <v>0</v>
      </c>
    </row>
    <row r="261" spans="3:6">
      <c r="C261" s="299">
        <v>258</v>
      </c>
      <c r="D261" s="300">
        <v>38539.784219907408</v>
      </c>
      <c r="E261" s="301">
        <v>21.865548898104802</v>
      </c>
      <c r="F261" s="302">
        <v>0</v>
      </c>
    </row>
    <row r="262" spans="3:6">
      <c r="C262" s="299">
        <v>259</v>
      </c>
      <c r="D262" s="300">
        <v>38539.784221296293</v>
      </c>
      <c r="E262" s="301">
        <v>3.1340491677087199</v>
      </c>
      <c r="F262" s="302">
        <v>0</v>
      </c>
    </row>
    <row r="263" spans="3:6">
      <c r="C263" s="299">
        <v>260</v>
      </c>
      <c r="D263" s="300">
        <v>38539.784222569448</v>
      </c>
      <c r="E263" s="301">
        <v>31.226704487345408</v>
      </c>
      <c r="F263" s="302">
        <v>0</v>
      </c>
    </row>
    <row r="264" spans="3:6">
      <c r="C264" s="299">
        <v>261</v>
      </c>
      <c r="D264" s="300">
        <v>38539.784224074072</v>
      </c>
      <c r="E264" s="301">
        <v>-14.917216440731544</v>
      </c>
      <c r="F264" s="302">
        <v>0</v>
      </c>
    </row>
    <row r="265" spans="3:6">
      <c r="C265" s="299">
        <v>262</v>
      </c>
      <c r="D265" s="300">
        <v>38539.78422523148</v>
      </c>
      <c r="E265" s="301">
        <v>23.714969239000041</v>
      </c>
      <c r="F265" s="302">
        <v>0</v>
      </c>
    </row>
    <row r="266" spans="3:6">
      <c r="C266" s="299">
        <v>263</v>
      </c>
      <c r="D266" s="300">
        <v>38539.784226736112</v>
      </c>
      <c r="E266" s="301">
        <v>-0.11368545797749618</v>
      </c>
      <c r="F266" s="302">
        <v>0</v>
      </c>
    </row>
    <row r="267" spans="3:6">
      <c r="C267" s="299">
        <v>264</v>
      </c>
      <c r="D267" s="300">
        <v>38539.784228009259</v>
      </c>
      <c r="E267" s="301">
        <v>24.83693428854426</v>
      </c>
      <c r="F267" s="302">
        <v>0</v>
      </c>
    </row>
    <row r="268" spans="3:6">
      <c r="C268" s="299">
        <v>265</v>
      </c>
      <c r="D268" s="300">
        <v>38539.784229282406</v>
      </c>
      <c r="E268" s="301">
        <v>7.4330830546235456</v>
      </c>
      <c r="F268" s="302">
        <v>0</v>
      </c>
    </row>
    <row r="269" spans="3:6">
      <c r="C269" s="299">
        <v>266</v>
      </c>
      <c r="D269" s="300">
        <v>38539.784230671299</v>
      </c>
      <c r="E269" s="301">
        <v>-8.1119614315562494</v>
      </c>
      <c r="F269" s="302">
        <v>0</v>
      </c>
    </row>
    <row r="270" spans="3:6">
      <c r="C270" s="299">
        <v>267</v>
      </c>
      <c r="D270" s="300">
        <v>38539.784231944446</v>
      </c>
      <c r="E270" s="301">
        <v>16.352043550641575</v>
      </c>
      <c r="F270" s="302">
        <v>0</v>
      </c>
    </row>
    <row r="271" spans="3:6">
      <c r="C271" s="299">
        <v>268</v>
      </c>
      <c r="D271" s="300">
        <v>38539.784233449071</v>
      </c>
      <c r="E271" s="301">
        <v>-15.466617275349321</v>
      </c>
      <c r="F271" s="302">
        <v>0</v>
      </c>
    </row>
    <row r="272" spans="3:6">
      <c r="C272" s="299">
        <v>269</v>
      </c>
      <c r="D272" s="300">
        <v>38539.784234837964</v>
      </c>
      <c r="E272" s="301">
        <v>8.4709927415963762</v>
      </c>
      <c r="F272" s="302">
        <v>0</v>
      </c>
    </row>
    <row r="273" spans="3:6">
      <c r="C273" s="299">
        <v>270</v>
      </c>
      <c r="D273" s="300">
        <v>38539.784236111111</v>
      </c>
      <c r="E273" s="301">
        <v>34.68049153693223</v>
      </c>
      <c r="F273" s="302">
        <v>0</v>
      </c>
    </row>
    <row r="274" spans="3:6">
      <c r="C274" s="299">
        <v>271</v>
      </c>
      <c r="D274" s="300">
        <v>38539.784237615742</v>
      </c>
      <c r="E274" s="301">
        <v>-38.805547875639746</v>
      </c>
      <c r="F274" s="302">
        <v>0</v>
      </c>
    </row>
    <row r="275" spans="3:6">
      <c r="C275" s="299">
        <v>272</v>
      </c>
      <c r="D275" s="300">
        <v>38539.784239004628</v>
      </c>
      <c r="E275" s="301">
        <v>-20.09293224786343</v>
      </c>
      <c r="F275" s="302">
        <v>0</v>
      </c>
    </row>
    <row r="276" spans="3:6">
      <c r="C276" s="299">
        <v>273</v>
      </c>
      <c r="D276" s="300">
        <v>38539.78424050926</v>
      </c>
      <c r="E276" s="301">
        <v>-36.364684663925338</v>
      </c>
      <c r="F276" s="302">
        <v>0</v>
      </c>
    </row>
    <row r="277" spans="3:6">
      <c r="C277" s="299">
        <v>274</v>
      </c>
      <c r="D277" s="300">
        <v>38539.784241898145</v>
      </c>
      <c r="E277" s="301">
        <v>28.046314222482106</v>
      </c>
      <c r="F277" s="302">
        <v>0</v>
      </c>
    </row>
    <row r="278" spans="3:6">
      <c r="C278" s="299">
        <v>275</v>
      </c>
      <c r="D278" s="300">
        <v>38539.7842431713</v>
      </c>
      <c r="E278" s="301">
        <v>35.73452704705025</v>
      </c>
      <c r="F278" s="302">
        <v>0</v>
      </c>
    </row>
    <row r="279" spans="3:6">
      <c r="C279" s="299">
        <v>276</v>
      </c>
      <c r="D279" s="300">
        <v>38539.784244675924</v>
      </c>
      <c r="E279" s="301">
        <v>-52.639233374285823</v>
      </c>
      <c r="F279" s="302">
        <v>0</v>
      </c>
    </row>
    <row r="280" spans="3:6">
      <c r="C280" s="299">
        <v>277</v>
      </c>
      <c r="D280" s="300">
        <v>38539.784246064817</v>
      </c>
      <c r="E280" s="301">
        <v>-5.5396104332640217</v>
      </c>
      <c r="F280" s="302">
        <v>0</v>
      </c>
    </row>
    <row r="281" spans="3:6">
      <c r="C281" s="299">
        <v>278</v>
      </c>
      <c r="D281" s="300">
        <v>38539.784247337964</v>
      </c>
      <c r="E281" s="301">
        <v>32.571743038434398</v>
      </c>
      <c r="F281" s="302">
        <v>0</v>
      </c>
    </row>
    <row r="282" spans="3:6">
      <c r="C282" s="299">
        <v>279</v>
      </c>
      <c r="D282" s="300">
        <v>38539.784248842596</v>
      </c>
      <c r="E282" s="301">
        <v>-36.5659216941702</v>
      </c>
      <c r="F282" s="302">
        <v>0</v>
      </c>
    </row>
    <row r="283" spans="3:6">
      <c r="C283" s="299">
        <v>280</v>
      </c>
      <c r="D283" s="300">
        <v>38539.784250115743</v>
      </c>
      <c r="E283" s="301">
        <v>-39.03287760741901</v>
      </c>
      <c r="F283" s="302">
        <v>0</v>
      </c>
    </row>
    <row r="284" spans="3:6">
      <c r="C284" s="299">
        <v>281</v>
      </c>
      <c r="D284" s="300">
        <v>38539.784251273151</v>
      </c>
      <c r="E284" s="301">
        <v>20.372007499093638</v>
      </c>
      <c r="F284" s="302">
        <v>0</v>
      </c>
    </row>
    <row r="285" spans="3:6">
      <c r="C285" s="299">
        <v>282</v>
      </c>
      <c r="D285" s="300">
        <v>38539.784252546298</v>
      </c>
      <c r="E285" s="301">
        <v>5.6452477046087033</v>
      </c>
      <c r="F285" s="302">
        <v>0</v>
      </c>
    </row>
    <row r="286" spans="3:6">
      <c r="C286" s="299">
        <v>283</v>
      </c>
      <c r="D286" s="300">
        <v>38539.784253819445</v>
      </c>
      <c r="E286" s="301">
        <v>9.3344019940340086</v>
      </c>
      <c r="F286" s="302">
        <v>0</v>
      </c>
    </row>
    <row r="287" spans="3:6">
      <c r="C287" s="299">
        <v>284</v>
      </c>
      <c r="D287" s="300">
        <v>38539.784255092593</v>
      </c>
      <c r="E287" s="301">
        <v>16.987396095476186</v>
      </c>
      <c r="F287" s="302">
        <v>0</v>
      </c>
    </row>
    <row r="288" spans="3:6">
      <c r="C288" s="299">
        <v>285</v>
      </c>
      <c r="D288" s="300">
        <v>38539.784256597224</v>
      </c>
      <c r="E288" s="301">
        <v>-30.021623706250519</v>
      </c>
      <c r="F288" s="302">
        <v>0</v>
      </c>
    </row>
    <row r="289" spans="3:6">
      <c r="C289" s="299">
        <v>286</v>
      </c>
      <c r="D289" s="300">
        <v>38539.784258564818</v>
      </c>
      <c r="E289" s="301">
        <v>0.17724268296329271</v>
      </c>
      <c r="F289" s="302">
        <v>0</v>
      </c>
    </row>
    <row r="290" spans="3:6">
      <c r="C290" s="299">
        <v>287</v>
      </c>
      <c r="D290" s="300">
        <v>38539.784260879627</v>
      </c>
      <c r="E290" s="301">
        <v>-7.8528980124554169</v>
      </c>
      <c r="F290" s="302">
        <v>0</v>
      </c>
    </row>
    <row r="291" spans="3:6">
      <c r="C291" s="299">
        <v>288</v>
      </c>
      <c r="D291" s="300">
        <v>38539.784262384259</v>
      </c>
      <c r="E291" s="301">
        <v>0.11605435328311486</v>
      </c>
      <c r="F291" s="302">
        <v>0</v>
      </c>
    </row>
    <row r="292" spans="3:6">
      <c r="C292" s="299">
        <v>289</v>
      </c>
      <c r="D292" s="300">
        <v>38539.784263657406</v>
      </c>
      <c r="E292" s="301">
        <v>14.090626551783798</v>
      </c>
      <c r="F292" s="302">
        <v>0</v>
      </c>
    </row>
    <row r="293" spans="3:6">
      <c r="C293" s="299">
        <v>290</v>
      </c>
      <c r="D293" s="300">
        <v>38539.784265046299</v>
      </c>
      <c r="E293" s="301">
        <v>-28.564815767879512</v>
      </c>
      <c r="F293" s="302">
        <v>0</v>
      </c>
    </row>
    <row r="294" spans="3:6">
      <c r="C294" s="299">
        <v>291</v>
      </c>
      <c r="D294" s="300">
        <v>38539.7842662037</v>
      </c>
      <c r="E294" s="301">
        <v>10.714082869566642</v>
      </c>
      <c r="F294" s="302">
        <v>0</v>
      </c>
    </row>
    <row r="295" spans="3:6">
      <c r="C295" s="299">
        <v>292</v>
      </c>
      <c r="D295" s="300">
        <v>38539.784267592593</v>
      </c>
      <c r="E295" s="301">
        <v>25.603014008564958</v>
      </c>
      <c r="F295" s="302">
        <v>0</v>
      </c>
    </row>
    <row r="296" spans="3:6">
      <c r="C296" s="299">
        <v>293</v>
      </c>
      <c r="D296" s="300">
        <v>38539.78426886574</v>
      </c>
      <c r="E296" s="301">
        <v>9.5847178577711869</v>
      </c>
      <c r="F296" s="302">
        <v>0</v>
      </c>
    </row>
    <row r="297" spans="3:6">
      <c r="C297" s="299">
        <v>294</v>
      </c>
      <c r="D297" s="300">
        <v>38539.784270370372</v>
      </c>
      <c r="E297" s="301">
        <v>17.241005057134686</v>
      </c>
      <c r="F297" s="302">
        <v>0</v>
      </c>
    </row>
    <row r="298" spans="3:6">
      <c r="C298" s="299">
        <v>295</v>
      </c>
      <c r="D298" s="300">
        <v>38539.784272685189</v>
      </c>
      <c r="E298" s="301">
        <v>15.04309656570107</v>
      </c>
      <c r="F298" s="302">
        <v>0</v>
      </c>
    </row>
    <row r="299" spans="3:6">
      <c r="C299" s="299">
        <v>296</v>
      </c>
      <c r="D299" s="300">
        <v>38539.784275231483</v>
      </c>
      <c r="E299" s="301">
        <v>-3.1309508235170451</v>
      </c>
      <c r="F299" s="302">
        <v>0</v>
      </c>
    </row>
    <row r="300" spans="3:6">
      <c r="C300" s="299">
        <v>297</v>
      </c>
      <c r="D300" s="300">
        <v>38539.784276851853</v>
      </c>
      <c r="E300" s="301">
        <v>6.6362128998629668</v>
      </c>
      <c r="F300" s="302">
        <v>0</v>
      </c>
    </row>
    <row r="301" spans="3:6">
      <c r="C301" s="299">
        <v>298</v>
      </c>
      <c r="D301" s="300">
        <v>38539.784281018518</v>
      </c>
      <c r="E301" s="301">
        <v>-50.215794817812814</v>
      </c>
      <c r="F301" s="302">
        <v>0</v>
      </c>
    </row>
    <row r="302" spans="3:6">
      <c r="C302" s="299">
        <v>299</v>
      </c>
      <c r="D302" s="300">
        <v>38539.784283333334</v>
      </c>
      <c r="E302" s="301">
        <v>-16.248487475545332</v>
      </c>
      <c r="F302" s="302">
        <v>0</v>
      </c>
    </row>
    <row r="303" spans="3:6">
      <c r="C303" s="299">
        <v>300</v>
      </c>
      <c r="D303" s="300">
        <v>38539.784285300928</v>
      </c>
      <c r="E303" s="301">
        <v>21.127050674988205</v>
      </c>
      <c r="F303" s="302">
        <v>0</v>
      </c>
    </row>
    <row r="304" spans="3:6">
      <c r="C304" s="299">
        <v>301</v>
      </c>
      <c r="D304" s="300">
        <v>38539.784286805552</v>
      </c>
      <c r="E304" s="301">
        <v>25.078177406932049</v>
      </c>
      <c r="F304" s="302">
        <v>0</v>
      </c>
    </row>
    <row r="305" spans="3:6">
      <c r="C305" s="299">
        <v>302</v>
      </c>
      <c r="D305" s="300">
        <v>38539.784288425923</v>
      </c>
      <c r="E305" s="301">
        <v>1.7738010240723301</v>
      </c>
      <c r="F305" s="302">
        <v>0</v>
      </c>
    </row>
    <row r="306" spans="3:6">
      <c r="C306" s="299">
        <v>303</v>
      </c>
      <c r="D306" s="300">
        <v>38539.784290393516</v>
      </c>
      <c r="E306" s="301">
        <v>-31.454870675632733</v>
      </c>
      <c r="F306" s="302">
        <v>0</v>
      </c>
    </row>
    <row r="307" spans="3:6">
      <c r="C307" s="299">
        <v>304</v>
      </c>
      <c r="D307" s="300">
        <v>38539.784292592594</v>
      </c>
      <c r="E307" s="301">
        <v>8.4817986328424446</v>
      </c>
      <c r="F307" s="302">
        <v>0</v>
      </c>
    </row>
    <row r="308" spans="3:6">
      <c r="C308" s="299">
        <v>305</v>
      </c>
      <c r="D308" s="300">
        <v>38539.78429398148</v>
      </c>
      <c r="E308" s="301">
        <v>66.982134107419483</v>
      </c>
      <c r="F308" s="302">
        <v>0</v>
      </c>
    </row>
    <row r="309" spans="3:6">
      <c r="C309" s="299">
        <v>306</v>
      </c>
      <c r="D309" s="300">
        <v>38539.784298495368</v>
      </c>
      <c r="E309" s="301">
        <v>54.677371130859228</v>
      </c>
      <c r="F309" s="302">
        <v>0</v>
      </c>
    </row>
    <row r="310" spans="3:6">
      <c r="C310" s="299">
        <v>307</v>
      </c>
      <c r="D310" s="300">
        <v>38539.784299999999</v>
      </c>
      <c r="E310" s="301">
        <v>-4.2376928748042761</v>
      </c>
      <c r="F310" s="302">
        <v>0</v>
      </c>
    </row>
    <row r="311" spans="3:6">
      <c r="C311" s="299">
        <v>308</v>
      </c>
      <c r="D311" s="300">
        <v>38539.784301041669</v>
      </c>
      <c r="E311" s="301">
        <v>50.956355027519088</v>
      </c>
      <c r="F311" s="302">
        <v>0</v>
      </c>
    </row>
    <row r="312" spans="3:6">
      <c r="C312" s="299">
        <v>309</v>
      </c>
      <c r="D312" s="300">
        <v>38539.784302546293</v>
      </c>
      <c r="E312" s="301">
        <v>0.37413661252887565</v>
      </c>
      <c r="F312" s="302">
        <v>0</v>
      </c>
    </row>
    <row r="313" spans="3:6">
      <c r="C313" s="299">
        <v>310</v>
      </c>
      <c r="D313" s="300">
        <v>38539.78430428241</v>
      </c>
      <c r="E313" s="301">
        <v>8.0499646456825129</v>
      </c>
      <c r="F313" s="302">
        <v>0</v>
      </c>
    </row>
    <row r="314" spans="3:6">
      <c r="C314" s="299">
        <v>311</v>
      </c>
      <c r="D314" s="300">
        <v>38539.784305787034</v>
      </c>
      <c r="E314" s="301">
        <v>3.204915116408749</v>
      </c>
      <c r="F314" s="302">
        <v>0</v>
      </c>
    </row>
    <row r="315" spans="3:6">
      <c r="C315" s="299">
        <v>312</v>
      </c>
      <c r="D315" s="300">
        <v>38539.784307175927</v>
      </c>
      <c r="E315" s="301">
        <v>-4.4099377245666913</v>
      </c>
      <c r="F315" s="302">
        <v>0</v>
      </c>
    </row>
    <row r="316" spans="3:6">
      <c r="C316" s="299">
        <v>313</v>
      </c>
      <c r="D316" s="300">
        <v>38539.784308449074</v>
      </c>
      <c r="E316" s="301">
        <v>2.3501734329792168</v>
      </c>
      <c r="F316" s="302">
        <v>0</v>
      </c>
    </row>
    <row r="317" spans="3:6">
      <c r="C317" s="299">
        <v>314</v>
      </c>
      <c r="D317" s="300">
        <v>38539.784309953706</v>
      </c>
      <c r="E317" s="301">
        <v>-17.896660213730989</v>
      </c>
      <c r="F317" s="302">
        <v>0</v>
      </c>
    </row>
    <row r="318" spans="3:6">
      <c r="C318" s="299">
        <v>315</v>
      </c>
      <c r="D318" s="300">
        <v>38539.784311226853</v>
      </c>
      <c r="E318" s="301">
        <v>26.628978802252476</v>
      </c>
      <c r="F318" s="302">
        <v>0</v>
      </c>
    </row>
    <row r="319" spans="3:6">
      <c r="C319" s="299">
        <v>316</v>
      </c>
      <c r="D319" s="300">
        <v>38539.784312615739</v>
      </c>
      <c r="E319" s="301">
        <v>75.934041635693433</v>
      </c>
      <c r="F319" s="302">
        <v>0</v>
      </c>
    </row>
    <row r="320" spans="3:6">
      <c r="C320" s="299">
        <v>317</v>
      </c>
      <c r="D320" s="300">
        <v>38539.78431412037</v>
      </c>
      <c r="E320" s="301">
        <v>7.8421695200214199</v>
      </c>
      <c r="F320" s="302">
        <v>0</v>
      </c>
    </row>
    <row r="321" spans="3:6">
      <c r="C321" s="299">
        <v>318</v>
      </c>
      <c r="D321" s="300">
        <v>38539.784315509256</v>
      </c>
      <c r="E321" s="301">
        <v>30.691034095110865</v>
      </c>
      <c r="F321" s="302">
        <v>0</v>
      </c>
    </row>
    <row r="322" spans="3:6">
      <c r="C322" s="299">
        <v>319</v>
      </c>
      <c r="D322" s="300">
        <v>38539.784317013888</v>
      </c>
      <c r="E322" s="301">
        <v>-18.516178007098318</v>
      </c>
      <c r="F322" s="302">
        <v>0</v>
      </c>
    </row>
    <row r="323" spans="3:6">
      <c r="C323" s="299">
        <v>320</v>
      </c>
      <c r="D323" s="300">
        <v>38539.784318287035</v>
      </c>
      <c r="E323" s="301">
        <v>29.887137651024467</v>
      </c>
      <c r="F323" s="302">
        <v>0</v>
      </c>
    </row>
    <row r="324" spans="3:6">
      <c r="C324" s="299">
        <v>321</v>
      </c>
      <c r="D324" s="300">
        <v>38539.784319560182</v>
      </c>
      <c r="E324" s="301">
        <v>1.4478868954219477</v>
      </c>
      <c r="F324" s="302">
        <v>0</v>
      </c>
    </row>
    <row r="325" spans="3:6">
      <c r="C325" s="299">
        <v>322</v>
      </c>
      <c r="D325" s="300">
        <v>38539.78432071759</v>
      </c>
      <c r="E325" s="301">
        <v>19.791055450574717</v>
      </c>
      <c r="F325" s="302">
        <v>0</v>
      </c>
    </row>
    <row r="326" spans="3:6">
      <c r="C326" s="299">
        <v>323</v>
      </c>
      <c r="D326" s="300">
        <v>38539.784321990737</v>
      </c>
      <c r="E326" s="301">
        <v>32.186888951578474</v>
      </c>
      <c r="F326" s="302">
        <v>0</v>
      </c>
    </row>
    <row r="327" spans="3:6">
      <c r="C327" s="299">
        <v>324</v>
      </c>
      <c r="D327" s="300">
        <v>38539.784323495369</v>
      </c>
      <c r="E327" s="301">
        <v>-23.419779372544262</v>
      </c>
      <c r="F327" s="302">
        <v>0</v>
      </c>
    </row>
    <row r="328" spans="3:6">
      <c r="C328" s="299">
        <v>325</v>
      </c>
      <c r="D328" s="300">
        <v>38539.784324768516</v>
      </c>
      <c r="E328" s="301">
        <v>27.143575449083251</v>
      </c>
      <c r="F328" s="302">
        <v>0</v>
      </c>
    </row>
    <row r="329" spans="3:6">
      <c r="C329" s="299">
        <v>326</v>
      </c>
      <c r="D329" s="300">
        <v>38539.784326157409</v>
      </c>
      <c r="E329" s="301">
        <v>-35.59240629674624</v>
      </c>
      <c r="F329" s="302">
        <v>0</v>
      </c>
    </row>
    <row r="330" spans="3:6">
      <c r="C330" s="299">
        <v>327</v>
      </c>
      <c r="D330" s="300">
        <v>38539.784327777779</v>
      </c>
      <c r="E330" s="301">
        <v>-15.298157457611978</v>
      </c>
      <c r="F330" s="302">
        <v>0</v>
      </c>
    </row>
    <row r="331" spans="3:6">
      <c r="C331" s="299">
        <v>328</v>
      </c>
      <c r="D331" s="300">
        <v>38539.784329050926</v>
      </c>
      <c r="E331" s="301">
        <v>8.1804413626551629</v>
      </c>
      <c r="F331" s="302">
        <v>0</v>
      </c>
    </row>
    <row r="332" spans="3:6">
      <c r="C332" s="299">
        <v>329</v>
      </c>
      <c r="D332" s="300">
        <v>38539.784330555558</v>
      </c>
      <c r="E332" s="301">
        <v>14.645413144005161</v>
      </c>
      <c r="F332" s="302">
        <v>0</v>
      </c>
    </row>
    <row r="333" spans="3:6">
      <c r="C333" s="299">
        <v>330</v>
      </c>
      <c r="D333" s="300">
        <v>38539.784331828705</v>
      </c>
      <c r="E333" s="301">
        <v>-31.204328930538669</v>
      </c>
      <c r="F333" s="302">
        <v>0</v>
      </c>
    </row>
    <row r="334" spans="3:6">
      <c r="C334" s="299">
        <v>331</v>
      </c>
      <c r="D334" s="300">
        <v>38539.784333217591</v>
      </c>
      <c r="E334" s="301">
        <v>-1.1345285248353694</v>
      </c>
      <c r="F334" s="302">
        <v>0</v>
      </c>
    </row>
    <row r="335" spans="3:6">
      <c r="C335" s="299">
        <v>332</v>
      </c>
      <c r="D335" s="300">
        <v>38539.784334374999</v>
      </c>
      <c r="E335" s="301">
        <v>-28.925669104185602</v>
      </c>
      <c r="F335" s="302">
        <v>0</v>
      </c>
    </row>
    <row r="336" spans="3:6">
      <c r="C336" s="299">
        <v>333</v>
      </c>
      <c r="D336" s="300">
        <v>38539.784335763892</v>
      </c>
      <c r="E336" s="301">
        <v>-5.4946582970405933</v>
      </c>
      <c r="F336" s="302">
        <v>0</v>
      </c>
    </row>
    <row r="337" spans="3:6">
      <c r="C337" s="299">
        <v>334</v>
      </c>
      <c r="D337" s="300">
        <v>38539.784337037039</v>
      </c>
      <c r="E337" s="301">
        <v>-12.029827405427035</v>
      </c>
      <c r="F337" s="302">
        <v>0</v>
      </c>
    </row>
    <row r="338" spans="3:6">
      <c r="C338" s="299">
        <v>335</v>
      </c>
      <c r="D338" s="300">
        <v>38539.784338541664</v>
      </c>
      <c r="E338" s="301">
        <v>0.85037301086502648</v>
      </c>
      <c r="F338" s="302">
        <v>0</v>
      </c>
    </row>
    <row r="339" spans="3:6">
      <c r="C339" s="299">
        <v>336</v>
      </c>
      <c r="D339" s="300">
        <v>38539.784341203704</v>
      </c>
      <c r="E339" s="301">
        <v>-18.681505480298732</v>
      </c>
      <c r="F339" s="302">
        <v>0</v>
      </c>
    </row>
    <row r="340" spans="3:6">
      <c r="C340" s="299">
        <v>337</v>
      </c>
      <c r="D340" s="300">
        <v>38539.784342824074</v>
      </c>
      <c r="E340" s="301">
        <v>-10.62318064112004</v>
      </c>
      <c r="F340" s="302">
        <v>0</v>
      </c>
    </row>
    <row r="341" spans="3:6">
      <c r="C341" s="299">
        <v>338</v>
      </c>
      <c r="D341" s="300">
        <v>38539.784344097221</v>
      </c>
      <c r="E341" s="301">
        <v>-18.81945418896678</v>
      </c>
      <c r="F341" s="302">
        <v>0</v>
      </c>
    </row>
    <row r="342" spans="3:6">
      <c r="C342" s="299">
        <v>339</v>
      </c>
      <c r="D342" s="300">
        <v>38539.784345370368</v>
      </c>
      <c r="E342" s="301">
        <v>17.834883810204794</v>
      </c>
      <c r="F342" s="302">
        <v>0</v>
      </c>
    </row>
    <row r="343" spans="3:6">
      <c r="C343" s="299">
        <v>340</v>
      </c>
      <c r="D343" s="300">
        <v>38539.784346643515</v>
      </c>
      <c r="E343" s="301">
        <v>4.1250805103873613</v>
      </c>
      <c r="F343" s="302">
        <v>0</v>
      </c>
    </row>
    <row r="344" spans="3:6">
      <c r="C344" s="299">
        <v>341</v>
      </c>
      <c r="D344" s="300">
        <v>38539.784348032408</v>
      </c>
      <c r="E344" s="301">
        <v>67.873142667393083</v>
      </c>
      <c r="F344" s="302">
        <v>0</v>
      </c>
    </row>
    <row r="345" spans="3:6">
      <c r="C345" s="299">
        <v>342</v>
      </c>
      <c r="D345" s="300">
        <v>38539.78434953704</v>
      </c>
      <c r="E345" s="301">
        <v>-40.724543065508421</v>
      </c>
      <c r="F345" s="302">
        <v>0</v>
      </c>
    </row>
    <row r="346" spans="3:6">
      <c r="C346" s="299">
        <v>343</v>
      </c>
      <c r="D346" s="300">
        <v>38539.784351851849</v>
      </c>
      <c r="E346" s="301">
        <v>46.40205322411898</v>
      </c>
      <c r="F346" s="302">
        <v>0</v>
      </c>
    </row>
    <row r="347" spans="3:6">
      <c r="C347" s="299">
        <v>344</v>
      </c>
      <c r="D347" s="300">
        <v>38539.784353703704</v>
      </c>
      <c r="E347" s="301">
        <v>12.208259126806219</v>
      </c>
      <c r="F347" s="302">
        <v>0</v>
      </c>
    </row>
    <row r="348" spans="3:6">
      <c r="C348" s="299">
        <v>345</v>
      </c>
      <c r="D348" s="300">
        <v>38539.784354745374</v>
      </c>
      <c r="E348" s="301">
        <v>40.254988803768114</v>
      </c>
      <c r="F348" s="302">
        <v>0</v>
      </c>
    </row>
    <row r="349" spans="3:6">
      <c r="C349" s="299">
        <v>346</v>
      </c>
      <c r="D349" s="300">
        <v>38539.784356249998</v>
      </c>
      <c r="E349" s="301">
        <v>-29.697209919477952</v>
      </c>
      <c r="F349" s="302">
        <v>0</v>
      </c>
    </row>
    <row r="350" spans="3:6">
      <c r="C350" s="299">
        <v>347</v>
      </c>
      <c r="D350" s="300">
        <v>38539.784360532409</v>
      </c>
      <c r="E350" s="301">
        <v>21.342435968662485</v>
      </c>
      <c r="F350" s="302">
        <v>0</v>
      </c>
    </row>
    <row r="351" spans="3:6">
      <c r="C351" s="299">
        <v>348</v>
      </c>
      <c r="D351" s="300">
        <v>38539.78436203704</v>
      </c>
      <c r="E351" s="301">
        <v>17.654044054852214</v>
      </c>
      <c r="F351" s="302">
        <v>0</v>
      </c>
    </row>
    <row r="352" spans="3:6">
      <c r="C352" s="299">
        <v>349</v>
      </c>
      <c r="D352" s="300">
        <v>38539.784364004627</v>
      </c>
      <c r="E352" s="301">
        <v>17.019178859809998</v>
      </c>
      <c r="F352" s="302">
        <v>0</v>
      </c>
    </row>
    <row r="353" spans="3:6">
      <c r="C353" s="299">
        <v>350</v>
      </c>
      <c r="D353" s="300">
        <v>38539.78436597222</v>
      </c>
      <c r="E353" s="301">
        <v>6.3079950279085271</v>
      </c>
      <c r="F353" s="302">
        <v>0</v>
      </c>
    </row>
    <row r="354" spans="3:6">
      <c r="C354" s="299">
        <v>351</v>
      </c>
      <c r="D354" s="300">
        <v>38539.784367245367</v>
      </c>
      <c r="E354" s="301">
        <v>-64.637124745511784</v>
      </c>
      <c r="F354" s="302">
        <v>0</v>
      </c>
    </row>
    <row r="355" spans="3:6">
      <c r="C355" s="299">
        <v>352</v>
      </c>
      <c r="D355" s="300">
        <v>38539.784368749999</v>
      </c>
      <c r="E355" s="301">
        <v>32.616458773862036</v>
      </c>
      <c r="F355" s="302">
        <v>0</v>
      </c>
    </row>
    <row r="356" spans="3:6">
      <c r="C356" s="299">
        <v>353</v>
      </c>
      <c r="D356" s="300">
        <v>38539.784369907407</v>
      </c>
      <c r="E356" s="301">
        <v>36.469693948570026</v>
      </c>
      <c r="F356" s="302">
        <v>0</v>
      </c>
    </row>
    <row r="357" spans="3:6">
      <c r="C357" s="299">
        <v>354</v>
      </c>
      <c r="D357" s="300">
        <v>38539.784371412039</v>
      </c>
      <c r="E357" s="301">
        <v>-33.89657815870703</v>
      </c>
      <c r="F357" s="302">
        <v>0</v>
      </c>
    </row>
    <row r="358" spans="3:6">
      <c r="C358" s="299">
        <v>355</v>
      </c>
      <c r="D358" s="300">
        <v>38539.784372685186</v>
      </c>
      <c r="E358" s="301">
        <v>-9.94749438797054</v>
      </c>
      <c r="F358" s="302">
        <v>0</v>
      </c>
    </row>
    <row r="359" spans="3:6">
      <c r="C359" s="299">
        <v>356</v>
      </c>
      <c r="D359" s="300">
        <v>38539.78437523148</v>
      </c>
      <c r="E359" s="301">
        <v>15.535339059209301</v>
      </c>
      <c r="F359" s="302">
        <v>0</v>
      </c>
    </row>
    <row r="360" spans="3:6">
      <c r="C360" s="299">
        <v>357</v>
      </c>
      <c r="D360" s="300">
        <v>38539.784376504627</v>
      </c>
      <c r="E360" s="301">
        <v>37.563609617121685</v>
      </c>
      <c r="F360" s="302">
        <v>0</v>
      </c>
    </row>
    <row r="361" spans="3:6">
      <c r="C361" s="299">
        <v>358</v>
      </c>
      <c r="D361" s="300">
        <v>38539.784377777774</v>
      </c>
      <c r="E361" s="301">
        <v>-50.34873648788674</v>
      </c>
      <c r="F361" s="302">
        <v>0</v>
      </c>
    </row>
    <row r="362" spans="3:6">
      <c r="C362" s="299">
        <v>359</v>
      </c>
      <c r="D362" s="300">
        <v>38539.784379050929</v>
      </c>
      <c r="E362" s="301">
        <v>14.824611960626488</v>
      </c>
      <c r="F362" s="302">
        <v>0</v>
      </c>
    </row>
    <row r="363" spans="3:6">
      <c r="C363" s="299">
        <v>360</v>
      </c>
      <c r="D363" s="300">
        <v>38539.784380439814</v>
      </c>
      <c r="E363" s="301">
        <v>-22.562222914551505</v>
      </c>
      <c r="F363" s="302">
        <v>0</v>
      </c>
    </row>
    <row r="364" spans="3:6">
      <c r="C364" s="299">
        <v>361</v>
      </c>
      <c r="D364" s="300">
        <v>38539.784381712961</v>
      </c>
      <c r="E364" s="301">
        <v>30.426869019981467</v>
      </c>
      <c r="F364" s="302">
        <v>0</v>
      </c>
    </row>
    <row r="365" spans="3:6">
      <c r="C365" s="299">
        <v>362</v>
      </c>
      <c r="D365" s="300">
        <v>38539.784383217593</v>
      </c>
      <c r="E365" s="301">
        <v>31.359960898984021</v>
      </c>
      <c r="F365" s="302">
        <v>0</v>
      </c>
    </row>
    <row r="366" spans="3:6">
      <c r="C366" s="299">
        <v>363</v>
      </c>
      <c r="D366" s="300">
        <v>38539.784384606479</v>
      </c>
      <c r="E366" s="301">
        <v>11.075795775228521</v>
      </c>
      <c r="F366" s="302">
        <v>0</v>
      </c>
    </row>
    <row r="367" spans="3:6">
      <c r="C367" s="299">
        <v>364</v>
      </c>
      <c r="D367" s="300">
        <v>38539.784386921296</v>
      </c>
      <c r="E367" s="301">
        <v>33.112518086641366</v>
      </c>
      <c r="F367" s="302">
        <v>0</v>
      </c>
    </row>
    <row r="368" spans="3:6">
      <c r="C368" s="299">
        <v>365</v>
      </c>
      <c r="D368" s="300">
        <v>38539.784388194443</v>
      </c>
      <c r="E368" s="301">
        <v>42.839247228066341</v>
      </c>
      <c r="F368" s="302">
        <v>0</v>
      </c>
    </row>
    <row r="369" spans="3:6">
      <c r="C369" s="299">
        <v>366</v>
      </c>
      <c r="D369" s="300">
        <v>38539.78438946759</v>
      </c>
      <c r="E369" s="301">
        <v>20.365334957061471</v>
      </c>
      <c r="F369" s="302">
        <v>0</v>
      </c>
    </row>
    <row r="370" spans="3:6">
      <c r="C370" s="299">
        <v>367</v>
      </c>
      <c r="D370" s="300">
        <v>38539.784390740744</v>
      </c>
      <c r="E370" s="301">
        <v>12.379119743743924</v>
      </c>
      <c r="F370" s="302">
        <v>0</v>
      </c>
    </row>
    <row r="371" spans="3:6">
      <c r="C371" s="299">
        <v>368</v>
      </c>
      <c r="D371" s="300">
        <v>38539.784392013891</v>
      </c>
      <c r="E371" s="301">
        <v>-7.4440970482639015</v>
      </c>
      <c r="F371" s="302">
        <v>0</v>
      </c>
    </row>
    <row r="372" spans="3:6">
      <c r="C372" s="299">
        <v>369</v>
      </c>
      <c r="D372" s="300">
        <v>38539.784393518516</v>
      </c>
      <c r="E372" s="301">
        <v>1.6961781574698751</v>
      </c>
      <c r="F372" s="302">
        <v>0</v>
      </c>
    </row>
    <row r="373" spans="3:6">
      <c r="C373" s="299">
        <v>370</v>
      </c>
      <c r="D373" s="300">
        <v>38539.78439479167</v>
      </c>
      <c r="E373" s="301">
        <v>55.420989014870941</v>
      </c>
      <c r="F373" s="302">
        <v>0</v>
      </c>
    </row>
    <row r="374" spans="3:6">
      <c r="C374" s="299">
        <v>371</v>
      </c>
      <c r="D374" s="300">
        <v>38539.784396180556</v>
      </c>
      <c r="E374" s="301">
        <v>-26.768809375600924</v>
      </c>
      <c r="F374" s="302">
        <v>0</v>
      </c>
    </row>
    <row r="375" spans="3:6">
      <c r="C375" s="299">
        <v>372</v>
      </c>
      <c r="D375" s="300">
        <v>38539.784398379627</v>
      </c>
      <c r="E375" s="301">
        <v>-31.146728933118958</v>
      </c>
      <c r="F375" s="302">
        <v>0</v>
      </c>
    </row>
    <row r="376" spans="3:6">
      <c r="C376" s="299">
        <v>373</v>
      </c>
      <c r="D376" s="300">
        <v>38539.78439976852</v>
      </c>
      <c r="E376" s="301">
        <v>-30.137166990972784</v>
      </c>
      <c r="F376" s="302">
        <v>0</v>
      </c>
    </row>
    <row r="377" spans="3:6">
      <c r="C377" s="299">
        <v>374</v>
      </c>
      <c r="D377" s="300">
        <v>38539.784401041667</v>
      </c>
      <c r="E377" s="301">
        <v>-49.836896204221027</v>
      </c>
      <c r="F377" s="302">
        <v>0</v>
      </c>
    </row>
    <row r="378" spans="3:6">
      <c r="C378" s="299">
        <v>375</v>
      </c>
      <c r="D378" s="300">
        <v>38539.784402199075</v>
      </c>
      <c r="E378" s="301">
        <v>61.523033362288118</v>
      </c>
      <c r="F378" s="302">
        <v>0</v>
      </c>
    </row>
    <row r="379" spans="3:6">
      <c r="C379" s="299">
        <v>376</v>
      </c>
      <c r="D379" s="300">
        <v>38539.784403587961</v>
      </c>
      <c r="E379" s="301">
        <v>2.2577299081852003</v>
      </c>
      <c r="F379" s="302">
        <v>0</v>
      </c>
    </row>
    <row r="380" spans="3:6">
      <c r="C380" s="299">
        <v>377</v>
      </c>
      <c r="D380" s="300">
        <v>38539.784404861108</v>
      </c>
      <c r="E380" s="301">
        <v>23.488444325850175</v>
      </c>
      <c r="F380" s="302">
        <v>0</v>
      </c>
    </row>
    <row r="381" spans="3:6">
      <c r="C381" s="299">
        <v>378</v>
      </c>
      <c r="D381" s="300">
        <v>38539.784406365739</v>
      </c>
      <c r="E381" s="301">
        <v>-49.380270317941878</v>
      </c>
      <c r="F381" s="302">
        <v>0</v>
      </c>
    </row>
    <row r="382" spans="3:6">
      <c r="C382" s="299">
        <v>379</v>
      </c>
      <c r="D382" s="300">
        <v>38539.784407523148</v>
      </c>
      <c r="E382" s="301">
        <v>4.434424883861519</v>
      </c>
      <c r="F382" s="302">
        <v>0</v>
      </c>
    </row>
    <row r="383" spans="3:6">
      <c r="C383" s="299">
        <v>380</v>
      </c>
      <c r="D383" s="300">
        <v>38539.78440960648</v>
      </c>
      <c r="E383" s="301">
        <v>-7.3273723487517985</v>
      </c>
      <c r="F383" s="302">
        <v>0</v>
      </c>
    </row>
    <row r="384" spans="3:6">
      <c r="C384" s="299">
        <v>381</v>
      </c>
      <c r="D384" s="300">
        <v>38539.784410995373</v>
      </c>
      <c r="E384" s="301">
        <v>28.913357296983392</v>
      </c>
      <c r="F384" s="302">
        <v>0</v>
      </c>
    </row>
    <row r="385" spans="3:6">
      <c r="C385" s="299">
        <v>382</v>
      </c>
      <c r="D385" s="300">
        <v>38539.78441226852</v>
      </c>
      <c r="E385" s="301">
        <v>1.4952584945176266</v>
      </c>
      <c r="F385" s="302">
        <v>0</v>
      </c>
    </row>
    <row r="386" spans="3:6">
      <c r="C386" s="299">
        <v>383</v>
      </c>
      <c r="D386" s="300">
        <v>38539.784413541667</v>
      </c>
      <c r="E386" s="301">
        <v>17.719450346691872</v>
      </c>
      <c r="F386" s="302">
        <v>0</v>
      </c>
    </row>
    <row r="387" spans="3:6">
      <c r="C387" s="299">
        <v>384</v>
      </c>
      <c r="D387" s="300">
        <v>38539.784414814814</v>
      </c>
      <c r="E387" s="301">
        <v>24.386948145380607</v>
      </c>
      <c r="F387" s="302">
        <v>0</v>
      </c>
    </row>
    <row r="388" spans="3:6">
      <c r="C388" s="299">
        <v>385</v>
      </c>
      <c r="D388" s="300">
        <v>38539.784416087961</v>
      </c>
      <c r="E388" s="301">
        <v>32.542817948065228</v>
      </c>
      <c r="F388" s="302">
        <v>0</v>
      </c>
    </row>
    <row r="389" spans="3:6">
      <c r="C389" s="299">
        <v>386</v>
      </c>
      <c r="D389" s="300">
        <v>38539.784417476854</v>
      </c>
      <c r="E389" s="301">
        <v>-31.041105726817936</v>
      </c>
      <c r="F389" s="302">
        <v>0</v>
      </c>
    </row>
    <row r="390" spans="3:6">
      <c r="C390" s="299">
        <v>387</v>
      </c>
      <c r="D390" s="300">
        <v>38539.784418981479</v>
      </c>
      <c r="E390" s="301">
        <v>-4.0178111142116366</v>
      </c>
      <c r="F390" s="302">
        <v>0</v>
      </c>
    </row>
    <row r="391" spans="3:6">
      <c r="C391" s="299">
        <v>388</v>
      </c>
      <c r="D391" s="300">
        <v>38539.784420833334</v>
      </c>
      <c r="E391" s="301">
        <v>42.641368695350089</v>
      </c>
      <c r="F391" s="302">
        <v>0</v>
      </c>
    </row>
    <row r="392" spans="3:6">
      <c r="C392" s="299">
        <v>389</v>
      </c>
      <c r="D392" s="300">
        <v>38539.784422222219</v>
      </c>
      <c r="E392" s="301">
        <v>7.5385693010466222</v>
      </c>
      <c r="F392" s="302">
        <v>0</v>
      </c>
    </row>
    <row r="393" spans="3:6">
      <c r="C393" s="299">
        <v>390</v>
      </c>
      <c r="D393" s="300">
        <v>38539.784423495374</v>
      </c>
      <c r="E393" s="301">
        <v>60.82937770820142</v>
      </c>
      <c r="F393" s="302">
        <v>0</v>
      </c>
    </row>
    <row r="394" spans="3:6">
      <c r="C394" s="299">
        <v>391</v>
      </c>
      <c r="D394" s="300">
        <v>38539.784424768521</v>
      </c>
      <c r="E394" s="301">
        <v>-56.914839270627624</v>
      </c>
      <c r="F394" s="302">
        <v>0</v>
      </c>
    </row>
    <row r="395" spans="3:6">
      <c r="C395" s="299">
        <v>392</v>
      </c>
      <c r="D395" s="300">
        <v>38539.784426041668</v>
      </c>
      <c r="E395" s="301">
        <v>50.409756304804731</v>
      </c>
      <c r="F395" s="302">
        <v>0</v>
      </c>
    </row>
    <row r="396" spans="3:6">
      <c r="C396" s="299">
        <v>393</v>
      </c>
      <c r="D396" s="300">
        <v>38539.784427314815</v>
      </c>
      <c r="E396" s="301">
        <v>-3.3775624061517</v>
      </c>
      <c r="F396" s="302">
        <v>0</v>
      </c>
    </row>
    <row r="397" spans="3:6">
      <c r="C397" s="299">
        <v>394</v>
      </c>
      <c r="D397" s="300">
        <v>38539.784428935185</v>
      </c>
      <c r="E397" s="301">
        <v>37.898392669475292</v>
      </c>
      <c r="F397" s="302">
        <v>0</v>
      </c>
    </row>
    <row r="398" spans="3:6">
      <c r="C398" s="299">
        <v>395</v>
      </c>
      <c r="D398" s="300">
        <v>38539.784430208332</v>
      </c>
      <c r="E398" s="301">
        <v>-6.6056323494200235</v>
      </c>
      <c r="F398" s="302">
        <v>0</v>
      </c>
    </row>
    <row r="399" spans="3:6">
      <c r="C399" s="299">
        <v>396</v>
      </c>
      <c r="D399" s="300">
        <v>38539.784431828703</v>
      </c>
      <c r="E399" s="301">
        <v>27.807643255795028</v>
      </c>
      <c r="F399" s="302">
        <v>0</v>
      </c>
    </row>
    <row r="400" spans="3:6">
      <c r="C400" s="299">
        <v>397</v>
      </c>
      <c r="D400" s="300">
        <v>38539.78443310185</v>
      </c>
      <c r="E400" s="301">
        <v>4.3222253333118203</v>
      </c>
      <c r="F400" s="302">
        <v>0</v>
      </c>
    </row>
    <row r="401" spans="3:6">
      <c r="C401" s="299">
        <v>398</v>
      </c>
      <c r="D401" s="300">
        <v>38539.784434374997</v>
      </c>
      <c r="E401" s="301">
        <v>-1.1559686195097516</v>
      </c>
      <c r="F401" s="302">
        <v>0</v>
      </c>
    </row>
    <row r="402" spans="3:6">
      <c r="C402" s="299">
        <v>399</v>
      </c>
      <c r="D402" s="300">
        <v>38539.78443576389</v>
      </c>
      <c r="E402" s="301">
        <v>37.045123269666597</v>
      </c>
      <c r="F402" s="302">
        <v>0</v>
      </c>
    </row>
    <row r="403" spans="3:6">
      <c r="C403" s="299">
        <v>400</v>
      </c>
      <c r="D403" s="300">
        <v>38539.784437037037</v>
      </c>
      <c r="E403" s="301">
        <v>-28.561259820212705</v>
      </c>
      <c r="F403" s="302">
        <v>0</v>
      </c>
    </row>
    <row r="404" spans="3:6">
      <c r="C404" s="299">
        <v>401</v>
      </c>
      <c r="D404" s="300">
        <v>38539.784438310184</v>
      </c>
      <c r="E404" s="301">
        <v>24.119193432717466</v>
      </c>
      <c r="F404" s="302">
        <v>0</v>
      </c>
    </row>
    <row r="405" spans="3:6">
      <c r="C405" s="299">
        <v>402</v>
      </c>
      <c r="D405" s="300">
        <v>38539.784439814815</v>
      </c>
      <c r="E405" s="301">
        <v>-25.211223559780663</v>
      </c>
      <c r="F405" s="302">
        <v>0</v>
      </c>
    </row>
    <row r="406" spans="3:6">
      <c r="C406" s="299">
        <v>403</v>
      </c>
      <c r="D406" s="300">
        <v>38539.784441087962</v>
      </c>
      <c r="E406" s="301">
        <v>-31.959156276181368</v>
      </c>
      <c r="F406" s="302">
        <v>0</v>
      </c>
    </row>
    <row r="407" spans="3:6">
      <c r="C407" s="299">
        <v>404</v>
      </c>
      <c r="D407" s="300">
        <v>38539.784442245371</v>
      </c>
      <c r="E407" s="301">
        <v>-13.57475305835656</v>
      </c>
      <c r="F407" s="302">
        <v>0</v>
      </c>
    </row>
    <row r="408" spans="3:6">
      <c r="C408" s="299">
        <v>405</v>
      </c>
      <c r="D408" s="300">
        <v>38539.784444791665</v>
      </c>
      <c r="E408" s="301">
        <v>3.539246080027425E-3</v>
      </c>
      <c r="F408" s="302">
        <v>0</v>
      </c>
    </row>
    <row r="409" spans="3:6">
      <c r="C409" s="299">
        <v>406</v>
      </c>
      <c r="D409" s="300">
        <v>38539.784446064812</v>
      </c>
      <c r="E409" s="301">
        <v>9.3525670441669817</v>
      </c>
      <c r="F409" s="302">
        <v>0</v>
      </c>
    </row>
    <row r="410" spans="3:6">
      <c r="C410" s="299">
        <v>407</v>
      </c>
      <c r="D410" s="300">
        <v>38539.784447569444</v>
      </c>
      <c r="E410" s="301">
        <v>4.9463674851277268</v>
      </c>
      <c r="F410" s="302">
        <v>0</v>
      </c>
    </row>
    <row r="411" spans="3:6">
      <c r="C411" s="299">
        <v>408</v>
      </c>
      <c r="D411" s="300">
        <v>38539.784448842591</v>
      </c>
      <c r="E411" s="301">
        <v>21.249120075137167</v>
      </c>
      <c r="F411" s="302">
        <v>0</v>
      </c>
    </row>
    <row r="412" spans="3:6">
      <c r="C412" s="299">
        <v>409</v>
      </c>
      <c r="D412" s="300">
        <v>38539.784450115738</v>
      </c>
      <c r="E412" s="301">
        <v>2.5249324336056187</v>
      </c>
      <c r="F412" s="302">
        <v>0</v>
      </c>
    </row>
    <row r="413" spans="3:6">
      <c r="C413" s="299">
        <v>410</v>
      </c>
      <c r="D413" s="300">
        <v>38539.784451504631</v>
      </c>
      <c r="E413" s="301">
        <v>-26.395979254722072</v>
      </c>
      <c r="F413" s="302">
        <v>0</v>
      </c>
    </row>
    <row r="414" spans="3:6">
      <c r="C414" s="299">
        <v>411</v>
      </c>
      <c r="D414" s="300">
        <v>38539.784452777778</v>
      </c>
      <c r="E414" s="301">
        <v>20.975746434567018</v>
      </c>
      <c r="F414" s="302">
        <v>0</v>
      </c>
    </row>
    <row r="415" spans="3:6">
      <c r="C415" s="299">
        <v>412</v>
      </c>
      <c r="D415" s="300">
        <v>38539.78445428241</v>
      </c>
      <c r="E415" s="301">
        <v>-10.211202620977435</v>
      </c>
      <c r="F415" s="302">
        <v>0</v>
      </c>
    </row>
    <row r="416" spans="3:6">
      <c r="C416" s="299">
        <v>413</v>
      </c>
      <c r="D416" s="300">
        <v>38539.78445590278</v>
      </c>
      <c r="E416" s="301">
        <v>36.107494131944335</v>
      </c>
      <c r="F416" s="302">
        <v>0</v>
      </c>
    </row>
    <row r="417" spans="3:6">
      <c r="C417" s="299">
        <v>414</v>
      </c>
      <c r="D417" s="300">
        <v>38539.784457291666</v>
      </c>
      <c r="E417" s="301">
        <v>34.556177720293434</v>
      </c>
      <c r="F417" s="302">
        <v>0</v>
      </c>
    </row>
    <row r="418" spans="3:6">
      <c r="C418" s="299">
        <v>415</v>
      </c>
      <c r="D418" s="300">
        <v>38539.784458564813</v>
      </c>
      <c r="E418" s="301">
        <v>-16.890472455836409</v>
      </c>
      <c r="F418" s="302">
        <v>0</v>
      </c>
    </row>
    <row r="419" spans="3:6">
      <c r="C419" s="299">
        <v>416</v>
      </c>
      <c r="D419" s="300">
        <v>38539.78445983796</v>
      </c>
      <c r="E419" s="301">
        <v>42.23644398140091</v>
      </c>
      <c r="F419" s="302">
        <v>0</v>
      </c>
    </row>
    <row r="420" spans="3:6">
      <c r="C420" s="299">
        <v>417</v>
      </c>
      <c r="D420" s="300">
        <v>38539.784461111114</v>
      </c>
      <c r="E420" s="301">
        <v>5.7266244602542971</v>
      </c>
      <c r="F420" s="302">
        <v>0</v>
      </c>
    </row>
    <row r="421" spans="3:6">
      <c r="C421" s="299">
        <v>418</v>
      </c>
      <c r="D421" s="300">
        <v>38539.7844625</v>
      </c>
      <c r="E421" s="301">
        <v>-16.576993744603293</v>
      </c>
      <c r="F421" s="302">
        <v>0</v>
      </c>
    </row>
    <row r="422" spans="3:6">
      <c r="C422" s="299">
        <v>419</v>
      </c>
      <c r="D422" s="300">
        <v>38539.784463773147</v>
      </c>
      <c r="E422" s="301">
        <v>-6.9729596767284701</v>
      </c>
      <c r="F422" s="302">
        <v>0</v>
      </c>
    </row>
    <row r="423" spans="3:6">
      <c r="C423" s="299">
        <v>420</v>
      </c>
      <c r="D423" s="300">
        <v>38539.784465046294</v>
      </c>
      <c r="E423" s="301">
        <v>30.879109638716347</v>
      </c>
      <c r="F423" s="302">
        <v>0</v>
      </c>
    </row>
    <row r="424" spans="3:6">
      <c r="C424" s="299">
        <v>421</v>
      </c>
      <c r="D424" s="300">
        <v>38539.784466550926</v>
      </c>
      <c r="E424" s="301">
        <v>-33.868461777294904</v>
      </c>
      <c r="F424" s="302">
        <v>0</v>
      </c>
    </row>
    <row r="425" spans="3:6">
      <c r="C425" s="299">
        <v>422</v>
      </c>
      <c r="D425" s="300">
        <v>38539.784467939811</v>
      </c>
      <c r="E425" s="301">
        <v>10.055416345513223</v>
      </c>
      <c r="F425" s="302">
        <v>0</v>
      </c>
    </row>
    <row r="426" spans="3:6">
      <c r="C426" s="299">
        <v>423</v>
      </c>
      <c r="D426" s="300">
        <v>38539.784469212966</v>
      </c>
      <c r="E426" s="301">
        <v>30.574592911091258</v>
      </c>
      <c r="F426" s="302">
        <v>0</v>
      </c>
    </row>
    <row r="427" spans="3:6">
      <c r="C427" s="299">
        <v>424</v>
      </c>
      <c r="D427" s="300">
        <v>38539.784470486113</v>
      </c>
      <c r="E427" s="301">
        <v>31.977779712924907</v>
      </c>
      <c r="F427" s="302">
        <v>0</v>
      </c>
    </row>
    <row r="428" spans="3:6">
      <c r="C428" s="299">
        <v>425</v>
      </c>
      <c r="D428" s="300">
        <v>38539.78447175926</v>
      </c>
      <c r="E428" s="301">
        <v>22.078486263690749</v>
      </c>
      <c r="F428" s="302">
        <v>0</v>
      </c>
    </row>
    <row r="429" spans="3:6">
      <c r="C429" s="299">
        <v>426</v>
      </c>
      <c r="D429" s="300">
        <v>38539.784473263891</v>
      </c>
      <c r="E429" s="301">
        <v>4.1033851059508546</v>
      </c>
      <c r="F429" s="302">
        <v>0</v>
      </c>
    </row>
    <row r="430" spans="3:6">
      <c r="C430" s="299">
        <v>427</v>
      </c>
      <c r="D430" s="300">
        <v>38539.784474537038</v>
      </c>
      <c r="E430" s="301">
        <v>6.6831034024531704</v>
      </c>
      <c r="F430" s="302">
        <v>0</v>
      </c>
    </row>
    <row r="431" spans="3:6">
      <c r="C431" s="299">
        <v>428</v>
      </c>
      <c r="D431" s="300">
        <v>38539.784475925924</v>
      </c>
      <c r="E431" s="301">
        <v>15.17419344094985</v>
      </c>
      <c r="F431" s="302">
        <v>0</v>
      </c>
    </row>
    <row r="432" spans="3:6">
      <c r="C432" s="299">
        <v>429</v>
      </c>
      <c r="D432" s="300">
        <v>38539.784477199071</v>
      </c>
      <c r="E432" s="301">
        <v>41.650130201728544</v>
      </c>
      <c r="F432" s="302">
        <v>0</v>
      </c>
    </row>
    <row r="433" spans="3:6">
      <c r="C433" s="299">
        <v>430</v>
      </c>
      <c r="D433" s="300">
        <v>38539.784478819442</v>
      </c>
      <c r="E433" s="301">
        <v>-15.570838683158097</v>
      </c>
      <c r="F433" s="302">
        <v>0</v>
      </c>
    </row>
    <row r="434" spans="3:6">
      <c r="C434" s="299">
        <v>431</v>
      </c>
      <c r="D434" s="300">
        <v>38539.784480324073</v>
      </c>
      <c r="E434" s="301">
        <v>41.233478441023358</v>
      </c>
      <c r="F434" s="302">
        <v>0</v>
      </c>
    </row>
    <row r="435" spans="3:6">
      <c r="C435" s="299">
        <v>432</v>
      </c>
      <c r="D435" s="300">
        <v>38539.784481365743</v>
      </c>
      <c r="E435" s="301">
        <v>32.168287010992167</v>
      </c>
      <c r="F435" s="302">
        <v>0</v>
      </c>
    </row>
    <row r="436" spans="3:6">
      <c r="C436" s="299">
        <v>433</v>
      </c>
      <c r="D436" s="300">
        <v>38539.78448263889</v>
      </c>
      <c r="E436" s="301">
        <v>-3.5796779780968402</v>
      </c>
      <c r="F436" s="302">
        <v>0</v>
      </c>
    </row>
    <row r="437" spans="3:6">
      <c r="C437" s="299">
        <v>434</v>
      </c>
      <c r="D437" s="300">
        <v>38539.784483912037</v>
      </c>
      <c r="E437" s="301">
        <v>-19.884693504529487</v>
      </c>
      <c r="F437" s="302">
        <v>0</v>
      </c>
    </row>
    <row r="438" spans="3:6">
      <c r="C438" s="299">
        <v>435</v>
      </c>
      <c r="D438" s="300">
        <v>38539.784485300923</v>
      </c>
      <c r="E438" s="301">
        <v>25.851030082141243</v>
      </c>
      <c r="F438" s="302">
        <v>0</v>
      </c>
    </row>
    <row r="439" spans="3:6">
      <c r="C439" s="299">
        <v>436</v>
      </c>
      <c r="D439" s="300">
        <v>38539.784486458331</v>
      </c>
      <c r="E439" s="301">
        <v>47.32280093671347</v>
      </c>
      <c r="F439" s="302">
        <v>0</v>
      </c>
    </row>
    <row r="440" spans="3:6">
      <c r="C440" s="299">
        <v>437</v>
      </c>
      <c r="D440" s="300">
        <v>38539.784487847224</v>
      </c>
      <c r="E440" s="301">
        <v>50.493295373784335</v>
      </c>
      <c r="F440" s="302">
        <v>0</v>
      </c>
    </row>
    <row r="441" spans="3:6">
      <c r="C441" s="299">
        <v>438</v>
      </c>
      <c r="D441" s="300">
        <v>38539.784489120371</v>
      </c>
      <c r="E441" s="301">
        <v>23.986619260061858</v>
      </c>
      <c r="F441" s="302">
        <v>0</v>
      </c>
    </row>
    <row r="442" spans="3:6">
      <c r="C442" s="299">
        <v>439</v>
      </c>
      <c r="D442" s="300">
        <v>38539.784491319442</v>
      </c>
      <c r="E442" s="301">
        <v>-44.900163950762789</v>
      </c>
      <c r="F442" s="302">
        <v>0</v>
      </c>
    </row>
    <row r="443" spans="3:6">
      <c r="C443" s="299">
        <v>440</v>
      </c>
      <c r="D443" s="300">
        <v>38539.784492592589</v>
      </c>
      <c r="E443" s="301">
        <v>28.966995790310886</v>
      </c>
      <c r="F443" s="302">
        <v>0</v>
      </c>
    </row>
    <row r="444" spans="3:6">
      <c r="C444" s="299">
        <v>441</v>
      </c>
      <c r="D444" s="300">
        <v>38539.784493865744</v>
      </c>
      <c r="E444" s="301">
        <v>55.888345688874246</v>
      </c>
      <c r="F444" s="302">
        <v>0</v>
      </c>
    </row>
    <row r="445" spans="3:6">
      <c r="C445" s="299">
        <v>442</v>
      </c>
      <c r="D445" s="300">
        <v>38539.784495254629</v>
      </c>
      <c r="E445" s="301">
        <v>24.185114830996966</v>
      </c>
      <c r="F445" s="302">
        <v>0</v>
      </c>
    </row>
    <row r="446" spans="3:6">
      <c r="C446" s="299">
        <v>443</v>
      </c>
      <c r="D446" s="300">
        <v>38539.784496527776</v>
      </c>
      <c r="E446" s="301">
        <v>-28.85593432349285</v>
      </c>
      <c r="F446" s="302">
        <v>0</v>
      </c>
    </row>
    <row r="447" spans="3:6">
      <c r="C447" s="299">
        <v>444</v>
      </c>
      <c r="D447" s="300">
        <v>38539.784497800923</v>
      </c>
      <c r="E447" s="301">
        <v>-61.027527681485964</v>
      </c>
      <c r="F447" s="302">
        <v>0</v>
      </c>
    </row>
    <row r="448" spans="3:6">
      <c r="C448" s="299">
        <v>445</v>
      </c>
      <c r="D448" s="300">
        <v>38539.78449907407</v>
      </c>
      <c r="E448" s="301">
        <v>10.255145091851041</v>
      </c>
      <c r="F448" s="302">
        <v>0</v>
      </c>
    </row>
    <row r="449" spans="3:6">
      <c r="C449" s="299">
        <v>446</v>
      </c>
      <c r="D449" s="300">
        <v>38539.784500347225</v>
      </c>
      <c r="E449" s="301">
        <v>44.964788266078806</v>
      </c>
      <c r="F449" s="302">
        <v>0</v>
      </c>
    </row>
    <row r="450" spans="3:6">
      <c r="C450" s="299">
        <v>447</v>
      </c>
      <c r="D450" s="300">
        <v>38539.784502314818</v>
      </c>
      <c r="E450" s="301">
        <v>55.381663586185702</v>
      </c>
      <c r="F450" s="302">
        <v>0</v>
      </c>
    </row>
    <row r="451" spans="3:6">
      <c r="C451" s="299">
        <v>448</v>
      </c>
      <c r="D451" s="300">
        <v>38539.784503819443</v>
      </c>
      <c r="E451" s="301">
        <v>-50.376765056377408</v>
      </c>
      <c r="F451" s="302">
        <v>0</v>
      </c>
    </row>
    <row r="452" spans="3:6">
      <c r="C452" s="299">
        <v>449</v>
      </c>
      <c r="D452" s="300">
        <v>38539.78450509259</v>
      </c>
      <c r="E452" s="301">
        <v>32.859141965028215</v>
      </c>
      <c r="F452" s="302">
        <v>0</v>
      </c>
    </row>
    <row r="453" spans="3:6">
      <c r="C453" s="299">
        <v>450</v>
      </c>
      <c r="D453" s="300">
        <v>38539.784506365744</v>
      </c>
      <c r="E453" s="301">
        <v>26.761919400453408</v>
      </c>
      <c r="F453" s="302">
        <v>0</v>
      </c>
    </row>
    <row r="454" spans="3:6">
      <c r="C454" s="299">
        <v>451</v>
      </c>
      <c r="D454" s="300">
        <v>38539.784507638891</v>
      </c>
      <c r="E454" s="301">
        <v>-38.854621523132138</v>
      </c>
      <c r="F454" s="302">
        <v>0</v>
      </c>
    </row>
    <row r="455" spans="3:6">
      <c r="C455" s="299">
        <v>452</v>
      </c>
      <c r="D455" s="300">
        <v>38539.7845087963</v>
      </c>
      <c r="E455" s="301">
        <v>10.000199764520028</v>
      </c>
      <c r="F455" s="302">
        <v>0</v>
      </c>
    </row>
    <row r="456" spans="3:6">
      <c r="C456" s="299">
        <v>453</v>
      </c>
      <c r="D456" s="300">
        <v>38539.784510300924</v>
      </c>
      <c r="E456" s="301">
        <v>-31.40056795275256</v>
      </c>
      <c r="F456" s="302">
        <v>0</v>
      </c>
    </row>
    <row r="457" spans="3:6">
      <c r="C457" s="299">
        <v>454</v>
      </c>
      <c r="D457" s="300">
        <v>38539.784511689817</v>
      </c>
      <c r="E457" s="301">
        <v>-54.196753269254629</v>
      </c>
      <c r="F457" s="302">
        <v>0</v>
      </c>
    </row>
    <row r="458" spans="3:6">
      <c r="C458" s="299">
        <v>455</v>
      </c>
      <c r="D458" s="300">
        <v>38539.784513541665</v>
      </c>
      <c r="E458" s="301">
        <v>58.071863935082511</v>
      </c>
      <c r="F458" s="302">
        <v>0</v>
      </c>
    </row>
    <row r="459" spans="3:6">
      <c r="C459" s="299">
        <v>456</v>
      </c>
      <c r="D459" s="300">
        <v>38539.784514814812</v>
      </c>
      <c r="E459" s="301">
        <v>12.448084711855255</v>
      </c>
      <c r="F459" s="302">
        <v>0</v>
      </c>
    </row>
    <row r="460" spans="3:6">
      <c r="C460" s="299">
        <v>457</v>
      </c>
      <c r="D460" s="300">
        <v>38539.784516319443</v>
      </c>
      <c r="E460" s="301">
        <v>-21.667228533282049</v>
      </c>
      <c r="F460" s="302">
        <v>0</v>
      </c>
    </row>
    <row r="461" spans="3:6">
      <c r="C461" s="299">
        <v>458</v>
      </c>
      <c r="D461" s="300">
        <v>38539.784517476852</v>
      </c>
      <c r="E461" s="301">
        <v>-10.946269258316793</v>
      </c>
      <c r="F461" s="302">
        <v>0</v>
      </c>
    </row>
    <row r="462" spans="3:6">
      <c r="C462" s="299">
        <v>459</v>
      </c>
      <c r="D462" s="300">
        <v>38539.784518749999</v>
      </c>
      <c r="E462" s="301">
        <v>8.6710114559764797</v>
      </c>
      <c r="F462" s="302">
        <v>0</v>
      </c>
    </row>
    <row r="463" spans="3:6">
      <c r="C463" s="299">
        <v>460</v>
      </c>
      <c r="D463" s="300">
        <v>38539.784520023146</v>
      </c>
      <c r="E463" s="301">
        <v>-8.8569291170118998</v>
      </c>
      <c r="F463" s="302">
        <v>0</v>
      </c>
    </row>
    <row r="464" spans="3:6">
      <c r="C464" s="299">
        <v>461</v>
      </c>
      <c r="D464" s="300">
        <v>38539.784521180554</v>
      </c>
      <c r="E464" s="301">
        <v>-29.855611318340216</v>
      </c>
      <c r="F464" s="302">
        <v>0</v>
      </c>
    </row>
    <row r="465" spans="3:6">
      <c r="C465" s="299">
        <v>462</v>
      </c>
      <c r="D465" s="300">
        <v>38539.784522569447</v>
      </c>
      <c r="E465" s="301">
        <v>57.618180839885824</v>
      </c>
      <c r="F465" s="302">
        <v>0</v>
      </c>
    </row>
    <row r="466" spans="3:6">
      <c r="C466" s="299">
        <v>463</v>
      </c>
      <c r="D466" s="300">
        <v>38539.784523842594</v>
      </c>
      <c r="E466" s="301">
        <v>-5.678062859662524</v>
      </c>
      <c r="F466" s="302">
        <v>0</v>
      </c>
    </row>
    <row r="467" spans="3:6">
      <c r="C467" s="299">
        <v>464</v>
      </c>
      <c r="D467" s="300">
        <v>38539.784525810188</v>
      </c>
      <c r="E467" s="301">
        <v>-45.551891224466516</v>
      </c>
      <c r="F467" s="302">
        <v>1</v>
      </c>
    </row>
    <row r="468" spans="3:6">
      <c r="C468" s="299">
        <v>465</v>
      </c>
      <c r="D468" s="300">
        <v>38539.784527083335</v>
      </c>
      <c r="E468" s="301">
        <v>8.6302303292104465</v>
      </c>
      <c r="F468" s="302">
        <v>0</v>
      </c>
    </row>
    <row r="469" spans="3:6">
      <c r="C469" s="299">
        <v>466</v>
      </c>
      <c r="D469" s="300">
        <v>38539.784528356482</v>
      </c>
      <c r="E469" s="301">
        <v>-0.58432973431500912</v>
      </c>
      <c r="F469" s="302">
        <v>0</v>
      </c>
    </row>
    <row r="470" spans="3:6">
      <c r="C470" s="299">
        <v>467</v>
      </c>
      <c r="D470" s="300">
        <v>38539.784529629629</v>
      </c>
      <c r="E470" s="301">
        <v>9.3807608490277463</v>
      </c>
      <c r="F470" s="302">
        <v>0</v>
      </c>
    </row>
    <row r="471" spans="3:6">
      <c r="C471" s="299">
        <v>468</v>
      </c>
      <c r="D471" s="300">
        <v>38539.784530902776</v>
      </c>
      <c r="E471" s="301">
        <v>-24.76911025904672</v>
      </c>
      <c r="F471" s="302">
        <v>0</v>
      </c>
    </row>
    <row r="472" spans="3:6">
      <c r="C472" s="299">
        <v>469</v>
      </c>
      <c r="D472" s="300">
        <v>38539.784532407408</v>
      </c>
      <c r="E472" s="301">
        <v>-23.345802698696833</v>
      </c>
      <c r="F472" s="302">
        <v>0</v>
      </c>
    </row>
    <row r="473" spans="3:6">
      <c r="C473" s="299">
        <v>470</v>
      </c>
      <c r="D473" s="300">
        <v>38539.784533680555</v>
      </c>
      <c r="E473" s="301">
        <v>-6.4165056758153973</v>
      </c>
      <c r="F473" s="302">
        <v>0</v>
      </c>
    </row>
    <row r="474" spans="3:6">
      <c r="C474" s="299">
        <v>471</v>
      </c>
      <c r="D474" s="300">
        <v>38539.784535069448</v>
      </c>
      <c r="E474" s="301">
        <v>9.9215815882486247</v>
      </c>
      <c r="F474" s="302">
        <v>0</v>
      </c>
    </row>
    <row r="475" spans="3:6">
      <c r="C475" s="299">
        <v>472</v>
      </c>
      <c r="D475" s="300">
        <v>38539.784536689818</v>
      </c>
      <c r="E475" s="301">
        <v>61.310500212761234</v>
      </c>
      <c r="F475" s="302">
        <v>0</v>
      </c>
    </row>
    <row r="476" spans="3:6">
      <c r="C476" s="299">
        <v>473</v>
      </c>
      <c r="D476" s="300">
        <v>38539.784537962965</v>
      </c>
      <c r="E476" s="301">
        <v>28.539630086538796</v>
      </c>
      <c r="F476" s="302">
        <v>0</v>
      </c>
    </row>
    <row r="477" spans="3:6">
      <c r="C477" s="299">
        <v>474</v>
      </c>
      <c r="D477" s="300">
        <v>38539.78453946759</v>
      </c>
      <c r="E477" s="301">
        <v>40.892861527955297</v>
      </c>
      <c r="F477" s="302">
        <v>0</v>
      </c>
    </row>
    <row r="478" spans="3:6">
      <c r="C478" s="299">
        <v>475</v>
      </c>
      <c r="D478" s="300">
        <v>38539.784540624998</v>
      </c>
      <c r="E478" s="301">
        <v>34.601378984556916</v>
      </c>
      <c r="F478" s="302">
        <v>0</v>
      </c>
    </row>
    <row r="479" spans="3:6">
      <c r="C479" s="299">
        <v>476</v>
      </c>
      <c r="D479" s="300">
        <v>38539.784541898145</v>
      </c>
      <c r="E479" s="301">
        <v>22.420612100432255</v>
      </c>
      <c r="F479" s="302">
        <v>0</v>
      </c>
    </row>
    <row r="480" spans="3:6">
      <c r="C480" s="299">
        <v>477</v>
      </c>
      <c r="D480" s="300">
        <v>38539.784543171299</v>
      </c>
      <c r="E480" s="301">
        <v>-38.724009172871561</v>
      </c>
      <c r="F480" s="302">
        <v>0</v>
      </c>
    </row>
    <row r="481" spans="3:6">
      <c r="C481" s="299">
        <v>478</v>
      </c>
      <c r="D481" s="300">
        <v>38539.784544675924</v>
      </c>
      <c r="E481" s="301">
        <v>-34.928142191747057</v>
      </c>
      <c r="F481" s="302">
        <v>0</v>
      </c>
    </row>
    <row r="482" spans="3:6">
      <c r="C482" s="299">
        <v>479</v>
      </c>
      <c r="D482" s="300">
        <v>38539.784545949071</v>
      </c>
      <c r="E482" s="301">
        <v>40.638554897895204</v>
      </c>
      <c r="F482" s="302">
        <v>0</v>
      </c>
    </row>
    <row r="483" spans="3:6">
      <c r="C483" s="299">
        <v>480</v>
      </c>
      <c r="D483" s="300">
        <v>38539.784547569441</v>
      </c>
      <c r="E483" s="301">
        <v>-54.181789679697687</v>
      </c>
      <c r="F483" s="302">
        <v>0</v>
      </c>
    </row>
    <row r="484" spans="3:6">
      <c r="C484" s="299">
        <v>481</v>
      </c>
      <c r="D484" s="300">
        <v>38539.784548958334</v>
      </c>
      <c r="E484" s="301">
        <v>37.720877884126779</v>
      </c>
      <c r="F484" s="302">
        <v>0</v>
      </c>
    </row>
    <row r="485" spans="3:6">
      <c r="C485" s="299">
        <v>482</v>
      </c>
      <c r="D485" s="300">
        <v>38539.784550231481</v>
      </c>
      <c r="E485" s="301">
        <v>17.6319527044833</v>
      </c>
      <c r="F485" s="302">
        <v>0</v>
      </c>
    </row>
    <row r="486" spans="3:6">
      <c r="C486" s="299">
        <v>483</v>
      </c>
      <c r="D486" s="300">
        <v>38539.784551736113</v>
      </c>
      <c r="E486" s="301">
        <v>-13.974788832292344</v>
      </c>
      <c r="F486" s="302">
        <v>0</v>
      </c>
    </row>
    <row r="487" spans="3:6">
      <c r="C487" s="299">
        <v>484</v>
      </c>
      <c r="D487" s="300">
        <v>38539.78455300926</v>
      </c>
      <c r="E487" s="301">
        <v>0.13847798603127615</v>
      </c>
      <c r="F487" s="302">
        <v>0</v>
      </c>
    </row>
    <row r="488" spans="3:6">
      <c r="C488" s="299">
        <v>485</v>
      </c>
      <c r="D488" s="300">
        <v>38539.784554282407</v>
      </c>
      <c r="E488" s="301">
        <v>27.193856870275226</v>
      </c>
      <c r="F488" s="302">
        <v>0</v>
      </c>
    </row>
    <row r="489" spans="3:6">
      <c r="C489" s="299">
        <v>486</v>
      </c>
      <c r="D489" s="300">
        <v>38539.784555671293</v>
      </c>
      <c r="E489" s="301">
        <v>-40.580792234616197</v>
      </c>
      <c r="F489" s="302">
        <v>0</v>
      </c>
    </row>
    <row r="490" spans="3:6">
      <c r="C490" s="299">
        <v>487</v>
      </c>
      <c r="D490" s="300">
        <v>38539.784556944447</v>
      </c>
      <c r="E490" s="301">
        <v>-0.72214908881975326</v>
      </c>
      <c r="F490" s="302">
        <v>0</v>
      </c>
    </row>
    <row r="491" spans="3:6">
      <c r="C491" s="299">
        <v>488</v>
      </c>
      <c r="D491" s="300">
        <v>38539.784558449071</v>
      </c>
      <c r="E491" s="301">
        <v>-23.34401771605885</v>
      </c>
      <c r="F491" s="302">
        <v>0</v>
      </c>
    </row>
    <row r="492" spans="3:6">
      <c r="C492" s="299">
        <v>489</v>
      </c>
      <c r="D492" s="300">
        <v>38539.784560185188</v>
      </c>
      <c r="E492" s="301">
        <v>-29.49247905767799</v>
      </c>
      <c r="F492" s="302">
        <v>0</v>
      </c>
    </row>
    <row r="493" spans="3:6">
      <c r="C493" s="299">
        <v>490</v>
      </c>
      <c r="D493" s="300">
        <v>38539.784561458335</v>
      </c>
      <c r="E493" s="301">
        <v>36.463473290626034</v>
      </c>
      <c r="F493" s="302">
        <v>0</v>
      </c>
    </row>
    <row r="494" spans="3:6">
      <c r="C494" s="299">
        <v>491</v>
      </c>
      <c r="D494" s="300">
        <v>38539.784562962966</v>
      </c>
      <c r="E494" s="301">
        <v>30.2679465757526</v>
      </c>
      <c r="F494" s="302">
        <v>0</v>
      </c>
    </row>
    <row r="495" spans="3:6">
      <c r="C495" s="299">
        <v>492</v>
      </c>
      <c r="D495" s="300">
        <v>38539.784564236114</v>
      </c>
      <c r="E495" s="301">
        <v>-31.83242705646137</v>
      </c>
      <c r="F495" s="302">
        <v>0</v>
      </c>
    </row>
    <row r="496" spans="3:6">
      <c r="C496" s="299">
        <v>493</v>
      </c>
      <c r="D496" s="300">
        <v>38539.784565509261</v>
      </c>
      <c r="E496" s="301">
        <v>16.215404447169441</v>
      </c>
      <c r="F496" s="302">
        <v>0</v>
      </c>
    </row>
    <row r="497" spans="3:6">
      <c r="C497" s="299">
        <v>494</v>
      </c>
      <c r="D497" s="300">
        <v>38539.784566898146</v>
      </c>
      <c r="E497" s="301">
        <v>10.604284602562023</v>
      </c>
      <c r="F497" s="302">
        <v>0</v>
      </c>
    </row>
    <row r="498" spans="3:6">
      <c r="C498" s="299">
        <v>495</v>
      </c>
      <c r="D498" s="300">
        <v>38539.784568171293</v>
      </c>
      <c r="E498" s="301">
        <v>45.50408421108488</v>
      </c>
      <c r="F498" s="302">
        <v>0</v>
      </c>
    </row>
    <row r="499" spans="3:6">
      <c r="C499" s="299">
        <v>496</v>
      </c>
      <c r="D499" s="300">
        <v>38539.784569444448</v>
      </c>
      <c r="E499" s="301">
        <v>21.821995582016854</v>
      </c>
      <c r="F499" s="302">
        <v>0</v>
      </c>
    </row>
    <row r="500" spans="3:6">
      <c r="C500" s="299">
        <v>497</v>
      </c>
      <c r="D500" s="300">
        <v>38539.784571064818</v>
      </c>
      <c r="E500" s="301">
        <v>-13.304358610667736</v>
      </c>
      <c r="F500" s="302">
        <v>0</v>
      </c>
    </row>
    <row r="501" spans="3:6">
      <c r="C501" s="299">
        <v>498</v>
      </c>
      <c r="D501" s="300">
        <v>38539.784572453704</v>
      </c>
      <c r="E501" s="301">
        <v>-35.419236869571741</v>
      </c>
      <c r="F501" s="302">
        <v>0</v>
      </c>
    </row>
    <row r="502" spans="3:6">
      <c r="C502" s="299">
        <v>499</v>
      </c>
      <c r="D502" s="300">
        <v>38539.784573958335</v>
      </c>
      <c r="E502" s="301">
        <v>25.542855209636219</v>
      </c>
      <c r="F502" s="302">
        <v>0</v>
      </c>
    </row>
    <row r="503" spans="3:6">
      <c r="C503" s="299">
        <v>500</v>
      </c>
      <c r="D503" s="300">
        <v>38539.784575578706</v>
      </c>
      <c r="E503" s="301">
        <v>28.251559844947902</v>
      </c>
      <c r="F503" s="302">
        <v>0</v>
      </c>
    </row>
    <row r="504" spans="3:6">
      <c r="C504" s="299">
        <v>501</v>
      </c>
      <c r="D504" s="300">
        <v>38539.78457708333</v>
      </c>
      <c r="E504" s="301">
        <v>-7.97012115831253</v>
      </c>
      <c r="F504" s="302">
        <v>0</v>
      </c>
    </row>
    <row r="505" spans="3:6">
      <c r="C505" s="299">
        <v>502</v>
      </c>
      <c r="D505" s="300">
        <v>38539.784578472223</v>
      </c>
      <c r="E505" s="301">
        <v>1.8169859179529455</v>
      </c>
      <c r="F505" s="302">
        <v>0</v>
      </c>
    </row>
    <row r="506" spans="3:6">
      <c r="C506" s="299">
        <v>503</v>
      </c>
      <c r="D506" s="300">
        <v>38539.78457974537</v>
      </c>
      <c r="E506" s="301">
        <v>-2.494159965624517</v>
      </c>
      <c r="F506" s="302">
        <v>0</v>
      </c>
    </row>
    <row r="507" spans="3:6">
      <c r="C507" s="299">
        <v>504</v>
      </c>
      <c r="D507" s="300">
        <v>38539.784581018517</v>
      </c>
      <c r="E507" s="301">
        <v>23.445011226301176</v>
      </c>
      <c r="F507" s="302">
        <v>0</v>
      </c>
    </row>
    <row r="508" spans="3:6">
      <c r="C508" s="299">
        <v>505</v>
      </c>
      <c r="D508" s="300">
        <v>38539.784582870372</v>
      </c>
      <c r="E508" s="301">
        <v>-20.223449667907978</v>
      </c>
      <c r="F508" s="302">
        <v>0</v>
      </c>
    </row>
    <row r="509" spans="3:6">
      <c r="C509" s="299">
        <v>506</v>
      </c>
      <c r="D509" s="300">
        <v>38539.784584259258</v>
      </c>
      <c r="E509" s="301">
        <v>45.08439470142892</v>
      </c>
      <c r="F509" s="302">
        <v>0</v>
      </c>
    </row>
    <row r="510" spans="3:6">
      <c r="C510" s="299">
        <v>507</v>
      </c>
      <c r="D510" s="300">
        <v>38539.784585532405</v>
      </c>
      <c r="E510" s="301">
        <v>40.960642974455851</v>
      </c>
      <c r="F510" s="302">
        <v>0</v>
      </c>
    </row>
    <row r="511" spans="3:6">
      <c r="C511" s="299">
        <v>508</v>
      </c>
      <c r="D511" s="300">
        <v>38539.784586921298</v>
      </c>
      <c r="E511" s="301">
        <v>-0.96089595039710396</v>
      </c>
      <c r="F511" s="302">
        <v>0</v>
      </c>
    </row>
    <row r="512" spans="3:6">
      <c r="C512" s="299">
        <v>509</v>
      </c>
      <c r="D512" s="300">
        <v>38539.784588194445</v>
      </c>
      <c r="E512" s="301">
        <v>1.2699928246506396</v>
      </c>
      <c r="F512" s="302">
        <v>0</v>
      </c>
    </row>
    <row r="513" spans="3:6">
      <c r="C513" s="299">
        <v>510</v>
      </c>
      <c r="D513" s="300">
        <v>38539.784591319447</v>
      </c>
      <c r="E513" s="301">
        <v>62.765196684968032</v>
      </c>
      <c r="F513" s="302">
        <v>0</v>
      </c>
    </row>
    <row r="514" spans="3:6">
      <c r="C514" s="299">
        <v>511</v>
      </c>
      <c r="D514" s="300">
        <v>38539.784592708333</v>
      </c>
      <c r="E514" s="301">
        <v>64.188005782629986</v>
      </c>
      <c r="F514" s="302">
        <v>0</v>
      </c>
    </row>
    <row r="515" spans="3:6">
      <c r="C515" s="299">
        <v>512</v>
      </c>
      <c r="D515" s="300">
        <v>38539.784594444442</v>
      </c>
      <c r="E515" s="301">
        <v>-25.452168657716435</v>
      </c>
      <c r="F515" s="302">
        <v>0</v>
      </c>
    </row>
    <row r="516" spans="3:6">
      <c r="C516" s="299">
        <v>513</v>
      </c>
      <c r="D516" s="300">
        <v>38539.78459560185</v>
      </c>
      <c r="E516" s="301">
        <v>14.344653315222427</v>
      </c>
      <c r="F516" s="302">
        <v>0</v>
      </c>
    </row>
    <row r="517" spans="3:6">
      <c r="C517" s="299">
        <v>514</v>
      </c>
      <c r="D517" s="300">
        <v>38539.784597453705</v>
      </c>
      <c r="E517" s="301">
        <v>30.427882904099512</v>
      </c>
      <c r="F517" s="302">
        <v>0</v>
      </c>
    </row>
    <row r="518" spans="3:6">
      <c r="C518" s="299">
        <v>515</v>
      </c>
      <c r="D518" s="300">
        <v>38539.784599074075</v>
      </c>
      <c r="E518" s="301">
        <v>19.123284556756637</v>
      </c>
      <c r="F518" s="302">
        <v>0</v>
      </c>
    </row>
    <row r="519" spans="3:6">
      <c r="C519" s="299">
        <v>516</v>
      </c>
      <c r="D519" s="300">
        <v>38539.784600347222</v>
      </c>
      <c r="E519" s="301">
        <v>17.526722774404281</v>
      </c>
      <c r="F519" s="302">
        <v>0</v>
      </c>
    </row>
    <row r="520" spans="3:6">
      <c r="C520" s="299">
        <v>517</v>
      </c>
      <c r="D520" s="300">
        <v>38539.784601851854</v>
      </c>
      <c r="E520" s="301">
        <v>30.770435319083546</v>
      </c>
      <c r="F520" s="302">
        <v>0</v>
      </c>
    </row>
    <row r="521" spans="3:6">
      <c r="C521" s="299">
        <v>518</v>
      </c>
      <c r="D521" s="300">
        <v>38539.78460324074</v>
      </c>
      <c r="E521" s="301">
        <v>13.747452433182389</v>
      </c>
      <c r="F521" s="302">
        <v>0</v>
      </c>
    </row>
    <row r="522" spans="3:6">
      <c r="C522" s="299">
        <v>519</v>
      </c>
      <c r="D522" s="300">
        <v>38539.78460486111</v>
      </c>
      <c r="E522" s="301">
        <v>-72.280848710855054</v>
      </c>
      <c r="F522" s="302">
        <v>0</v>
      </c>
    </row>
    <row r="523" spans="3:6">
      <c r="C523" s="299">
        <v>520</v>
      </c>
      <c r="D523" s="300">
        <v>38539.78460648148</v>
      </c>
      <c r="E523" s="301">
        <v>4.6592177265814252</v>
      </c>
      <c r="F523" s="302">
        <v>0</v>
      </c>
    </row>
    <row r="524" spans="3:6">
      <c r="C524" s="299">
        <v>521</v>
      </c>
      <c r="D524" s="300">
        <v>38539.784607754627</v>
      </c>
      <c r="E524" s="301">
        <v>5.1865746350964361</v>
      </c>
      <c r="F524" s="302">
        <v>0</v>
      </c>
    </row>
    <row r="525" spans="3:6">
      <c r="C525" s="299">
        <v>522</v>
      </c>
      <c r="D525" s="300">
        <v>38539.784609259259</v>
      </c>
      <c r="E525" s="301">
        <v>14.630419509401051</v>
      </c>
      <c r="F525" s="302">
        <v>0</v>
      </c>
    </row>
    <row r="526" spans="3:6">
      <c r="C526" s="299">
        <v>523</v>
      </c>
      <c r="D526" s="300">
        <v>38539.784610648145</v>
      </c>
      <c r="E526" s="301">
        <v>31.540021002530061</v>
      </c>
      <c r="F526" s="302">
        <v>0</v>
      </c>
    </row>
    <row r="527" spans="3:6">
      <c r="C527" s="299">
        <v>524</v>
      </c>
      <c r="D527" s="300">
        <v>38539.784611921299</v>
      </c>
      <c r="E527" s="301">
        <v>59.265857260197045</v>
      </c>
      <c r="F527" s="302">
        <v>0</v>
      </c>
    </row>
    <row r="528" spans="3:6">
      <c r="C528" s="299">
        <v>525</v>
      </c>
      <c r="D528" s="300">
        <v>38539.784613194446</v>
      </c>
      <c r="E528" s="301">
        <v>20.020899745319305</v>
      </c>
      <c r="F528" s="302">
        <v>0</v>
      </c>
    </row>
    <row r="529" spans="3:6">
      <c r="C529" s="299">
        <v>526</v>
      </c>
      <c r="D529" s="300">
        <v>38539.784615046294</v>
      </c>
      <c r="E529" s="301">
        <v>-5.2621414330278693</v>
      </c>
      <c r="F529" s="302">
        <v>0</v>
      </c>
    </row>
    <row r="530" spans="3:6">
      <c r="C530" s="299">
        <v>527</v>
      </c>
      <c r="D530" s="300">
        <v>38539.78461678241</v>
      </c>
      <c r="E530" s="301">
        <v>89.483330665632479</v>
      </c>
      <c r="F530" s="302">
        <v>0</v>
      </c>
    </row>
    <row r="531" spans="3:6">
      <c r="C531" s="299">
        <v>528</v>
      </c>
      <c r="D531" s="300">
        <v>38539.784618055557</v>
      </c>
      <c r="E531" s="301">
        <v>-18.886759471642044</v>
      </c>
      <c r="F531" s="302">
        <v>0</v>
      </c>
    </row>
    <row r="532" spans="3:6">
      <c r="C532" s="299">
        <v>529</v>
      </c>
      <c r="D532" s="300">
        <v>38539.784619560189</v>
      </c>
      <c r="E532" s="301">
        <v>28.067466284680084</v>
      </c>
      <c r="F532" s="302">
        <v>0</v>
      </c>
    </row>
    <row r="533" spans="3:6">
      <c r="C533" s="299">
        <v>530</v>
      </c>
      <c r="D533" s="300">
        <v>38539.784620949074</v>
      </c>
      <c r="E533" s="301">
        <v>-12.475646698230229</v>
      </c>
      <c r="F533" s="302">
        <v>0</v>
      </c>
    </row>
    <row r="534" spans="3:6">
      <c r="C534" s="299">
        <v>531</v>
      </c>
      <c r="D534" s="300">
        <v>38539.784622106483</v>
      </c>
      <c r="E534" s="301">
        <v>-15.18012965669856</v>
      </c>
      <c r="F534" s="302">
        <v>0</v>
      </c>
    </row>
    <row r="535" spans="3:6">
      <c r="C535" s="299">
        <v>532</v>
      </c>
      <c r="D535" s="300">
        <v>38539.784623726853</v>
      </c>
      <c r="E535" s="301">
        <v>16.12657985812524</v>
      </c>
      <c r="F535" s="302">
        <v>0</v>
      </c>
    </row>
    <row r="536" spans="3:6">
      <c r="C536" s="299">
        <v>533</v>
      </c>
      <c r="D536" s="300">
        <v>38539.784625</v>
      </c>
      <c r="E536" s="301">
        <v>45.968716031343561</v>
      </c>
      <c r="F536" s="302">
        <v>0</v>
      </c>
    </row>
    <row r="537" spans="3:6">
      <c r="C537" s="299">
        <v>534</v>
      </c>
      <c r="D537" s="300">
        <v>38539.784626388886</v>
      </c>
      <c r="E537" s="301">
        <v>0.92972271704890019</v>
      </c>
      <c r="F537" s="302">
        <v>0</v>
      </c>
    </row>
    <row r="538" spans="3:6">
      <c r="C538" s="299">
        <v>535</v>
      </c>
      <c r="D538" s="300">
        <v>38539.78462766204</v>
      </c>
      <c r="E538" s="301">
        <v>21.529806685296393</v>
      </c>
      <c r="F538" s="302">
        <v>0</v>
      </c>
    </row>
    <row r="539" spans="3:6">
      <c r="C539" s="299">
        <v>536</v>
      </c>
      <c r="D539" s="300">
        <v>38539.784629166665</v>
      </c>
      <c r="E539" s="301">
        <v>7.8484485947225622</v>
      </c>
      <c r="F539" s="302">
        <v>0</v>
      </c>
    </row>
    <row r="540" spans="3:6">
      <c r="C540" s="299">
        <v>537</v>
      </c>
      <c r="D540" s="300">
        <v>38539.784630324073</v>
      </c>
      <c r="E540" s="301">
        <v>3.367493205348902</v>
      </c>
      <c r="F540" s="302">
        <v>0</v>
      </c>
    </row>
    <row r="541" spans="3:6">
      <c r="C541" s="299">
        <v>538</v>
      </c>
      <c r="D541" s="300">
        <v>38539.78463159722</v>
      </c>
      <c r="E541" s="301">
        <v>-10.705214113132756</v>
      </c>
      <c r="F541" s="302">
        <v>0</v>
      </c>
    </row>
    <row r="542" spans="3:6">
      <c r="C542" s="299">
        <v>539</v>
      </c>
      <c r="D542" s="300">
        <v>38539.784633101852</v>
      </c>
      <c r="E542" s="301">
        <v>14.724887358766516</v>
      </c>
      <c r="F542" s="302">
        <v>0</v>
      </c>
    </row>
    <row r="543" spans="3:6">
      <c r="C543" s="299">
        <v>540</v>
      </c>
      <c r="D543" s="300">
        <v>38539.784634490738</v>
      </c>
      <c r="E543" s="301">
        <v>33.067423308071803</v>
      </c>
      <c r="F543" s="302">
        <v>0</v>
      </c>
    </row>
    <row r="544" spans="3:6">
      <c r="C544" s="299">
        <v>541</v>
      </c>
      <c r="D544" s="300">
        <v>38539.784635648146</v>
      </c>
      <c r="E544" s="301">
        <v>-12.49215583305952</v>
      </c>
      <c r="F544" s="302">
        <v>0</v>
      </c>
    </row>
    <row r="545" spans="3:6">
      <c r="C545" s="299">
        <v>542</v>
      </c>
      <c r="D545" s="300">
        <v>38539.784637268516</v>
      </c>
      <c r="E545" s="301">
        <v>16.787038073490525</v>
      </c>
      <c r="F545" s="302">
        <v>0</v>
      </c>
    </row>
    <row r="546" spans="3:6">
      <c r="C546" s="299">
        <v>543</v>
      </c>
      <c r="D546" s="300">
        <v>38539.784638888887</v>
      </c>
      <c r="E546" s="301">
        <v>-7.9451638120902786</v>
      </c>
      <c r="F546" s="302">
        <v>0</v>
      </c>
    </row>
    <row r="547" spans="3:6">
      <c r="C547" s="299">
        <v>544</v>
      </c>
      <c r="D547" s="300">
        <v>38539.78464027778</v>
      </c>
      <c r="E547" s="301">
        <v>-1.9943034450542592</v>
      </c>
      <c r="F547" s="302">
        <v>0</v>
      </c>
    </row>
    <row r="548" spans="3:6">
      <c r="C548" s="299">
        <v>545</v>
      </c>
      <c r="D548" s="300">
        <v>38539.784641435188</v>
      </c>
      <c r="E548" s="301">
        <v>46.093117959967536</v>
      </c>
      <c r="F548" s="302">
        <v>0</v>
      </c>
    </row>
    <row r="549" spans="3:6">
      <c r="C549" s="299">
        <v>546</v>
      </c>
      <c r="D549" s="300">
        <v>38539.784642824074</v>
      </c>
      <c r="E549" s="301">
        <v>17.565057754805544</v>
      </c>
      <c r="F549" s="302">
        <v>0</v>
      </c>
    </row>
    <row r="550" spans="3:6">
      <c r="C550" s="299">
        <v>547</v>
      </c>
      <c r="D550" s="300">
        <v>38539.784644097221</v>
      </c>
      <c r="E550" s="301">
        <v>-17.653746030265069</v>
      </c>
      <c r="F550" s="302">
        <v>0</v>
      </c>
    </row>
    <row r="551" spans="3:6">
      <c r="C551" s="299">
        <v>548</v>
      </c>
      <c r="D551" s="300">
        <v>38539.784645370368</v>
      </c>
      <c r="E551" s="301">
        <v>-56.038218871016497</v>
      </c>
      <c r="F551" s="302">
        <v>0</v>
      </c>
    </row>
    <row r="552" spans="3:6">
      <c r="C552" s="299">
        <v>549</v>
      </c>
      <c r="D552" s="300">
        <v>38539.784646643522</v>
      </c>
      <c r="E552" s="301">
        <v>-10.103599221157713</v>
      </c>
      <c r="F552" s="302">
        <v>0</v>
      </c>
    </row>
    <row r="553" spans="3:6">
      <c r="C553" s="299">
        <v>550</v>
      </c>
      <c r="D553" s="300">
        <v>38539.784647916669</v>
      </c>
      <c r="E553" s="301">
        <v>49.083543249589361</v>
      </c>
      <c r="F553" s="302">
        <v>0</v>
      </c>
    </row>
    <row r="554" spans="3:6">
      <c r="C554" s="299">
        <v>551</v>
      </c>
      <c r="D554" s="300">
        <v>38539.784649189816</v>
      </c>
      <c r="E554" s="301">
        <v>-4.7201120154313569</v>
      </c>
      <c r="F554" s="302">
        <v>0</v>
      </c>
    </row>
    <row r="555" spans="3:6">
      <c r="C555" s="299">
        <v>552</v>
      </c>
      <c r="D555" s="300">
        <v>38539.784650578702</v>
      </c>
      <c r="E555" s="301">
        <v>15.086010553210579</v>
      </c>
      <c r="F555" s="302">
        <v>0</v>
      </c>
    </row>
    <row r="556" spans="3:6">
      <c r="C556" s="299">
        <v>553</v>
      </c>
      <c r="D556" s="300">
        <v>38539.784651851849</v>
      </c>
      <c r="E556" s="301">
        <v>11.976869636529898</v>
      </c>
      <c r="F556" s="302">
        <v>0</v>
      </c>
    </row>
    <row r="557" spans="3:6">
      <c r="C557" s="299">
        <v>554</v>
      </c>
      <c r="D557" s="300">
        <v>38539.784653356481</v>
      </c>
      <c r="E557" s="301">
        <v>47.62615952396866</v>
      </c>
      <c r="F557" s="302">
        <v>0</v>
      </c>
    </row>
    <row r="558" spans="3:6">
      <c r="C558" s="299">
        <v>555</v>
      </c>
      <c r="D558" s="300">
        <v>38539.784654976851</v>
      </c>
      <c r="E558" s="301">
        <v>28.60281804118355</v>
      </c>
      <c r="F558" s="302">
        <v>0</v>
      </c>
    </row>
    <row r="559" spans="3:6">
      <c r="C559" s="299">
        <v>556</v>
      </c>
      <c r="D559" s="300">
        <v>38539.784656365744</v>
      </c>
      <c r="E559" s="301">
        <v>7.0509151218132651</v>
      </c>
      <c r="F559" s="302">
        <v>0</v>
      </c>
    </row>
    <row r="560" spans="3:6">
      <c r="C560" s="299">
        <v>557</v>
      </c>
      <c r="D560" s="300">
        <v>38539.784657638891</v>
      </c>
      <c r="E560" s="301">
        <v>16.486350490649034</v>
      </c>
      <c r="F560" s="302">
        <v>0</v>
      </c>
    </row>
    <row r="561" spans="3:6">
      <c r="C561" s="299">
        <v>558</v>
      </c>
      <c r="D561" s="300">
        <v>38539.784658912038</v>
      </c>
      <c r="E561" s="301">
        <v>-47.246302829771032</v>
      </c>
      <c r="F561" s="302">
        <v>0</v>
      </c>
    </row>
    <row r="562" spans="3:6">
      <c r="C562" s="299">
        <v>559</v>
      </c>
      <c r="D562" s="300">
        <v>38539.784660185185</v>
      </c>
      <c r="E562" s="301">
        <v>-32.588414623894622</v>
      </c>
      <c r="F562" s="302">
        <v>0</v>
      </c>
    </row>
    <row r="563" spans="3:6">
      <c r="C563" s="299">
        <v>560</v>
      </c>
      <c r="D563" s="300">
        <v>38539.784661458332</v>
      </c>
      <c r="E563" s="301">
        <v>12.460570170141931</v>
      </c>
      <c r="F563" s="302">
        <v>0</v>
      </c>
    </row>
    <row r="564" spans="3:6">
      <c r="C564" s="299">
        <v>561</v>
      </c>
      <c r="D564" s="300">
        <v>38539.784662962964</v>
      </c>
      <c r="E564" s="301">
        <v>13.112203725738233</v>
      </c>
      <c r="F564" s="302">
        <v>0</v>
      </c>
    </row>
    <row r="565" spans="3:6">
      <c r="C565" s="299">
        <v>562</v>
      </c>
      <c r="D565" s="300">
        <v>38539.784664236111</v>
      </c>
      <c r="E565" s="301">
        <v>-6.5492576754094447</v>
      </c>
      <c r="F565" s="302">
        <v>0</v>
      </c>
    </row>
    <row r="566" spans="3:6">
      <c r="C566" s="299">
        <v>563</v>
      </c>
      <c r="D566" s="300">
        <v>38539.784665509258</v>
      </c>
      <c r="E566" s="301">
        <v>30.516193786581798</v>
      </c>
      <c r="F566" s="302">
        <v>0</v>
      </c>
    </row>
    <row r="567" spans="3:6">
      <c r="C567" s="299">
        <v>564</v>
      </c>
      <c r="D567" s="300">
        <v>38539.784666782405</v>
      </c>
      <c r="E567" s="301">
        <v>18.043396065230912</v>
      </c>
      <c r="F567" s="302">
        <v>0</v>
      </c>
    </row>
    <row r="568" spans="3:6">
      <c r="C568" s="299">
        <v>565</v>
      </c>
      <c r="D568" s="300">
        <v>38539.784667824075</v>
      </c>
      <c r="E568" s="301">
        <v>17.953686851835535</v>
      </c>
      <c r="F568" s="302">
        <v>0</v>
      </c>
    </row>
    <row r="569" spans="3:6">
      <c r="C569" s="299">
        <v>566</v>
      </c>
      <c r="D569" s="300">
        <v>38539.784669097222</v>
      </c>
      <c r="E569" s="301">
        <v>-5.5499547517899348</v>
      </c>
      <c r="F569" s="302">
        <v>0</v>
      </c>
    </row>
    <row r="570" spans="3:6">
      <c r="C570" s="299">
        <v>567</v>
      </c>
      <c r="D570" s="300">
        <v>38539.784670370369</v>
      </c>
      <c r="E570" s="301">
        <v>2.024719789652222</v>
      </c>
      <c r="F570" s="302">
        <v>0</v>
      </c>
    </row>
    <row r="571" spans="3:6">
      <c r="C571" s="299">
        <v>568</v>
      </c>
      <c r="D571" s="300">
        <v>38539.784671643516</v>
      </c>
      <c r="E571" s="301">
        <v>24.612737190777416</v>
      </c>
      <c r="F571" s="302">
        <v>0</v>
      </c>
    </row>
    <row r="572" spans="3:6">
      <c r="C572" s="299">
        <v>569</v>
      </c>
      <c r="D572" s="300">
        <v>38539.784672916663</v>
      </c>
      <c r="E572" s="301">
        <v>53.20647261599337</v>
      </c>
      <c r="F572" s="302">
        <v>0</v>
      </c>
    </row>
    <row r="573" spans="3:6">
      <c r="C573" s="299">
        <v>570</v>
      </c>
      <c r="D573" s="300">
        <v>38539.784674189817</v>
      </c>
      <c r="E573" s="301">
        <v>-41.143444921895579</v>
      </c>
      <c r="F573" s="302">
        <v>0</v>
      </c>
    </row>
    <row r="574" spans="3:6">
      <c r="C574" s="299">
        <v>571</v>
      </c>
      <c r="D574" s="300">
        <v>38539.784675462965</v>
      </c>
      <c r="E574" s="301">
        <v>20.404960128923982</v>
      </c>
      <c r="F574" s="302">
        <v>0</v>
      </c>
    </row>
    <row r="575" spans="3:6">
      <c r="C575" s="299">
        <v>572</v>
      </c>
      <c r="D575" s="300">
        <v>38539.784676620373</v>
      </c>
      <c r="E575" s="301">
        <v>-39.897875368665538</v>
      </c>
      <c r="F575" s="302">
        <v>0</v>
      </c>
    </row>
    <row r="576" spans="3:6">
      <c r="C576" s="299">
        <v>573</v>
      </c>
      <c r="D576" s="300">
        <v>38539.78467789352</v>
      </c>
      <c r="E576" s="301">
        <v>5.8937428992603902</v>
      </c>
      <c r="F576" s="302">
        <v>0</v>
      </c>
    </row>
    <row r="577" spans="3:6">
      <c r="C577" s="299">
        <v>574</v>
      </c>
      <c r="D577" s="300">
        <v>38539.784679166667</v>
      </c>
      <c r="E577" s="301">
        <v>-10.009376382808224</v>
      </c>
      <c r="F577" s="302">
        <v>0</v>
      </c>
    </row>
    <row r="578" spans="3:6">
      <c r="C578" s="299">
        <v>575</v>
      </c>
      <c r="D578" s="300">
        <v>38539.784680439814</v>
      </c>
      <c r="E578" s="301">
        <v>-23.38170379292362</v>
      </c>
      <c r="F578" s="302">
        <v>0</v>
      </c>
    </row>
    <row r="579" spans="3:6">
      <c r="C579" s="299">
        <v>576</v>
      </c>
      <c r="D579" s="300">
        <v>38539.784681597223</v>
      </c>
      <c r="E579" s="301">
        <v>11.744256360612145</v>
      </c>
      <c r="F579" s="302">
        <v>0</v>
      </c>
    </row>
    <row r="580" spans="3:6">
      <c r="C580" s="299">
        <v>577</v>
      </c>
      <c r="D580" s="300">
        <v>38539.78468287037</v>
      </c>
      <c r="E580" s="301">
        <v>45.119476797039873</v>
      </c>
      <c r="F580" s="302">
        <v>0</v>
      </c>
    </row>
    <row r="581" spans="3:6">
      <c r="C581" s="299">
        <v>578</v>
      </c>
      <c r="D581" s="300">
        <v>38539.784684143517</v>
      </c>
      <c r="E581" s="301">
        <v>31.341295585860962</v>
      </c>
      <c r="F581" s="302">
        <v>0</v>
      </c>
    </row>
    <row r="582" spans="3:6">
      <c r="C582" s="299">
        <v>579</v>
      </c>
      <c r="D582" s="300">
        <v>38539.784685185186</v>
      </c>
      <c r="E582" s="301">
        <v>-14.569447791544739</v>
      </c>
      <c r="F582" s="302">
        <v>0</v>
      </c>
    </row>
    <row r="583" spans="3:6">
      <c r="C583" s="299">
        <v>580</v>
      </c>
      <c r="D583" s="300">
        <v>38539.784686458333</v>
      </c>
      <c r="E583" s="301">
        <v>49.377474934221681</v>
      </c>
      <c r="F583" s="302">
        <v>0</v>
      </c>
    </row>
    <row r="584" spans="3:6">
      <c r="C584" s="299">
        <v>581</v>
      </c>
      <c r="D584" s="300">
        <v>38539.784687731481</v>
      </c>
      <c r="E584" s="301">
        <v>3.3546715953011503</v>
      </c>
      <c r="F584" s="302">
        <v>0</v>
      </c>
    </row>
    <row r="585" spans="3:6">
      <c r="C585" s="299">
        <v>582</v>
      </c>
      <c r="D585" s="300">
        <v>38539.78468877315</v>
      </c>
      <c r="E585" s="301">
        <v>-22.918296410498044</v>
      </c>
      <c r="F585" s="302">
        <v>0</v>
      </c>
    </row>
    <row r="586" spans="3:6">
      <c r="C586" s="299">
        <v>583</v>
      </c>
      <c r="D586" s="300">
        <v>38539.784690046297</v>
      </c>
      <c r="E586" s="301">
        <v>28.398672055982239</v>
      </c>
      <c r="F586" s="302">
        <v>0</v>
      </c>
    </row>
    <row r="587" spans="3:6">
      <c r="C587" s="299">
        <v>584</v>
      </c>
      <c r="D587" s="300">
        <v>38539.78469108796</v>
      </c>
      <c r="E587" s="301">
        <v>7.8095831585343856</v>
      </c>
      <c r="F587" s="302">
        <v>0</v>
      </c>
    </row>
    <row r="588" spans="3:6">
      <c r="C588" s="299">
        <v>585</v>
      </c>
      <c r="D588" s="300">
        <v>38539.784692361114</v>
      </c>
      <c r="E588" s="301">
        <v>-1.4304665655305433</v>
      </c>
      <c r="F588" s="302">
        <v>0</v>
      </c>
    </row>
    <row r="589" spans="3:6">
      <c r="C589" s="299">
        <v>586</v>
      </c>
      <c r="D589" s="300">
        <v>38539.784693634261</v>
      </c>
      <c r="E589" s="301">
        <v>-1.4049897644188654</v>
      </c>
      <c r="F589" s="302">
        <v>0</v>
      </c>
    </row>
    <row r="590" spans="3:6">
      <c r="C590" s="299">
        <v>587</v>
      </c>
      <c r="D590" s="300">
        <v>38539.784694907408</v>
      </c>
      <c r="E590" s="301">
        <v>3.5670935515571678</v>
      </c>
      <c r="F590" s="302">
        <v>0</v>
      </c>
    </row>
    <row r="591" spans="3:6">
      <c r="C591" s="299">
        <v>588</v>
      </c>
      <c r="D591" s="300">
        <v>38539.784696064817</v>
      </c>
      <c r="E591" s="301">
        <v>5.3710543920442744</v>
      </c>
      <c r="F591" s="302">
        <v>0</v>
      </c>
    </row>
    <row r="592" spans="3:6">
      <c r="C592" s="299">
        <v>589</v>
      </c>
      <c r="D592" s="300">
        <v>38539.784697337964</v>
      </c>
      <c r="E592" s="301">
        <v>-111.81072027623119</v>
      </c>
      <c r="F592" s="302">
        <v>0</v>
      </c>
    </row>
    <row r="593" spans="3:6">
      <c r="C593" s="299">
        <v>590</v>
      </c>
      <c r="D593" s="300">
        <v>38539.784698611111</v>
      </c>
      <c r="E593" s="301">
        <v>-33.527474090511596</v>
      </c>
      <c r="F593" s="302">
        <v>0</v>
      </c>
    </row>
    <row r="594" spans="3:6">
      <c r="C594" s="299">
        <v>591</v>
      </c>
      <c r="D594" s="300">
        <v>38539.784699768519</v>
      </c>
      <c r="E594" s="301">
        <v>-2.7317284358428138</v>
      </c>
      <c r="F594" s="302">
        <v>0</v>
      </c>
    </row>
    <row r="595" spans="3:6">
      <c r="C595" s="299">
        <v>592</v>
      </c>
      <c r="D595" s="300">
        <v>38539.784700925928</v>
      </c>
      <c r="E595" s="301">
        <v>37.793623507976072</v>
      </c>
      <c r="F595" s="302">
        <v>0</v>
      </c>
    </row>
    <row r="596" spans="3:6">
      <c r="C596" s="299">
        <v>593</v>
      </c>
      <c r="D596" s="300">
        <v>38539.784702199075</v>
      </c>
      <c r="E596" s="301">
        <v>46.962219615578796</v>
      </c>
      <c r="F596" s="302">
        <v>0</v>
      </c>
    </row>
    <row r="597" spans="3:6">
      <c r="C597" s="299">
        <v>594</v>
      </c>
      <c r="D597" s="300">
        <v>38539.784703472222</v>
      </c>
      <c r="E597" s="301">
        <v>-36.709610749653258</v>
      </c>
      <c r="F597" s="302">
        <v>0</v>
      </c>
    </row>
    <row r="598" spans="3:6">
      <c r="C598" s="299">
        <v>595</v>
      </c>
      <c r="D598" s="300">
        <v>38539.784704745369</v>
      </c>
      <c r="E598" s="301">
        <v>2.1026625929172003</v>
      </c>
      <c r="F598" s="302">
        <v>0</v>
      </c>
    </row>
    <row r="599" spans="3:6">
      <c r="C599" s="299">
        <v>596</v>
      </c>
      <c r="D599" s="300">
        <v>38539.784705787039</v>
      </c>
      <c r="E599" s="301">
        <v>19.992500377021628</v>
      </c>
      <c r="F599" s="302">
        <v>0</v>
      </c>
    </row>
    <row r="600" spans="3:6">
      <c r="C600" s="299">
        <v>597</v>
      </c>
      <c r="D600" s="300">
        <v>38539.78470729167</v>
      </c>
      <c r="E600" s="301">
        <v>31.976188919532937</v>
      </c>
      <c r="F600" s="302">
        <v>0</v>
      </c>
    </row>
    <row r="601" spans="3:6">
      <c r="C601" s="299">
        <v>598</v>
      </c>
      <c r="D601" s="300">
        <v>38539.784708333333</v>
      </c>
      <c r="E601" s="301">
        <v>38.781581979553486</v>
      </c>
      <c r="F601" s="302">
        <v>0</v>
      </c>
    </row>
    <row r="602" spans="3:6">
      <c r="C602" s="299">
        <v>599</v>
      </c>
      <c r="D602" s="300">
        <v>38539.784709722226</v>
      </c>
      <c r="E602" s="301">
        <v>-37.04500655200507</v>
      </c>
      <c r="F602" s="302">
        <v>0</v>
      </c>
    </row>
    <row r="603" spans="3:6">
      <c r="C603" s="299">
        <v>600</v>
      </c>
      <c r="D603" s="300">
        <v>38539.784710995373</v>
      </c>
      <c r="E603" s="301">
        <v>11.023007763658134</v>
      </c>
      <c r="F603" s="302">
        <v>0</v>
      </c>
    </row>
    <row r="604" spans="3:6">
      <c r="C604" s="299">
        <v>601</v>
      </c>
      <c r="D604" s="300">
        <v>38539.784712152781</v>
      </c>
      <c r="E604" s="301">
        <v>15.183599979652325</v>
      </c>
      <c r="F604" s="302">
        <v>0</v>
      </c>
    </row>
    <row r="605" spans="3:6">
      <c r="C605" s="299">
        <v>602</v>
      </c>
      <c r="D605" s="300">
        <v>38539.784713425928</v>
      </c>
      <c r="E605" s="301">
        <v>37.819090602489595</v>
      </c>
      <c r="F605" s="302">
        <v>0</v>
      </c>
    </row>
    <row r="606" spans="3:6">
      <c r="C606" s="299">
        <v>603</v>
      </c>
      <c r="D606" s="300">
        <v>38539.784714699075</v>
      </c>
      <c r="E606" s="301">
        <v>49.443494993607807</v>
      </c>
      <c r="F606" s="302">
        <v>0</v>
      </c>
    </row>
    <row r="607" spans="3:6">
      <c r="C607" s="299">
        <v>604</v>
      </c>
      <c r="D607" s="300">
        <v>38539.784715972222</v>
      </c>
      <c r="E607" s="301">
        <v>-18.434437773461084</v>
      </c>
      <c r="F607" s="302">
        <v>0</v>
      </c>
    </row>
    <row r="608" spans="3:6">
      <c r="C608" s="299">
        <v>605</v>
      </c>
      <c r="D608" s="300">
        <v>38539.784717013892</v>
      </c>
      <c r="E608" s="301">
        <v>65.616455046991973</v>
      </c>
      <c r="F608" s="302">
        <v>0</v>
      </c>
    </row>
    <row r="609" spans="3:6">
      <c r="C609" s="299">
        <v>606</v>
      </c>
      <c r="D609" s="300">
        <v>38539.784718287039</v>
      </c>
      <c r="E609" s="301">
        <v>-8.1625427177735101</v>
      </c>
      <c r="F609" s="302">
        <v>0</v>
      </c>
    </row>
    <row r="610" spans="3:6">
      <c r="C610" s="299">
        <v>607</v>
      </c>
      <c r="D610" s="300">
        <v>38539.784719560186</v>
      </c>
      <c r="E610" s="301">
        <v>36.599290598223021</v>
      </c>
      <c r="F610" s="302">
        <v>0</v>
      </c>
    </row>
    <row r="611" spans="3:6">
      <c r="C611" s="299">
        <v>608</v>
      </c>
      <c r="D611" s="300">
        <v>38539.784720833333</v>
      </c>
      <c r="E611" s="301">
        <v>39.02755690951053</v>
      </c>
      <c r="F611" s="302">
        <v>0</v>
      </c>
    </row>
    <row r="612" spans="3:6">
      <c r="C612" s="299">
        <v>609</v>
      </c>
      <c r="D612" s="300">
        <v>38539.78472210648</v>
      </c>
      <c r="E612" s="301">
        <v>40.867539413924916</v>
      </c>
      <c r="F612" s="302">
        <v>0</v>
      </c>
    </row>
    <row r="613" spans="3:6">
      <c r="C613" s="299">
        <v>610</v>
      </c>
      <c r="D613" s="300">
        <v>38539.784723379627</v>
      </c>
      <c r="E613" s="301">
        <v>68.681927450076273</v>
      </c>
      <c r="F613" s="302">
        <v>0</v>
      </c>
    </row>
    <row r="614" spans="3:6">
      <c r="C614" s="299">
        <v>611</v>
      </c>
      <c r="D614" s="300">
        <v>38539.784724421297</v>
      </c>
      <c r="E614" s="301">
        <v>4.4168890812123767</v>
      </c>
      <c r="F614" s="302">
        <v>0</v>
      </c>
    </row>
    <row r="615" spans="3:6">
      <c r="C615" s="299">
        <v>612</v>
      </c>
      <c r="D615" s="300">
        <v>38539.784725694444</v>
      </c>
      <c r="E615" s="301">
        <v>25.646390454249534</v>
      </c>
      <c r="F615" s="302">
        <v>0</v>
      </c>
    </row>
    <row r="616" spans="3:6">
      <c r="C616" s="299">
        <v>613</v>
      </c>
      <c r="D616" s="300">
        <v>38539.784726736114</v>
      </c>
      <c r="E616" s="301">
        <v>14.367481638462644</v>
      </c>
      <c r="F616" s="302">
        <v>0</v>
      </c>
    </row>
    <row r="617" spans="3:6">
      <c r="C617" s="299">
        <v>614</v>
      </c>
      <c r="D617" s="300">
        <v>38539.784728009261</v>
      </c>
      <c r="E617" s="301">
        <v>-18.529486746984347</v>
      </c>
      <c r="F617" s="302">
        <v>0</v>
      </c>
    </row>
    <row r="618" spans="3:6">
      <c r="C618" s="299">
        <v>615</v>
      </c>
      <c r="D618" s="300">
        <v>38539.784729282408</v>
      </c>
      <c r="E618" s="301">
        <v>-13.633338807067229</v>
      </c>
      <c r="F618" s="302">
        <v>0</v>
      </c>
    </row>
    <row r="619" spans="3:6">
      <c r="C619" s="299">
        <v>616</v>
      </c>
      <c r="D619" s="300">
        <v>38539.784730555555</v>
      </c>
      <c r="E619" s="301">
        <v>58.222966551225795</v>
      </c>
      <c r="F619" s="302">
        <v>0</v>
      </c>
    </row>
    <row r="620" spans="3:6">
      <c r="C620" s="299">
        <v>617</v>
      </c>
      <c r="D620" s="300">
        <v>38539.784731828702</v>
      </c>
      <c r="E620" s="301">
        <v>-44.997084077182947</v>
      </c>
      <c r="F620" s="302">
        <v>0</v>
      </c>
    </row>
    <row r="621" spans="3:6">
      <c r="C621" s="299">
        <v>618</v>
      </c>
      <c r="D621" s="300">
        <v>38539.784733101849</v>
      </c>
      <c r="E621" s="301">
        <v>27.856738664487718</v>
      </c>
      <c r="F621" s="302">
        <v>0</v>
      </c>
    </row>
    <row r="622" spans="3:6">
      <c r="C622" s="299">
        <v>619</v>
      </c>
      <c r="D622" s="300">
        <v>38539.784734490742</v>
      </c>
      <c r="E622" s="301">
        <v>4.9439160918716585</v>
      </c>
      <c r="F622" s="302">
        <v>0</v>
      </c>
    </row>
    <row r="623" spans="3:6">
      <c r="C623" s="299">
        <v>620</v>
      </c>
      <c r="D623" s="300">
        <v>38539.784735648151</v>
      </c>
      <c r="E623" s="301">
        <v>16.629819889443475</v>
      </c>
      <c r="F623" s="302">
        <v>0</v>
      </c>
    </row>
    <row r="624" spans="3:6">
      <c r="C624" s="299">
        <v>621</v>
      </c>
      <c r="D624" s="300">
        <v>38539.784736921298</v>
      </c>
      <c r="E624" s="301">
        <v>34.543892041374541</v>
      </c>
      <c r="F624" s="302">
        <v>0</v>
      </c>
    </row>
    <row r="625" spans="3:6">
      <c r="C625" s="299">
        <v>622</v>
      </c>
      <c r="D625" s="300">
        <v>38539.784738194445</v>
      </c>
      <c r="E625" s="301">
        <v>16.882061662604499</v>
      </c>
      <c r="F625" s="302">
        <v>0</v>
      </c>
    </row>
    <row r="626" spans="3:6">
      <c r="C626" s="299">
        <v>623</v>
      </c>
      <c r="D626" s="300">
        <v>38539.784739583331</v>
      </c>
      <c r="E626" s="301">
        <v>37.2416226812351</v>
      </c>
      <c r="F626" s="302">
        <v>0</v>
      </c>
    </row>
    <row r="627" spans="3:6">
      <c r="C627" s="299">
        <v>624</v>
      </c>
      <c r="D627" s="300">
        <v>38539.784740740739</v>
      </c>
      <c r="E627" s="301">
        <v>21.378524133692295</v>
      </c>
      <c r="F627" s="302">
        <v>0</v>
      </c>
    </row>
    <row r="628" spans="3:6">
      <c r="C628" s="299">
        <v>625</v>
      </c>
      <c r="D628" s="300">
        <v>38539.784742129632</v>
      </c>
      <c r="E628" s="301">
        <v>-32.262529378755872</v>
      </c>
      <c r="F628" s="302">
        <v>0</v>
      </c>
    </row>
    <row r="629" spans="3:6">
      <c r="C629" s="299">
        <v>626</v>
      </c>
      <c r="D629" s="300">
        <v>38539.784743402779</v>
      </c>
      <c r="E629" s="301">
        <v>-19.629416554018846</v>
      </c>
      <c r="F629" s="302">
        <v>0</v>
      </c>
    </row>
    <row r="630" spans="3:6">
      <c r="C630" s="299">
        <v>627</v>
      </c>
      <c r="D630" s="300">
        <v>38539.784744675926</v>
      </c>
      <c r="E630" s="301">
        <v>-5.6360036444841395</v>
      </c>
      <c r="F630" s="302">
        <v>0</v>
      </c>
    </row>
    <row r="631" spans="3:6">
      <c r="C631" s="299">
        <v>628</v>
      </c>
      <c r="D631" s="300">
        <v>38539.784753009262</v>
      </c>
      <c r="E631" s="301">
        <v>-11.71418886666741</v>
      </c>
      <c r="F631" s="302">
        <v>0</v>
      </c>
    </row>
    <row r="632" spans="3:6">
      <c r="C632" s="299">
        <v>629</v>
      </c>
      <c r="D632" s="300">
        <v>38539.784754282409</v>
      </c>
      <c r="E632" s="301">
        <v>11.53817141550377</v>
      </c>
      <c r="F632" s="302">
        <v>0</v>
      </c>
    </row>
    <row r="633" spans="3:6">
      <c r="C633" s="299">
        <v>630</v>
      </c>
      <c r="D633" s="300">
        <v>38539.784755555556</v>
      </c>
      <c r="E633" s="301">
        <v>21.538838206095253</v>
      </c>
      <c r="F633" s="302">
        <v>0</v>
      </c>
    </row>
    <row r="634" spans="3:6">
      <c r="C634" s="299">
        <v>631</v>
      </c>
      <c r="D634" s="300">
        <v>38539.78475914352</v>
      </c>
      <c r="E634" s="301">
        <v>39.166784209826311</v>
      </c>
      <c r="F634" s="302">
        <v>0</v>
      </c>
    </row>
    <row r="635" spans="3:6">
      <c r="C635" s="299">
        <v>632</v>
      </c>
      <c r="D635" s="300">
        <v>38539.784760185183</v>
      </c>
      <c r="E635" s="301">
        <v>-37.996676094718943</v>
      </c>
      <c r="F635" s="302">
        <v>0</v>
      </c>
    </row>
    <row r="636" spans="3:6">
      <c r="C636" s="299">
        <v>633</v>
      </c>
      <c r="D636" s="300">
        <v>38539.78476145833</v>
      </c>
      <c r="E636" s="301">
        <v>69.143275576426817</v>
      </c>
      <c r="F636" s="302">
        <v>0</v>
      </c>
    </row>
    <row r="637" spans="3:6">
      <c r="C637" s="299">
        <v>634</v>
      </c>
      <c r="D637" s="300">
        <v>38539.784762731484</v>
      </c>
      <c r="E637" s="301">
        <v>1.688863356653389</v>
      </c>
      <c r="F637" s="302">
        <v>0</v>
      </c>
    </row>
    <row r="638" spans="3:6">
      <c r="C638" s="299">
        <v>635</v>
      </c>
      <c r="D638" s="300">
        <v>38539.784764004631</v>
      </c>
      <c r="E638" s="301">
        <v>-11.147576641362351</v>
      </c>
      <c r="F638" s="302">
        <v>0</v>
      </c>
    </row>
    <row r="639" spans="3:6">
      <c r="C639" s="299">
        <v>636</v>
      </c>
      <c r="D639" s="300">
        <v>38539.784765277778</v>
      </c>
      <c r="E639" s="301">
        <v>80.882449341395457</v>
      </c>
      <c r="F639" s="302">
        <v>0</v>
      </c>
    </row>
    <row r="640" spans="3:6">
      <c r="C640" s="299">
        <v>637</v>
      </c>
      <c r="D640" s="300">
        <v>38539.784766550925</v>
      </c>
      <c r="E640" s="301">
        <v>18.743877110204444</v>
      </c>
      <c r="F640" s="302">
        <v>0</v>
      </c>
    </row>
    <row r="641" spans="3:6">
      <c r="C641" s="299">
        <v>638</v>
      </c>
      <c r="D641" s="300">
        <v>38539.784767592595</v>
      </c>
      <c r="E641" s="301">
        <v>34.767999914759045</v>
      </c>
      <c r="F641" s="302">
        <v>0</v>
      </c>
    </row>
    <row r="642" spans="3:6">
      <c r="C642" s="299">
        <v>639</v>
      </c>
      <c r="D642" s="300">
        <v>38539.784769097219</v>
      </c>
      <c r="E642" s="301">
        <v>-4.7520797966582071</v>
      </c>
      <c r="F642" s="302">
        <v>0</v>
      </c>
    </row>
    <row r="643" spans="3:6">
      <c r="C643" s="299">
        <v>640</v>
      </c>
      <c r="D643" s="300">
        <v>38539.784770370374</v>
      </c>
      <c r="E643" s="301">
        <v>34.704384025006505</v>
      </c>
      <c r="F643" s="302">
        <v>0</v>
      </c>
    </row>
    <row r="644" spans="3:6">
      <c r="C644" s="299">
        <v>641</v>
      </c>
      <c r="D644" s="300">
        <v>38539.784771643521</v>
      </c>
      <c r="E644" s="301">
        <v>6.0648928326648601</v>
      </c>
      <c r="F644" s="302">
        <v>0</v>
      </c>
    </row>
    <row r="645" spans="3:6">
      <c r="C645" s="299">
        <v>642</v>
      </c>
      <c r="D645" s="300">
        <v>38539.784772685183</v>
      </c>
      <c r="E645" s="301">
        <v>25.66076704113453</v>
      </c>
      <c r="F645" s="302">
        <v>0</v>
      </c>
    </row>
    <row r="646" spans="3:6">
      <c r="C646" s="299">
        <v>643</v>
      </c>
      <c r="D646" s="300">
        <v>38539.78477395833</v>
      </c>
      <c r="E646" s="301">
        <v>32.775877115880114</v>
      </c>
      <c r="F646" s="302">
        <v>0</v>
      </c>
    </row>
    <row r="647" spans="3:6">
      <c r="C647" s="299">
        <v>644</v>
      </c>
      <c r="D647" s="300">
        <v>38539.784775231485</v>
      </c>
      <c r="E647" s="301">
        <v>-8.0318820766745631</v>
      </c>
      <c r="F647" s="302">
        <v>0</v>
      </c>
    </row>
    <row r="648" spans="3:6">
      <c r="C648" s="299">
        <v>645</v>
      </c>
      <c r="D648" s="300">
        <v>38539.784776504632</v>
      </c>
      <c r="E648" s="301">
        <v>6.2151884113162374</v>
      </c>
      <c r="F648" s="302">
        <v>0</v>
      </c>
    </row>
    <row r="649" spans="3:6">
      <c r="C649" s="299">
        <v>646</v>
      </c>
      <c r="D649" s="300">
        <v>38539.784777777779</v>
      </c>
      <c r="E649" s="301">
        <v>19.088332385100355</v>
      </c>
      <c r="F649" s="302">
        <v>0</v>
      </c>
    </row>
    <row r="650" spans="3:6">
      <c r="C650" s="299">
        <v>647</v>
      </c>
      <c r="D650" s="300">
        <v>38539.784779050926</v>
      </c>
      <c r="E650" s="301">
        <v>-26.962070899291295</v>
      </c>
      <c r="F650" s="302">
        <v>0</v>
      </c>
    </row>
    <row r="651" spans="3:6">
      <c r="C651" s="299">
        <v>648</v>
      </c>
      <c r="D651" s="300">
        <v>38539.784780324073</v>
      </c>
      <c r="E651" s="301">
        <v>-37.051279014499983</v>
      </c>
      <c r="F651" s="302">
        <v>0</v>
      </c>
    </row>
    <row r="652" spans="3:6">
      <c r="C652" s="299">
        <v>649</v>
      </c>
      <c r="D652" s="300">
        <v>38539.78478159722</v>
      </c>
      <c r="E652" s="301">
        <v>40.90359096938711</v>
      </c>
      <c r="F652" s="302">
        <v>0</v>
      </c>
    </row>
    <row r="653" spans="3:6">
      <c r="C653" s="299">
        <v>650</v>
      </c>
      <c r="D653" s="300">
        <v>38539.78478263889</v>
      </c>
      <c r="E653" s="301">
        <v>-31.68881345128219</v>
      </c>
      <c r="F653" s="302">
        <v>0</v>
      </c>
    </row>
    <row r="654" spans="3:6">
      <c r="C654" s="299">
        <v>651</v>
      </c>
      <c r="D654" s="300">
        <v>38539.784783912037</v>
      </c>
      <c r="E654" s="301">
        <v>6.3643722941244603</v>
      </c>
      <c r="F654" s="302">
        <v>0</v>
      </c>
    </row>
    <row r="655" spans="3:6">
      <c r="C655" s="299">
        <v>652</v>
      </c>
      <c r="D655" s="300">
        <v>38539.784785185184</v>
      </c>
      <c r="E655" s="301">
        <v>-2.6380324598788789</v>
      </c>
      <c r="F655" s="302">
        <v>0</v>
      </c>
    </row>
    <row r="656" spans="3:6">
      <c r="C656" s="299">
        <v>653</v>
      </c>
      <c r="D656" s="300">
        <v>38539.784786458331</v>
      </c>
      <c r="E656" s="301">
        <v>-24.928188675303311</v>
      </c>
      <c r="F656" s="302">
        <v>0</v>
      </c>
    </row>
    <row r="657" spans="3:6">
      <c r="C657" s="299">
        <v>654</v>
      </c>
      <c r="D657" s="300">
        <v>38539.784788078701</v>
      </c>
      <c r="E657" s="301">
        <v>34.457931570852864</v>
      </c>
      <c r="F657" s="302">
        <v>0</v>
      </c>
    </row>
    <row r="658" spans="3:6">
      <c r="C658" s="299">
        <v>655</v>
      </c>
      <c r="D658" s="300">
        <v>38539.784789351848</v>
      </c>
      <c r="E658" s="301">
        <v>32.843717722312427</v>
      </c>
      <c r="F658" s="302">
        <v>0</v>
      </c>
    </row>
    <row r="659" spans="3:6">
      <c r="C659" s="299">
        <v>656</v>
      </c>
      <c r="D659" s="300">
        <v>38539.784790625003</v>
      </c>
      <c r="E659" s="301">
        <v>-38.566902991484241</v>
      </c>
      <c r="F659" s="302">
        <v>0</v>
      </c>
    </row>
    <row r="660" spans="3:6">
      <c r="C660" s="299">
        <v>657</v>
      </c>
      <c r="D660" s="300">
        <v>38539.78479189815</v>
      </c>
      <c r="E660" s="301">
        <v>7.0523086634592733</v>
      </c>
      <c r="F660" s="302">
        <v>0</v>
      </c>
    </row>
    <row r="661" spans="3:6">
      <c r="C661" s="299">
        <v>658</v>
      </c>
      <c r="D661" s="300">
        <v>38539.784792939812</v>
      </c>
      <c r="E661" s="301">
        <v>15.326806880895688</v>
      </c>
      <c r="F661" s="302">
        <v>0</v>
      </c>
    </row>
    <row r="662" spans="3:6">
      <c r="C662" s="299">
        <v>659</v>
      </c>
      <c r="D662" s="300">
        <v>38539.784794212967</v>
      </c>
      <c r="E662" s="301">
        <v>2.0242335500680895</v>
      </c>
      <c r="F662" s="302">
        <v>0</v>
      </c>
    </row>
    <row r="663" spans="3:6">
      <c r="C663" s="299">
        <v>660</v>
      </c>
      <c r="D663" s="300">
        <v>38539.784795486114</v>
      </c>
      <c r="E663" s="301">
        <v>-43.202080983329402</v>
      </c>
      <c r="F663" s="302">
        <v>0</v>
      </c>
    </row>
    <row r="664" spans="3:6">
      <c r="C664" s="299">
        <v>661</v>
      </c>
      <c r="D664" s="300">
        <v>38539.784796759261</v>
      </c>
      <c r="E664" s="301">
        <v>18.011905029522541</v>
      </c>
      <c r="F664" s="302">
        <v>0</v>
      </c>
    </row>
    <row r="665" spans="3:6">
      <c r="C665" s="299">
        <v>662</v>
      </c>
      <c r="D665" s="300">
        <v>38539.784798032408</v>
      </c>
      <c r="E665" s="301">
        <v>5.2386066146783428</v>
      </c>
      <c r="F665" s="302">
        <v>0</v>
      </c>
    </row>
    <row r="666" spans="3:6">
      <c r="C666" s="299">
        <v>663</v>
      </c>
      <c r="D666" s="300">
        <v>38539.784799305555</v>
      </c>
      <c r="E666" s="301">
        <v>46.467643032265059</v>
      </c>
      <c r="F666" s="302">
        <v>0</v>
      </c>
    </row>
    <row r="667" spans="3:6">
      <c r="C667" s="299">
        <v>664</v>
      </c>
      <c r="D667" s="300">
        <v>38539.784800578702</v>
      </c>
      <c r="E667" s="301">
        <v>19.637255620719252</v>
      </c>
      <c r="F667" s="302">
        <v>0</v>
      </c>
    </row>
    <row r="668" spans="3:6">
      <c r="C668" s="299">
        <v>665</v>
      </c>
      <c r="D668" s="300">
        <v>38539.784801851849</v>
      </c>
      <c r="E668" s="301">
        <v>-20.712068574815994</v>
      </c>
      <c r="F668" s="302">
        <v>0</v>
      </c>
    </row>
    <row r="669" spans="3:6">
      <c r="C669" s="299">
        <v>666</v>
      </c>
      <c r="D669" s="300">
        <v>38539.784803125003</v>
      </c>
      <c r="E669" s="301">
        <v>-0.30754433017660077</v>
      </c>
      <c r="F669" s="302">
        <v>0</v>
      </c>
    </row>
    <row r="670" spans="3:6">
      <c r="C670" s="299">
        <v>667</v>
      </c>
      <c r="D670" s="300">
        <v>38539.78480439815</v>
      </c>
      <c r="E670" s="301">
        <v>7.4647384560146186</v>
      </c>
      <c r="F670" s="302">
        <v>0</v>
      </c>
    </row>
    <row r="671" spans="3:6">
      <c r="C671" s="299">
        <v>668</v>
      </c>
      <c r="D671" s="300">
        <v>38539.784805671297</v>
      </c>
      <c r="E671" s="301">
        <v>-10.127395971535996</v>
      </c>
      <c r="F671" s="302">
        <v>0</v>
      </c>
    </row>
    <row r="672" spans="3:6">
      <c r="C672" s="299">
        <v>669</v>
      </c>
      <c r="D672" s="300">
        <v>38539.784806828706</v>
      </c>
      <c r="E672" s="301">
        <v>5.849521607729435</v>
      </c>
      <c r="F672" s="302">
        <v>0</v>
      </c>
    </row>
    <row r="673" spans="3:6">
      <c r="C673" s="299">
        <v>670</v>
      </c>
      <c r="D673" s="300">
        <v>38539.784807986114</v>
      </c>
      <c r="E673" s="301">
        <v>8.8302015085549925</v>
      </c>
      <c r="F673" s="302">
        <v>0</v>
      </c>
    </row>
    <row r="674" spans="3:6">
      <c r="C674" s="299">
        <v>671</v>
      </c>
      <c r="D674" s="300">
        <v>38539.784809259261</v>
      </c>
      <c r="E674" s="301">
        <v>-21.918146291283534</v>
      </c>
      <c r="F674" s="302">
        <v>0</v>
      </c>
    </row>
    <row r="675" spans="3:6">
      <c r="C675" s="299">
        <v>672</v>
      </c>
      <c r="D675" s="300">
        <v>38539.784810532408</v>
      </c>
      <c r="E675" s="301">
        <v>-19.821914722515594</v>
      </c>
      <c r="F675" s="302">
        <v>0</v>
      </c>
    </row>
    <row r="676" spans="3:6">
      <c r="C676" s="299">
        <v>673</v>
      </c>
      <c r="D676" s="300">
        <v>38539.784811805555</v>
      </c>
      <c r="E676" s="301">
        <v>2.8789976854967918</v>
      </c>
      <c r="F676" s="302">
        <v>0</v>
      </c>
    </row>
    <row r="677" spans="3:6">
      <c r="C677" s="299">
        <v>674</v>
      </c>
      <c r="D677" s="300">
        <v>38539.784813078702</v>
      </c>
      <c r="E677" s="301">
        <v>32.319274890075732</v>
      </c>
      <c r="F677" s="302">
        <v>0</v>
      </c>
    </row>
    <row r="678" spans="3:6">
      <c r="C678" s="299">
        <v>675</v>
      </c>
      <c r="D678" s="300">
        <v>38539.784814351849</v>
      </c>
      <c r="E678" s="301">
        <v>-14.310890826386984</v>
      </c>
      <c r="F678" s="302">
        <v>0</v>
      </c>
    </row>
    <row r="679" spans="3:6">
      <c r="C679" s="299">
        <v>676</v>
      </c>
      <c r="D679" s="300">
        <v>38539.784815509258</v>
      </c>
      <c r="E679" s="301">
        <v>21.313983095519379</v>
      </c>
      <c r="F679" s="302">
        <v>0</v>
      </c>
    </row>
    <row r="680" spans="3:6">
      <c r="C680" s="299">
        <v>677</v>
      </c>
      <c r="D680" s="300">
        <v>38539.784816782405</v>
      </c>
      <c r="E680" s="301">
        <v>-38.433043380426767</v>
      </c>
      <c r="F680" s="302">
        <v>0</v>
      </c>
    </row>
    <row r="681" spans="3:6">
      <c r="C681" s="299">
        <v>678</v>
      </c>
      <c r="D681" s="300">
        <v>38539.784818055552</v>
      </c>
      <c r="E681" s="301">
        <v>45.37329677129182</v>
      </c>
      <c r="F681" s="302">
        <v>0</v>
      </c>
    </row>
    <row r="682" spans="3:6">
      <c r="C682" s="299">
        <v>679</v>
      </c>
      <c r="D682" s="300">
        <v>38539.78481921296</v>
      </c>
      <c r="E682" s="301">
        <v>18.275272259652908</v>
      </c>
      <c r="F682" s="302">
        <v>0</v>
      </c>
    </row>
    <row r="683" spans="3:6">
      <c r="C683" s="299">
        <v>680</v>
      </c>
      <c r="D683" s="300">
        <v>38539.784820486107</v>
      </c>
      <c r="E683" s="301">
        <v>9.8713881200618623</v>
      </c>
      <c r="F683" s="302">
        <v>0</v>
      </c>
    </row>
    <row r="684" spans="3:6">
      <c r="C684" s="299">
        <v>681</v>
      </c>
      <c r="D684" s="300">
        <v>38539.784821759262</v>
      </c>
      <c r="E684" s="301">
        <v>23.123936468339018</v>
      </c>
      <c r="F684" s="302">
        <v>0</v>
      </c>
    </row>
    <row r="685" spans="3:6">
      <c r="C685" s="299">
        <v>682</v>
      </c>
      <c r="D685" s="300">
        <v>38539.784823032409</v>
      </c>
      <c r="E685" s="301">
        <v>20.728042251594264</v>
      </c>
      <c r="F685" s="302">
        <v>0</v>
      </c>
    </row>
    <row r="686" spans="3:6">
      <c r="C686" s="299">
        <v>683</v>
      </c>
      <c r="D686" s="300">
        <v>38539.784824074071</v>
      </c>
      <c r="E686" s="301">
        <v>-6.1453523484400172</v>
      </c>
      <c r="F686" s="302">
        <v>0</v>
      </c>
    </row>
    <row r="687" spans="3:6">
      <c r="C687" s="299">
        <v>684</v>
      </c>
      <c r="D687" s="300">
        <v>38539.784825462964</v>
      </c>
      <c r="E687" s="301">
        <v>2.8573155894376487</v>
      </c>
      <c r="F687" s="302">
        <v>0</v>
      </c>
    </row>
    <row r="688" spans="3:6">
      <c r="C688" s="299">
        <v>685</v>
      </c>
      <c r="D688" s="300">
        <v>38539.784826736111</v>
      </c>
      <c r="E688" s="301">
        <v>-24.107802387324821</v>
      </c>
      <c r="F688" s="302">
        <v>0</v>
      </c>
    </row>
    <row r="689" spans="3:6">
      <c r="C689" s="299">
        <v>686</v>
      </c>
      <c r="D689" s="300">
        <v>38539.784828009258</v>
      </c>
      <c r="E689" s="301">
        <v>-34.122643653347907</v>
      </c>
      <c r="F689" s="302">
        <v>0</v>
      </c>
    </row>
    <row r="690" spans="3:6">
      <c r="C690" s="299">
        <v>687</v>
      </c>
      <c r="D690" s="300">
        <v>38539.784829282406</v>
      </c>
      <c r="E690" s="301">
        <v>23.871526157025901</v>
      </c>
      <c r="F690" s="302">
        <v>0</v>
      </c>
    </row>
    <row r="691" spans="3:6">
      <c r="C691" s="299">
        <v>688</v>
      </c>
      <c r="D691" s="300">
        <v>38539.784830555553</v>
      </c>
      <c r="E691" s="301">
        <v>8.0282239759278564</v>
      </c>
      <c r="F691" s="302">
        <v>0</v>
      </c>
    </row>
    <row r="692" spans="3:6">
      <c r="C692" s="299">
        <v>689</v>
      </c>
      <c r="D692" s="300">
        <v>38539.784831828707</v>
      </c>
      <c r="E692" s="301">
        <v>29.7851484757227</v>
      </c>
      <c r="F692" s="302">
        <v>0</v>
      </c>
    </row>
    <row r="693" spans="3:6">
      <c r="C693" s="299">
        <v>690</v>
      </c>
      <c r="D693" s="300">
        <v>38539.784833101854</v>
      </c>
      <c r="E693" s="301">
        <v>-24.465633246811429</v>
      </c>
      <c r="F693" s="302">
        <v>0</v>
      </c>
    </row>
    <row r="694" spans="3:6">
      <c r="C694" s="299">
        <v>691</v>
      </c>
      <c r="D694" s="300">
        <v>38539.784834606478</v>
      </c>
      <c r="E694" s="301">
        <v>-13.334218413532525</v>
      </c>
      <c r="F694" s="302">
        <v>0</v>
      </c>
    </row>
    <row r="695" spans="3:6">
      <c r="C695" s="299">
        <v>692</v>
      </c>
      <c r="D695" s="300">
        <v>38539.784835648148</v>
      </c>
      <c r="E695" s="301">
        <v>15.210714583915497</v>
      </c>
      <c r="F695" s="302">
        <v>0</v>
      </c>
    </row>
    <row r="696" spans="3:6">
      <c r="C696" s="299">
        <v>693</v>
      </c>
      <c r="D696" s="300">
        <v>38539.784836921295</v>
      </c>
      <c r="E696" s="301">
        <v>57.621819199508337</v>
      </c>
      <c r="F696" s="302">
        <v>0</v>
      </c>
    </row>
    <row r="697" spans="3:6">
      <c r="C697" s="299">
        <v>694</v>
      </c>
      <c r="D697" s="300">
        <v>38539.784838310188</v>
      </c>
      <c r="E697" s="301">
        <v>5.3283864596248351</v>
      </c>
      <c r="F697" s="302">
        <v>0</v>
      </c>
    </row>
    <row r="698" spans="3:6">
      <c r="C698" s="299">
        <v>695</v>
      </c>
      <c r="D698" s="300">
        <v>38539.784839467589</v>
      </c>
      <c r="E698" s="301">
        <v>-7.8144363129494554</v>
      </c>
      <c r="F698" s="302">
        <v>0</v>
      </c>
    </row>
    <row r="699" spans="3:6">
      <c r="C699" s="299">
        <v>696</v>
      </c>
      <c r="D699" s="300">
        <v>38539.784840740744</v>
      </c>
      <c r="E699" s="301">
        <v>-5.1066308773368014</v>
      </c>
      <c r="F699" s="302">
        <v>0</v>
      </c>
    </row>
    <row r="700" spans="3:6">
      <c r="C700" s="299">
        <v>697</v>
      </c>
      <c r="D700" s="300">
        <v>38539.784842013891</v>
      </c>
      <c r="E700" s="301">
        <v>-48.56684609470998</v>
      </c>
      <c r="F700" s="302">
        <v>0</v>
      </c>
    </row>
    <row r="701" spans="3:6">
      <c r="C701" s="299">
        <v>698</v>
      </c>
      <c r="D701" s="300">
        <v>38539.784843287038</v>
      </c>
      <c r="E701" s="301">
        <v>-11.572792023103389</v>
      </c>
      <c r="F701" s="302">
        <v>0</v>
      </c>
    </row>
    <row r="702" spans="3:6">
      <c r="C702" s="299">
        <v>699</v>
      </c>
      <c r="D702" s="300">
        <v>38539.7848443287</v>
      </c>
      <c r="E702" s="301">
        <v>4.447351000763442</v>
      </c>
      <c r="F702" s="302">
        <v>0</v>
      </c>
    </row>
    <row r="703" spans="3:6">
      <c r="C703" s="299">
        <v>700</v>
      </c>
      <c r="D703" s="300">
        <v>38539.784845601855</v>
      </c>
      <c r="E703" s="301">
        <v>26.207143474091971</v>
      </c>
      <c r="F703" s="302">
        <v>0</v>
      </c>
    </row>
    <row r="704" spans="3:6">
      <c r="C704" s="299">
        <v>701</v>
      </c>
      <c r="D704" s="300">
        <v>38539.78484699074</v>
      </c>
      <c r="E704" s="301">
        <v>21.519506112512708</v>
      </c>
      <c r="F704" s="302">
        <v>0</v>
      </c>
    </row>
    <row r="705" spans="3:6">
      <c r="C705" s="299">
        <v>702</v>
      </c>
      <c r="D705" s="300">
        <v>38539.784848148149</v>
      </c>
      <c r="E705" s="301">
        <v>20.678841726104299</v>
      </c>
      <c r="F705" s="302">
        <v>0</v>
      </c>
    </row>
    <row r="706" spans="3:6">
      <c r="C706" s="299">
        <v>703</v>
      </c>
      <c r="D706" s="300">
        <v>38539.784849421296</v>
      </c>
      <c r="E706" s="301">
        <v>-16.518221372211052</v>
      </c>
      <c r="F706" s="302">
        <v>0</v>
      </c>
    </row>
    <row r="707" spans="3:6">
      <c r="C707" s="299">
        <v>704</v>
      </c>
      <c r="D707" s="300">
        <v>38539.784850694443</v>
      </c>
      <c r="E707" s="301">
        <v>-26.50951185904993</v>
      </c>
      <c r="F707" s="302">
        <v>0</v>
      </c>
    </row>
    <row r="708" spans="3:6">
      <c r="C708" s="299">
        <v>705</v>
      </c>
      <c r="D708" s="300">
        <v>38539.784851736113</v>
      </c>
      <c r="E708" s="301">
        <v>29.662643065469307</v>
      </c>
      <c r="F708" s="302">
        <v>0</v>
      </c>
    </row>
    <row r="709" spans="3:6">
      <c r="C709" s="299">
        <v>706</v>
      </c>
      <c r="D709" s="300">
        <v>38539.78485300926</v>
      </c>
      <c r="E709" s="301">
        <v>-17.439346592313356</v>
      </c>
      <c r="F709" s="302">
        <v>0</v>
      </c>
    </row>
    <row r="710" spans="3:6">
      <c r="C710" s="299">
        <v>707</v>
      </c>
      <c r="D710" s="300">
        <v>38539.784854282407</v>
      </c>
      <c r="E710" s="301">
        <v>19.917057877686474</v>
      </c>
      <c r="F710" s="302">
        <v>0</v>
      </c>
    </row>
    <row r="711" spans="3:6">
      <c r="C711" s="299">
        <v>708</v>
      </c>
      <c r="D711" s="300">
        <v>38539.784855555554</v>
      </c>
      <c r="E711" s="301">
        <v>9.4880826580827708</v>
      </c>
      <c r="F711" s="302">
        <v>0</v>
      </c>
    </row>
    <row r="712" spans="3:6">
      <c r="C712" s="299">
        <v>709</v>
      </c>
      <c r="D712" s="300">
        <v>38539.784856828701</v>
      </c>
      <c r="E712" s="301">
        <v>18.631144453038424</v>
      </c>
      <c r="F712" s="302">
        <v>0</v>
      </c>
    </row>
    <row r="713" spans="3:6">
      <c r="C713" s="299">
        <v>710</v>
      </c>
      <c r="D713" s="300">
        <v>38539.784858101855</v>
      </c>
      <c r="E713" s="301">
        <v>-29.413380902025107</v>
      </c>
      <c r="F713" s="302">
        <v>0</v>
      </c>
    </row>
    <row r="714" spans="3:6">
      <c r="C714" s="299">
        <v>711</v>
      </c>
      <c r="D714" s="300">
        <v>38539.784859143518</v>
      </c>
      <c r="E714" s="301">
        <v>19.778141659171741</v>
      </c>
      <c r="F714" s="302">
        <v>0</v>
      </c>
    </row>
    <row r="715" spans="3:6">
      <c r="C715" s="299">
        <v>712</v>
      </c>
      <c r="D715" s="300">
        <v>38539.784860648149</v>
      </c>
      <c r="E715" s="301">
        <v>18.863295661883868</v>
      </c>
      <c r="F715" s="302">
        <v>0</v>
      </c>
    </row>
    <row r="716" spans="3:6">
      <c r="C716" s="299">
        <v>713</v>
      </c>
      <c r="D716" s="300">
        <v>38539.784861689812</v>
      </c>
      <c r="E716" s="301">
        <v>-20.30164860325165</v>
      </c>
      <c r="F716" s="302">
        <v>0</v>
      </c>
    </row>
    <row r="717" spans="3:6">
      <c r="C717" s="299">
        <v>714</v>
      </c>
      <c r="D717" s="300">
        <v>38539.784862962966</v>
      </c>
      <c r="E717" s="301">
        <v>-6.0574536757894446</v>
      </c>
      <c r="F717" s="302">
        <v>0</v>
      </c>
    </row>
    <row r="718" spans="3:6">
      <c r="C718" s="299">
        <v>715</v>
      </c>
      <c r="D718" s="300">
        <v>38539.784864236113</v>
      </c>
      <c r="E718" s="301">
        <v>0.80029444532685368</v>
      </c>
      <c r="F718" s="302">
        <v>0</v>
      </c>
    </row>
    <row r="719" spans="3:6">
      <c r="C719" s="299">
        <v>716</v>
      </c>
      <c r="D719" s="300">
        <v>38539.784865277776</v>
      </c>
      <c r="E719" s="301">
        <v>16.632276676366445</v>
      </c>
      <c r="F719" s="302">
        <v>0</v>
      </c>
    </row>
    <row r="720" spans="3:6">
      <c r="C720" s="299">
        <v>717</v>
      </c>
      <c r="D720" s="300">
        <v>38539.784866550923</v>
      </c>
      <c r="E720" s="301">
        <v>17.184375853198119</v>
      </c>
      <c r="F720" s="302">
        <v>0</v>
      </c>
    </row>
    <row r="721" spans="3:6">
      <c r="C721" s="299">
        <v>718</v>
      </c>
      <c r="D721" s="300">
        <v>38539.784867824077</v>
      </c>
      <c r="E721" s="301">
        <v>-3.8432899831286154</v>
      </c>
      <c r="F721" s="302">
        <v>0</v>
      </c>
    </row>
    <row r="722" spans="3:6">
      <c r="C722" s="299">
        <v>719</v>
      </c>
      <c r="D722" s="300">
        <v>38539.784869328701</v>
      </c>
      <c r="E722" s="301">
        <v>25.506739022472765</v>
      </c>
      <c r="F722" s="302">
        <v>0</v>
      </c>
    </row>
    <row r="723" spans="3:6">
      <c r="C723" s="299">
        <v>720</v>
      </c>
      <c r="D723" s="300">
        <v>38539.78487048611</v>
      </c>
      <c r="E723" s="301">
        <v>-21.16125055231015</v>
      </c>
      <c r="F723" s="302">
        <v>0</v>
      </c>
    </row>
    <row r="724" spans="3:6">
      <c r="C724" s="299">
        <v>721</v>
      </c>
      <c r="D724" s="300">
        <v>38539.784871759257</v>
      </c>
      <c r="E724" s="301">
        <v>-29.0810433881284</v>
      </c>
      <c r="F724" s="302">
        <v>0</v>
      </c>
    </row>
    <row r="725" spans="3:6">
      <c r="C725" s="299">
        <v>722</v>
      </c>
      <c r="D725" s="300">
        <v>38539.784873032404</v>
      </c>
      <c r="E725" s="301">
        <v>-8.9099417446863178</v>
      </c>
      <c r="F725" s="302">
        <v>0</v>
      </c>
    </row>
    <row r="726" spans="3:6">
      <c r="C726" s="299">
        <v>723</v>
      </c>
      <c r="D726" s="300">
        <v>38539.784874305558</v>
      </c>
      <c r="E726" s="301">
        <v>-24.16698490209243</v>
      </c>
      <c r="F726" s="302">
        <v>0</v>
      </c>
    </row>
    <row r="727" spans="3:6">
      <c r="C727" s="299">
        <v>724</v>
      </c>
      <c r="D727" s="300">
        <v>38539.784875578705</v>
      </c>
      <c r="E727" s="301">
        <v>9.5953427785839089</v>
      </c>
      <c r="F727" s="302">
        <v>0</v>
      </c>
    </row>
    <row r="728" spans="3:6">
      <c r="C728" s="299">
        <v>725</v>
      </c>
      <c r="D728" s="300">
        <v>38539.784876851852</v>
      </c>
      <c r="E728" s="301">
        <v>8.1960902538219269</v>
      </c>
      <c r="F728" s="302">
        <v>0</v>
      </c>
    </row>
    <row r="729" spans="3:6">
      <c r="C729" s="299">
        <v>726</v>
      </c>
      <c r="D729" s="300">
        <v>38539.784878125</v>
      </c>
      <c r="E729" s="301">
        <v>-51.373534354606733</v>
      </c>
      <c r="F729" s="302">
        <v>0</v>
      </c>
    </row>
    <row r="730" spans="3:6">
      <c r="C730" s="299">
        <v>727</v>
      </c>
      <c r="D730" s="300">
        <v>38539.784879398147</v>
      </c>
      <c r="E730" s="301">
        <v>26.42724115366568</v>
      </c>
      <c r="F730" s="302">
        <v>0</v>
      </c>
    </row>
    <row r="731" spans="3:6">
      <c r="C731" s="299">
        <v>728</v>
      </c>
      <c r="D731" s="300">
        <v>38539.784880902778</v>
      </c>
      <c r="E731" s="301">
        <v>-11.618276023141263</v>
      </c>
      <c r="F731" s="302">
        <v>0</v>
      </c>
    </row>
    <row r="732" spans="3:6">
      <c r="C732" s="299">
        <v>729</v>
      </c>
      <c r="D732" s="300">
        <v>38539.784881944448</v>
      </c>
      <c r="E732" s="301">
        <v>-35.648829889885931</v>
      </c>
      <c r="F732" s="302">
        <v>0</v>
      </c>
    </row>
    <row r="733" spans="3:6">
      <c r="C733" s="299">
        <v>730</v>
      </c>
      <c r="D733" s="300">
        <v>38539.784891203701</v>
      </c>
      <c r="E733" s="301">
        <v>-13.669326662567563</v>
      </c>
      <c r="F733" s="302">
        <v>0</v>
      </c>
    </row>
    <row r="734" spans="3:6">
      <c r="C734" s="299">
        <v>731</v>
      </c>
      <c r="D734" s="300">
        <v>38539.784892592594</v>
      </c>
      <c r="E734" s="301">
        <v>38.803509020976229</v>
      </c>
      <c r="F734" s="302">
        <v>0</v>
      </c>
    </row>
    <row r="735" spans="3:6">
      <c r="C735" s="299">
        <v>732</v>
      </c>
      <c r="D735" s="300">
        <v>38539.784893865741</v>
      </c>
      <c r="E735" s="301">
        <v>1.6598573697772814</v>
      </c>
      <c r="F735" s="302">
        <v>0</v>
      </c>
    </row>
    <row r="736" spans="3:6">
      <c r="C736" s="299">
        <v>733</v>
      </c>
      <c r="D736" s="300">
        <v>38539.784895138888</v>
      </c>
      <c r="E736" s="301">
        <v>5.1807227368558575</v>
      </c>
      <c r="F736" s="302">
        <v>0</v>
      </c>
    </row>
    <row r="737" spans="3:6">
      <c r="C737" s="299">
        <v>734</v>
      </c>
      <c r="D737" s="300">
        <v>38539.784896412035</v>
      </c>
      <c r="E737" s="301">
        <v>-5.9929949235555835E-2</v>
      </c>
      <c r="F737" s="302">
        <v>0</v>
      </c>
    </row>
    <row r="738" spans="3:6">
      <c r="C738" s="299">
        <v>735</v>
      </c>
      <c r="D738" s="300">
        <v>38539.784897453705</v>
      </c>
      <c r="E738" s="301">
        <v>60.167277701681449</v>
      </c>
      <c r="F738" s="302">
        <v>0</v>
      </c>
    </row>
    <row r="739" spans="3:6">
      <c r="C739" s="299">
        <v>736</v>
      </c>
      <c r="D739" s="300">
        <v>38539.784898726852</v>
      </c>
      <c r="E739" s="301">
        <v>-20.384967972619279</v>
      </c>
      <c r="F739" s="302">
        <v>0</v>
      </c>
    </row>
    <row r="740" spans="3:6">
      <c r="C740" s="299">
        <v>737</v>
      </c>
      <c r="D740" s="300">
        <v>38539.784899999999</v>
      </c>
      <c r="E740" s="301">
        <v>-6.3843467424122711</v>
      </c>
      <c r="F740" s="302">
        <v>0</v>
      </c>
    </row>
    <row r="741" spans="3:6">
      <c r="C741" s="299">
        <v>738</v>
      </c>
      <c r="D741" s="300">
        <v>38539.784901273146</v>
      </c>
      <c r="E741" s="301">
        <v>-31.492888740774184</v>
      </c>
      <c r="F741" s="302">
        <v>0</v>
      </c>
    </row>
    <row r="742" spans="3:6">
      <c r="C742" s="299">
        <v>739</v>
      </c>
      <c r="D742" s="300">
        <v>38539.784902546293</v>
      </c>
      <c r="E742" s="301">
        <v>43.822494991881484</v>
      </c>
      <c r="F742" s="302">
        <v>0</v>
      </c>
    </row>
    <row r="743" spans="3:6">
      <c r="C743" s="299">
        <v>740</v>
      </c>
      <c r="D743" s="300">
        <v>38539.784903819447</v>
      </c>
      <c r="E743" s="301">
        <v>9.8934602066677009</v>
      </c>
      <c r="F743" s="302">
        <v>0</v>
      </c>
    </row>
    <row r="744" spans="3:6">
      <c r="C744" s="299">
        <v>741</v>
      </c>
      <c r="D744" s="300">
        <v>38539.784905092594</v>
      </c>
      <c r="E744" s="301">
        <v>40.076437509283402</v>
      </c>
      <c r="F744" s="302">
        <v>0</v>
      </c>
    </row>
    <row r="745" spans="3:6">
      <c r="C745" s="299">
        <v>742</v>
      </c>
      <c r="D745" s="300">
        <v>38539.784906365741</v>
      </c>
      <c r="E745" s="301">
        <v>35.172287817800132</v>
      </c>
      <c r="F745" s="302">
        <v>0</v>
      </c>
    </row>
    <row r="746" spans="3:6">
      <c r="C746" s="299">
        <v>743</v>
      </c>
      <c r="D746" s="300">
        <v>38539.784907638888</v>
      </c>
      <c r="E746" s="301">
        <v>-33.596526469827246</v>
      </c>
      <c r="F746" s="302">
        <v>0</v>
      </c>
    </row>
    <row r="747" spans="3:6">
      <c r="C747" s="299">
        <v>744</v>
      </c>
      <c r="D747" s="300">
        <v>38539.784908912035</v>
      </c>
      <c r="E747" s="301">
        <v>23.579165362850489</v>
      </c>
      <c r="F747" s="302">
        <v>0</v>
      </c>
    </row>
    <row r="748" spans="3:6">
      <c r="C748" s="299">
        <v>745</v>
      </c>
      <c r="D748" s="300">
        <v>38539.784910185183</v>
      </c>
      <c r="E748" s="301">
        <v>66.014969647153805</v>
      </c>
      <c r="F748" s="302">
        <v>0</v>
      </c>
    </row>
    <row r="749" spans="3:6">
      <c r="C749" s="299">
        <v>746</v>
      </c>
      <c r="D749" s="300">
        <v>38539.784911226852</v>
      </c>
      <c r="E749" s="301">
        <v>27.364240690139425</v>
      </c>
      <c r="F749" s="302">
        <v>0</v>
      </c>
    </row>
    <row r="750" spans="3:6">
      <c r="C750" s="299">
        <v>747</v>
      </c>
      <c r="D750" s="300">
        <v>38539.784912499999</v>
      </c>
      <c r="E750" s="301">
        <v>-15.056536730082044</v>
      </c>
      <c r="F750" s="302">
        <v>0</v>
      </c>
    </row>
    <row r="751" spans="3:6">
      <c r="C751" s="299">
        <v>748</v>
      </c>
      <c r="D751" s="300">
        <v>38539.784913773146</v>
      </c>
      <c r="E751" s="301">
        <v>52.601455543809358</v>
      </c>
      <c r="F751" s="302">
        <v>0</v>
      </c>
    </row>
    <row r="752" spans="3:6">
      <c r="C752" s="299">
        <v>749</v>
      </c>
      <c r="D752" s="300">
        <v>38539.784915046293</v>
      </c>
      <c r="E752" s="301">
        <v>12.880832214572248</v>
      </c>
      <c r="F752" s="302">
        <v>0</v>
      </c>
    </row>
    <row r="753" spans="3:6">
      <c r="C753" s="299">
        <v>750</v>
      </c>
      <c r="D753" s="300">
        <v>38539.784916319448</v>
      </c>
      <c r="E753" s="301">
        <v>-17.644354651183626</v>
      </c>
      <c r="F753" s="302">
        <v>0</v>
      </c>
    </row>
    <row r="754" spans="3:6">
      <c r="C754" s="299">
        <v>751</v>
      </c>
      <c r="D754" s="300">
        <v>38539.784917592595</v>
      </c>
      <c r="E754" s="301">
        <v>23.48938194309315</v>
      </c>
      <c r="F754" s="302">
        <v>0</v>
      </c>
    </row>
    <row r="755" spans="3:6">
      <c r="C755" s="299">
        <v>752</v>
      </c>
      <c r="D755" s="300">
        <v>38539.784918634257</v>
      </c>
      <c r="E755" s="301">
        <v>-2.7043958584306305</v>
      </c>
      <c r="F755" s="302">
        <v>0</v>
      </c>
    </row>
    <row r="756" spans="3:6">
      <c r="C756" s="299">
        <v>753</v>
      </c>
      <c r="D756" s="300">
        <v>38539.784919907404</v>
      </c>
      <c r="E756" s="301">
        <v>-10.721671778017983</v>
      </c>
      <c r="F756" s="302">
        <v>0</v>
      </c>
    </row>
    <row r="757" spans="3:6">
      <c r="C757" s="299">
        <v>754</v>
      </c>
      <c r="D757" s="300">
        <v>38539.784921412036</v>
      </c>
      <c r="E757" s="301">
        <v>33.182004525579899</v>
      </c>
      <c r="F757" s="302">
        <v>0</v>
      </c>
    </row>
    <row r="758" spans="3:6">
      <c r="C758" s="299">
        <v>755</v>
      </c>
      <c r="D758" s="300">
        <v>38539.784922453706</v>
      </c>
      <c r="E758" s="301">
        <v>29.985543156688777</v>
      </c>
      <c r="F758" s="302">
        <v>0</v>
      </c>
    </row>
    <row r="759" spans="3:6">
      <c r="C759" s="299">
        <v>756</v>
      </c>
      <c r="D759" s="300">
        <v>38539.784923726853</v>
      </c>
      <c r="E759" s="301">
        <v>19.957836958334617</v>
      </c>
      <c r="F759" s="302">
        <v>0</v>
      </c>
    </row>
    <row r="760" spans="3:6">
      <c r="C760" s="299">
        <v>757</v>
      </c>
      <c r="D760" s="300">
        <v>38539.784925</v>
      </c>
      <c r="E760" s="301">
        <v>3.7291553701920002</v>
      </c>
      <c r="F760" s="302">
        <v>0</v>
      </c>
    </row>
    <row r="761" spans="3:6">
      <c r="C761" s="299">
        <v>758</v>
      </c>
      <c r="D761" s="300">
        <v>38539.784926273147</v>
      </c>
      <c r="E761" s="301">
        <v>33.150457406140575</v>
      </c>
      <c r="F761" s="302">
        <v>0</v>
      </c>
    </row>
    <row r="762" spans="3:6">
      <c r="C762" s="299">
        <v>759</v>
      </c>
      <c r="D762" s="300">
        <v>38539.784927546294</v>
      </c>
      <c r="E762" s="301">
        <v>21.932139016581253</v>
      </c>
      <c r="F762" s="302">
        <v>0</v>
      </c>
    </row>
    <row r="763" spans="3:6">
      <c r="C763" s="299">
        <v>760</v>
      </c>
      <c r="D763" s="300">
        <v>38539.784928587964</v>
      </c>
      <c r="E763" s="301">
        <v>44.086970275020064</v>
      </c>
      <c r="F763" s="302">
        <v>0</v>
      </c>
    </row>
    <row r="764" spans="3:6">
      <c r="C764" s="299">
        <v>761</v>
      </c>
      <c r="D764" s="300">
        <v>38539.784929861111</v>
      </c>
      <c r="E764" s="301">
        <v>5.6562936225181453</v>
      </c>
      <c r="F764" s="302">
        <v>0</v>
      </c>
    </row>
    <row r="765" spans="3:6">
      <c r="C765" s="299">
        <v>762</v>
      </c>
      <c r="D765" s="300">
        <v>38539.784931249997</v>
      </c>
      <c r="E765" s="301">
        <v>-5.9942529063900238</v>
      </c>
      <c r="F765" s="302">
        <v>0</v>
      </c>
    </row>
    <row r="766" spans="3:6">
      <c r="C766" s="299">
        <v>763</v>
      </c>
      <c r="D766" s="300">
        <v>38539.784932407405</v>
      </c>
      <c r="E766" s="301">
        <v>9.3760946367323221</v>
      </c>
      <c r="F766" s="302">
        <v>0</v>
      </c>
    </row>
    <row r="767" spans="3:6">
      <c r="C767" s="299">
        <v>764</v>
      </c>
      <c r="D767" s="300">
        <v>38539.784933680552</v>
      </c>
      <c r="E767" s="301">
        <v>-95.574393594383253</v>
      </c>
      <c r="F767" s="302">
        <v>0</v>
      </c>
    </row>
    <row r="768" spans="3:6">
      <c r="C768" s="299">
        <v>765</v>
      </c>
      <c r="D768" s="300">
        <v>38539.784934953706</v>
      </c>
      <c r="E768" s="301">
        <v>-24.600259725221186</v>
      </c>
      <c r="F768" s="302">
        <v>0</v>
      </c>
    </row>
    <row r="769" spans="3:6">
      <c r="C769" s="299">
        <v>766</v>
      </c>
      <c r="D769" s="300">
        <v>38539.784936226853</v>
      </c>
      <c r="E769" s="301">
        <v>0.46584656226318266</v>
      </c>
      <c r="F769" s="302">
        <v>0</v>
      </c>
    </row>
    <row r="770" spans="3:6">
      <c r="C770" s="299">
        <v>767</v>
      </c>
      <c r="D770" s="300">
        <v>38539.784937500001</v>
      </c>
      <c r="E770" s="301">
        <v>-47.031147016728063</v>
      </c>
      <c r="F770" s="302">
        <v>1</v>
      </c>
    </row>
    <row r="771" spans="3:6">
      <c r="C771" s="299">
        <v>768</v>
      </c>
      <c r="D771" s="300">
        <v>38539.784938773148</v>
      </c>
      <c r="E771" s="301">
        <v>60.312339881232539</v>
      </c>
      <c r="F771" s="302">
        <v>0</v>
      </c>
    </row>
    <row r="772" spans="3:6">
      <c r="C772" s="299">
        <v>769</v>
      </c>
      <c r="D772" s="300">
        <v>38539.784939930556</v>
      </c>
      <c r="E772" s="301">
        <v>-0.91724602008628686</v>
      </c>
      <c r="F772" s="302">
        <v>0</v>
      </c>
    </row>
    <row r="773" spans="3:6">
      <c r="C773" s="299">
        <v>770</v>
      </c>
      <c r="D773" s="300">
        <v>38539.784941203703</v>
      </c>
      <c r="E773" s="301">
        <v>-21.705698541103043</v>
      </c>
      <c r="F773" s="302">
        <v>0</v>
      </c>
    </row>
    <row r="774" spans="3:6">
      <c r="C774" s="299">
        <v>771</v>
      </c>
      <c r="D774" s="300">
        <v>38539.78494247685</v>
      </c>
      <c r="E774" s="301">
        <v>14.049822281690799</v>
      </c>
      <c r="F774" s="302">
        <v>0</v>
      </c>
    </row>
    <row r="775" spans="3:6">
      <c r="C775" s="299">
        <v>772</v>
      </c>
      <c r="D775" s="300">
        <v>38539.784943749997</v>
      </c>
      <c r="E775" s="301">
        <v>-10.654507168262311</v>
      </c>
      <c r="F775" s="302">
        <v>0</v>
      </c>
    </row>
    <row r="776" spans="3:6">
      <c r="C776" s="299">
        <v>773</v>
      </c>
      <c r="D776" s="300">
        <v>38539.784944907406</v>
      </c>
      <c r="E776" s="301">
        <v>-21.162163327453349</v>
      </c>
      <c r="F776" s="302">
        <v>0</v>
      </c>
    </row>
    <row r="777" spans="3:6">
      <c r="C777" s="299">
        <v>774</v>
      </c>
      <c r="D777" s="300">
        <v>38539.784946180553</v>
      </c>
      <c r="E777" s="301">
        <v>20.081909850262374</v>
      </c>
      <c r="F777" s="302">
        <v>0</v>
      </c>
    </row>
    <row r="778" spans="3:6">
      <c r="C778" s="299">
        <v>775</v>
      </c>
      <c r="D778" s="300">
        <v>38539.784947222222</v>
      </c>
      <c r="E778" s="301">
        <v>38.399971344802282</v>
      </c>
      <c r="F778" s="302">
        <v>0</v>
      </c>
    </row>
    <row r="779" spans="3:6">
      <c r="C779" s="299">
        <v>776</v>
      </c>
      <c r="D779" s="300">
        <v>38539.784948495369</v>
      </c>
      <c r="E779" s="301">
        <v>18.660880360817135</v>
      </c>
      <c r="F779" s="302">
        <v>0</v>
      </c>
    </row>
    <row r="780" spans="3:6">
      <c r="C780" s="299">
        <v>777</v>
      </c>
      <c r="D780" s="300">
        <v>38539.784949768517</v>
      </c>
      <c r="E780" s="301">
        <v>21.81945402996298</v>
      </c>
      <c r="F780" s="302">
        <v>0</v>
      </c>
    </row>
    <row r="781" spans="3:6">
      <c r="C781" s="299">
        <v>778</v>
      </c>
      <c r="D781" s="300">
        <v>38539.784950810186</v>
      </c>
      <c r="E781" s="301">
        <v>5.1662101519319936</v>
      </c>
      <c r="F781" s="302">
        <v>0</v>
      </c>
    </row>
    <row r="782" spans="3:6">
      <c r="C782" s="299">
        <v>779</v>
      </c>
      <c r="D782" s="300">
        <v>38539.784952314818</v>
      </c>
      <c r="E782" s="301">
        <v>9.6822381336216932</v>
      </c>
      <c r="F782" s="302">
        <v>0</v>
      </c>
    </row>
    <row r="783" spans="3:6">
      <c r="C783" s="299">
        <v>780</v>
      </c>
      <c r="D783" s="300">
        <v>38539.78495335648</v>
      </c>
      <c r="E783" s="301">
        <v>23.133770215625468</v>
      </c>
      <c r="F783" s="302">
        <v>0</v>
      </c>
    </row>
    <row r="784" spans="3:6">
      <c r="C784" s="299">
        <v>781</v>
      </c>
      <c r="D784" s="300">
        <v>38539.784954629627</v>
      </c>
      <c r="E784" s="301">
        <v>-25.379720755246421</v>
      </c>
      <c r="F784" s="302">
        <v>0</v>
      </c>
    </row>
    <row r="785" spans="3:6">
      <c r="C785" s="299">
        <v>782</v>
      </c>
      <c r="D785" s="300">
        <v>38539.784955902775</v>
      </c>
      <c r="E785" s="301">
        <v>26.040789286089336</v>
      </c>
      <c r="F785" s="302">
        <v>0</v>
      </c>
    </row>
    <row r="786" spans="3:6">
      <c r="C786" s="299">
        <v>783</v>
      </c>
      <c r="D786" s="300">
        <v>38539.784956944444</v>
      </c>
      <c r="E786" s="301">
        <v>37.923827680135894</v>
      </c>
      <c r="F786" s="302">
        <v>0</v>
      </c>
    </row>
    <row r="787" spans="3:6">
      <c r="C787" s="299">
        <v>784</v>
      </c>
      <c r="D787" s="300">
        <v>38539.784958217591</v>
      </c>
      <c r="E787" s="301">
        <v>-49.409818053961729</v>
      </c>
      <c r="F787" s="302">
        <v>0</v>
      </c>
    </row>
    <row r="788" spans="3:6">
      <c r="C788" s="299">
        <v>785</v>
      </c>
      <c r="D788" s="300">
        <v>38539.784959490738</v>
      </c>
      <c r="E788" s="301">
        <v>38.598607689133246</v>
      </c>
      <c r="F788" s="302">
        <v>0</v>
      </c>
    </row>
    <row r="789" spans="3:6">
      <c r="C789" s="299">
        <v>786</v>
      </c>
      <c r="D789" s="300">
        <v>38539.784960763885</v>
      </c>
      <c r="E789" s="301">
        <v>-0.52495302044357384</v>
      </c>
      <c r="F789" s="302">
        <v>0</v>
      </c>
    </row>
    <row r="790" spans="3:6">
      <c r="C790" s="299">
        <v>787</v>
      </c>
      <c r="D790" s="300">
        <v>38539.784961921294</v>
      </c>
      <c r="E790" s="301">
        <v>20.056429629405216</v>
      </c>
      <c r="F790" s="302">
        <v>0</v>
      </c>
    </row>
    <row r="791" spans="3:6">
      <c r="C791" s="299">
        <v>788</v>
      </c>
      <c r="D791" s="300">
        <v>38539.784963078702</v>
      </c>
      <c r="E791" s="301">
        <v>6.6496976103617289</v>
      </c>
      <c r="F791" s="302">
        <v>0</v>
      </c>
    </row>
    <row r="792" spans="3:6">
      <c r="C792" s="299">
        <v>789</v>
      </c>
      <c r="D792" s="300">
        <v>38539.784964351849</v>
      </c>
      <c r="E792" s="301">
        <v>4.2678909456454281</v>
      </c>
      <c r="F792" s="302">
        <v>0</v>
      </c>
    </row>
    <row r="793" spans="3:6">
      <c r="C793" s="299">
        <v>790</v>
      </c>
      <c r="D793" s="300">
        <v>38539.784965624996</v>
      </c>
      <c r="E793" s="301">
        <v>0.99492947778081842</v>
      </c>
      <c r="F793" s="302">
        <v>0</v>
      </c>
    </row>
    <row r="794" spans="3:6">
      <c r="C794" s="299">
        <v>791</v>
      </c>
      <c r="D794" s="300">
        <v>38539.784966782405</v>
      </c>
      <c r="E794" s="301">
        <v>6.2757580100310157</v>
      </c>
      <c r="F794" s="302">
        <v>0</v>
      </c>
    </row>
    <row r="795" spans="3:6">
      <c r="C795" s="299">
        <v>792</v>
      </c>
      <c r="D795" s="300">
        <v>38539.784968055559</v>
      </c>
      <c r="E795" s="301">
        <v>15.951567931263604</v>
      </c>
      <c r="F795" s="302">
        <v>0</v>
      </c>
    </row>
    <row r="796" spans="3:6">
      <c r="C796" s="299">
        <v>793</v>
      </c>
      <c r="D796" s="300">
        <v>38539.784969328706</v>
      </c>
      <c r="E796" s="301">
        <v>6.4005948750815733</v>
      </c>
      <c r="F796" s="302">
        <v>0</v>
      </c>
    </row>
    <row r="797" spans="3:6">
      <c r="C797" s="299">
        <v>794</v>
      </c>
      <c r="D797" s="300">
        <v>38539.784970370369</v>
      </c>
      <c r="E797" s="301">
        <v>53.44494881189604</v>
      </c>
      <c r="F797" s="302">
        <v>0</v>
      </c>
    </row>
    <row r="798" spans="3:6">
      <c r="C798" s="299">
        <v>795</v>
      </c>
      <c r="D798" s="300">
        <v>38539.784971643516</v>
      </c>
      <c r="E798" s="301">
        <v>-0.70070655547883831</v>
      </c>
      <c r="F798" s="302">
        <v>0</v>
      </c>
    </row>
    <row r="799" spans="3:6">
      <c r="C799" s="299">
        <v>796</v>
      </c>
      <c r="D799" s="300">
        <v>38539.78497291667</v>
      </c>
      <c r="E799" s="301">
        <v>-17.445205837833822</v>
      </c>
      <c r="F799" s="302">
        <v>0</v>
      </c>
    </row>
    <row r="800" spans="3:6">
      <c r="C800" s="299">
        <v>797</v>
      </c>
      <c r="D800" s="300">
        <v>38539.784974189817</v>
      </c>
      <c r="E800" s="301">
        <v>41.735794648440077</v>
      </c>
      <c r="F800" s="302">
        <v>0</v>
      </c>
    </row>
    <row r="801" spans="3:6">
      <c r="C801" s="299">
        <v>798</v>
      </c>
      <c r="D801" s="300">
        <v>38539.78497523148</v>
      </c>
      <c r="E801" s="301">
        <v>17.408870059689669</v>
      </c>
      <c r="F801" s="302">
        <v>0</v>
      </c>
    </row>
    <row r="802" spans="3:6">
      <c r="C802" s="299">
        <v>799</v>
      </c>
      <c r="D802" s="300">
        <v>38539.784976504627</v>
      </c>
      <c r="E802" s="301">
        <v>-18.437879892216355</v>
      </c>
      <c r="F802" s="302">
        <v>0</v>
      </c>
    </row>
    <row r="803" spans="3:6">
      <c r="C803" s="299">
        <v>800</v>
      </c>
      <c r="D803" s="300">
        <v>38539.784977777781</v>
      </c>
      <c r="E803" s="301">
        <v>-11.635654652835372</v>
      </c>
      <c r="F803" s="302">
        <v>0</v>
      </c>
    </row>
    <row r="804" spans="3:6">
      <c r="C804" s="299">
        <v>801</v>
      </c>
      <c r="D804" s="300">
        <v>38539.784979050928</v>
      </c>
      <c r="E804" s="301">
        <v>-9.4200633494429233</v>
      </c>
      <c r="F804" s="302">
        <v>0</v>
      </c>
    </row>
    <row r="805" spans="3:6">
      <c r="C805" s="299">
        <v>802</v>
      </c>
      <c r="D805" s="300">
        <v>38539.784980092591</v>
      </c>
      <c r="E805" s="301">
        <v>30.87859312430226</v>
      </c>
      <c r="F805" s="302">
        <v>0</v>
      </c>
    </row>
    <row r="806" spans="3:6">
      <c r="C806" s="299">
        <v>803</v>
      </c>
      <c r="D806" s="300">
        <v>38539.784981365738</v>
      </c>
      <c r="E806" s="301">
        <v>4.6856556377987832</v>
      </c>
      <c r="F806" s="302">
        <v>0</v>
      </c>
    </row>
    <row r="807" spans="3:6">
      <c r="C807" s="299">
        <v>804</v>
      </c>
      <c r="D807" s="300">
        <v>38539.784982523146</v>
      </c>
      <c r="E807" s="301">
        <v>19.144679761253379</v>
      </c>
      <c r="F807" s="302">
        <v>0</v>
      </c>
    </row>
    <row r="808" spans="3:6">
      <c r="C808" s="299">
        <v>805</v>
      </c>
      <c r="D808" s="300">
        <v>38539.784983796293</v>
      </c>
      <c r="E808" s="301">
        <v>6.0275637003727205</v>
      </c>
      <c r="F808" s="302">
        <v>0</v>
      </c>
    </row>
    <row r="809" spans="3:6">
      <c r="C809" s="299">
        <v>806</v>
      </c>
      <c r="D809" s="300">
        <v>38539.784985069447</v>
      </c>
      <c r="E809" s="301">
        <v>1.6301922209964523</v>
      </c>
      <c r="F809" s="302">
        <v>0</v>
      </c>
    </row>
    <row r="810" spans="3:6">
      <c r="C810" s="299">
        <v>807</v>
      </c>
      <c r="D810" s="300">
        <v>38539.78498611111</v>
      </c>
      <c r="E810" s="301">
        <v>18.460047071762606</v>
      </c>
      <c r="F810" s="302">
        <v>0</v>
      </c>
    </row>
    <row r="811" spans="3:6">
      <c r="C811" s="299">
        <v>808</v>
      </c>
      <c r="D811" s="300">
        <v>38539.784987384257</v>
      </c>
      <c r="E811" s="301">
        <v>40.931389523820542</v>
      </c>
      <c r="F811" s="302">
        <v>0</v>
      </c>
    </row>
    <row r="812" spans="3:6">
      <c r="C812" s="299">
        <v>809</v>
      </c>
      <c r="D812" s="300">
        <v>38539.784988657404</v>
      </c>
      <c r="E812" s="301">
        <v>-13.526935006091575</v>
      </c>
      <c r="F812" s="302">
        <v>0</v>
      </c>
    </row>
    <row r="813" spans="3:6">
      <c r="C813" s="299">
        <v>810</v>
      </c>
      <c r="D813" s="300">
        <v>38539.784989699074</v>
      </c>
      <c r="E813" s="301">
        <v>7.3802784490223843</v>
      </c>
      <c r="F813" s="302">
        <v>0</v>
      </c>
    </row>
    <row r="814" spans="3:6">
      <c r="C814" s="299">
        <v>811</v>
      </c>
      <c r="D814" s="300">
        <v>38539.784990972221</v>
      </c>
      <c r="E814" s="301">
        <v>54.52595239768133</v>
      </c>
      <c r="F814" s="302">
        <v>0</v>
      </c>
    </row>
    <row r="815" spans="3:6">
      <c r="C815" s="299">
        <v>812</v>
      </c>
      <c r="D815" s="300">
        <v>38539.784992245368</v>
      </c>
      <c r="E815" s="301">
        <v>-39.413572427896476</v>
      </c>
      <c r="F815" s="302">
        <v>0</v>
      </c>
    </row>
    <row r="816" spans="3:6">
      <c r="C816" s="299">
        <v>813</v>
      </c>
      <c r="D816" s="300">
        <v>38539.784993287038</v>
      </c>
      <c r="E816" s="301">
        <v>-17.558105119169998</v>
      </c>
      <c r="F816" s="302">
        <v>0</v>
      </c>
    </row>
    <row r="817" spans="3:6">
      <c r="C817" s="299">
        <v>814</v>
      </c>
      <c r="D817" s="300">
        <v>38539.784994560185</v>
      </c>
      <c r="E817" s="301">
        <v>7.6040804256702899E-3</v>
      </c>
      <c r="F817" s="302">
        <v>0</v>
      </c>
    </row>
    <row r="818" spans="3:6">
      <c r="C818" s="299">
        <v>815</v>
      </c>
      <c r="D818" s="300">
        <v>38539.784995833332</v>
      </c>
      <c r="E818" s="301">
        <v>13.229770628386259</v>
      </c>
      <c r="F818" s="302">
        <v>0</v>
      </c>
    </row>
    <row r="819" spans="3:6">
      <c r="C819" s="299">
        <v>816</v>
      </c>
      <c r="D819" s="300">
        <v>38539.784997106479</v>
      </c>
      <c r="E819" s="301">
        <v>-11.782298159283776</v>
      </c>
      <c r="F819" s="302">
        <v>0</v>
      </c>
    </row>
    <row r="820" spans="3:6">
      <c r="C820" s="299">
        <v>817</v>
      </c>
      <c r="D820" s="300">
        <v>38539.784998379633</v>
      </c>
      <c r="E820" s="301">
        <v>10.221063727224163</v>
      </c>
      <c r="F820" s="302">
        <v>0</v>
      </c>
    </row>
    <row r="821" spans="3:6">
      <c r="C821" s="299">
        <v>818</v>
      </c>
      <c r="D821" s="300">
        <v>38539.784999537034</v>
      </c>
      <c r="E821" s="301">
        <v>33.008200568380204</v>
      </c>
      <c r="F821" s="302">
        <v>0</v>
      </c>
    </row>
    <row r="822" spans="3:6">
      <c r="C822" s="299">
        <v>819</v>
      </c>
      <c r="D822" s="300">
        <v>38539.785000694443</v>
      </c>
      <c r="E822" s="301">
        <v>19.026930240638819</v>
      </c>
      <c r="F822" s="302">
        <v>0</v>
      </c>
    </row>
    <row r="823" spans="3:6">
      <c r="C823" s="299">
        <v>820</v>
      </c>
      <c r="D823" s="300">
        <v>38539.78500196759</v>
      </c>
      <c r="E823" s="301">
        <v>47.669030231788227</v>
      </c>
      <c r="F823" s="302">
        <v>0</v>
      </c>
    </row>
    <row r="824" spans="3:6">
      <c r="C824" s="299">
        <v>821</v>
      </c>
      <c r="D824" s="300">
        <v>38539.785003240744</v>
      </c>
      <c r="E824" s="301">
        <v>-10.821868427818242</v>
      </c>
      <c r="F824" s="302">
        <v>0</v>
      </c>
    </row>
    <row r="825" spans="3:6">
      <c r="C825" s="299">
        <v>822</v>
      </c>
      <c r="D825" s="300">
        <v>38539.785004513891</v>
      </c>
      <c r="E825" s="301">
        <v>-8.555816332768023</v>
      </c>
      <c r="F825" s="302">
        <v>0</v>
      </c>
    </row>
    <row r="826" spans="3:6">
      <c r="C826" s="299">
        <v>823</v>
      </c>
      <c r="D826" s="300">
        <v>38539.7850056713</v>
      </c>
      <c r="E826" s="301">
        <v>20.182806725654714</v>
      </c>
      <c r="F826" s="302">
        <v>0</v>
      </c>
    </row>
    <row r="827" spans="3:6">
      <c r="C827" s="299">
        <v>824</v>
      </c>
      <c r="D827" s="300">
        <v>38539.785006944447</v>
      </c>
      <c r="E827" s="301">
        <v>4.9200158542939327</v>
      </c>
      <c r="F827" s="302">
        <v>0</v>
      </c>
    </row>
    <row r="828" spans="3:6">
      <c r="C828" s="299">
        <v>825</v>
      </c>
      <c r="D828" s="300">
        <v>38539.785008217594</v>
      </c>
      <c r="E828" s="301">
        <v>3.521718061187221</v>
      </c>
      <c r="F828" s="302">
        <v>0</v>
      </c>
    </row>
    <row r="829" spans="3:6">
      <c r="C829" s="299">
        <v>826</v>
      </c>
      <c r="D829" s="300">
        <v>38539.785009375002</v>
      </c>
      <c r="E829" s="301">
        <v>21.618272595151002</v>
      </c>
      <c r="F829" s="302">
        <v>0</v>
      </c>
    </row>
    <row r="830" spans="3:6">
      <c r="C830" s="299">
        <v>827</v>
      </c>
      <c r="D830" s="300">
        <v>38539.785010648149</v>
      </c>
      <c r="E830" s="301">
        <v>15.102779142129901</v>
      </c>
      <c r="F830" s="302">
        <v>0</v>
      </c>
    </row>
    <row r="831" spans="3:6">
      <c r="C831" s="299">
        <v>828</v>
      </c>
      <c r="D831" s="300">
        <v>38539.785011921296</v>
      </c>
      <c r="E831" s="301">
        <v>21.28587385772148</v>
      </c>
      <c r="F831" s="302">
        <v>0</v>
      </c>
    </row>
    <row r="832" spans="3:6">
      <c r="C832" s="299">
        <v>829</v>
      </c>
      <c r="D832" s="300">
        <v>38539.785013078705</v>
      </c>
      <c r="E832" s="301">
        <v>-1.5520974755350814</v>
      </c>
      <c r="F832" s="302">
        <v>0</v>
      </c>
    </row>
    <row r="833" spans="3:6">
      <c r="C833" s="299">
        <v>830</v>
      </c>
      <c r="D833" s="300">
        <v>38539.785014351852</v>
      </c>
      <c r="E833" s="301">
        <v>47.561763828545608</v>
      </c>
      <c r="F833" s="302">
        <v>0</v>
      </c>
    </row>
    <row r="834" spans="3:6">
      <c r="C834" s="299">
        <v>831</v>
      </c>
      <c r="D834" s="300">
        <v>38539.785015624999</v>
      </c>
      <c r="E834" s="301">
        <v>-20.493259040771406</v>
      </c>
      <c r="F834" s="302">
        <v>0</v>
      </c>
    </row>
    <row r="835" spans="3:6">
      <c r="C835" s="299">
        <v>832</v>
      </c>
      <c r="D835" s="300">
        <v>38539.785016898146</v>
      </c>
      <c r="E835" s="301">
        <v>-35.772804423474653</v>
      </c>
      <c r="F835" s="302">
        <v>0</v>
      </c>
    </row>
    <row r="836" spans="3:6">
      <c r="C836" s="299">
        <v>833</v>
      </c>
      <c r="D836" s="300">
        <v>38539.785017939816</v>
      </c>
      <c r="E836" s="301">
        <v>-44.255397272309786</v>
      </c>
      <c r="F836" s="302">
        <v>0</v>
      </c>
    </row>
    <row r="837" spans="3:6">
      <c r="C837" s="299">
        <v>834</v>
      </c>
      <c r="D837" s="300">
        <v>38539.785019212963</v>
      </c>
      <c r="E837" s="301">
        <v>21.106452924107717</v>
      </c>
      <c r="F837" s="302">
        <v>0</v>
      </c>
    </row>
    <row r="838" spans="3:6">
      <c r="C838" s="299">
        <v>835</v>
      </c>
      <c r="D838" s="300">
        <v>38539.78502048611</v>
      </c>
      <c r="E838" s="301">
        <v>14.608282311701956</v>
      </c>
      <c r="F838" s="302">
        <v>0</v>
      </c>
    </row>
    <row r="839" spans="3:6">
      <c r="C839" s="299">
        <v>836</v>
      </c>
      <c r="D839" s="300">
        <v>38539.785021527779</v>
      </c>
      <c r="E839" s="301">
        <v>5.8504979627273466</v>
      </c>
      <c r="F839" s="302">
        <v>0</v>
      </c>
    </row>
    <row r="840" spans="3:6">
      <c r="C840" s="299">
        <v>837</v>
      </c>
      <c r="D840" s="300">
        <v>38539.785022800927</v>
      </c>
      <c r="E840" s="301">
        <v>-32.985940091357222</v>
      </c>
      <c r="F840" s="302">
        <v>0</v>
      </c>
    </row>
    <row r="841" spans="3:6">
      <c r="C841" s="299">
        <v>838</v>
      </c>
      <c r="D841" s="300">
        <v>38539.785024074074</v>
      </c>
      <c r="E841" s="301">
        <v>-18.528294140380886</v>
      </c>
      <c r="F841" s="302">
        <v>0</v>
      </c>
    </row>
    <row r="842" spans="3:6">
      <c r="C842" s="299">
        <v>839</v>
      </c>
      <c r="D842" s="300">
        <v>38539.785025347221</v>
      </c>
      <c r="E842" s="301">
        <v>34.065970685382624</v>
      </c>
      <c r="F842" s="302">
        <v>0</v>
      </c>
    </row>
    <row r="843" spans="3:6">
      <c r="C843" s="299">
        <v>840</v>
      </c>
      <c r="D843" s="300">
        <v>38539.78502638889</v>
      </c>
      <c r="E843" s="301">
        <v>-14.787818235192452</v>
      </c>
      <c r="F843" s="302">
        <v>0</v>
      </c>
    </row>
    <row r="844" spans="3:6">
      <c r="C844" s="299">
        <v>841</v>
      </c>
      <c r="D844" s="300">
        <v>38539.785027662037</v>
      </c>
      <c r="E844" s="301">
        <v>20.583008690153793</v>
      </c>
      <c r="F844" s="302">
        <v>0</v>
      </c>
    </row>
    <row r="845" spans="3:6">
      <c r="C845" s="299">
        <v>842</v>
      </c>
      <c r="D845" s="300">
        <v>38539.785028819446</v>
      </c>
      <c r="E845" s="301">
        <v>22.799460296871217</v>
      </c>
      <c r="F845" s="302">
        <v>0</v>
      </c>
    </row>
    <row r="846" spans="3:6">
      <c r="C846" s="299">
        <v>843</v>
      </c>
      <c r="D846" s="300">
        <v>38539.785030092593</v>
      </c>
      <c r="E846" s="301">
        <v>-51.921714429546732</v>
      </c>
      <c r="F846" s="302">
        <v>0</v>
      </c>
    </row>
    <row r="847" spans="3:6">
      <c r="C847" s="299">
        <v>844</v>
      </c>
      <c r="D847" s="300">
        <v>38539.78503136574</v>
      </c>
      <c r="E847" s="301">
        <v>-13.720433806744371</v>
      </c>
      <c r="F847" s="302">
        <v>0</v>
      </c>
    </row>
    <row r="848" spans="3:6">
      <c r="C848" s="299">
        <v>845</v>
      </c>
      <c r="D848" s="300">
        <v>38539.785032523148</v>
      </c>
      <c r="E848" s="301">
        <v>3.1174852769071224</v>
      </c>
      <c r="F848" s="302">
        <v>0</v>
      </c>
    </row>
    <row r="849" spans="3:6">
      <c r="C849" s="299">
        <v>846</v>
      </c>
      <c r="D849" s="300">
        <v>38539.785033680557</v>
      </c>
      <c r="E849" s="301">
        <v>-39.685667434224797</v>
      </c>
      <c r="F849" s="302">
        <v>0</v>
      </c>
    </row>
    <row r="850" spans="3:6">
      <c r="C850" s="299">
        <v>847</v>
      </c>
      <c r="D850" s="300">
        <v>38539.785034953704</v>
      </c>
      <c r="E850" s="301">
        <v>15.284281772104698</v>
      </c>
      <c r="F850" s="302">
        <v>0</v>
      </c>
    </row>
    <row r="851" spans="3:6">
      <c r="C851" s="299">
        <v>848</v>
      </c>
      <c r="D851" s="300">
        <v>38539.785036226851</v>
      </c>
      <c r="E851" s="301">
        <v>13.46746590052793</v>
      </c>
      <c r="F851" s="302">
        <v>0</v>
      </c>
    </row>
    <row r="852" spans="3:6">
      <c r="C852" s="299">
        <v>849</v>
      </c>
      <c r="D852" s="300">
        <v>38539.785037499998</v>
      </c>
      <c r="E852" s="301">
        <v>0.15896411589065451</v>
      </c>
      <c r="F852" s="302">
        <v>0</v>
      </c>
    </row>
    <row r="853" spans="3:6">
      <c r="C853" s="299">
        <v>850</v>
      </c>
      <c r="D853" s="300">
        <v>38539.785038773145</v>
      </c>
      <c r="E853" s="301">
        <v>56.540472806830316</v>
      </c>
      <c r="F853" s="302">
        <v>0</v>
      </c>
    </row>
    <row r="854" spans="3:6">
      <c r="C854" s="299">
        <v>851</v>
      </c>
      <c r="D854" s="300">
        <v>38539.785040046299</v>
      </c>
      <c r="E854" s="301">
        <v>-52.196954528586915</v>
      </c>
      <c r="F854" s="302">
        <v>0</v>
      </c>
    </row>
    <row r="855" spans="3:6">
      <c r="C855" s="299">
        <v>852</v>
      </c>
      <c r="D855" s="300">
        <v>38539.785041087962</v>
      </c>
      <c r="E855" s="301">
        <v>-39.61373296595373</v>
      </c>
      <c r="F855" s="302">
        <v>0</v>
      </c>
    </row>
    <row r="856" spans="3:6">
      <c r="C856" s="299">
        <v>853</v>
      </c>
      <c r="D856" s="300">
        <v>38539.785042361109</v>
      </c>
      <c r="E856" s="301">
        <v>6.6710377138754318</v>
      </c>
      <c r="F856" s="302">
        <v>0</v>
      </c>
    </row>
    <row r="857" spans="3:6">
      <c r="C857" s="299">
        <v>854</v>
      </c>
      <c r="D857" s="300">
        <v>38539.785043634256</v>
      </c>
      <c r="E857" s="301">
        <v>17.348162623544436</v>
      </c>
      <c r="F857" s="302">
        <v>0</v>
      </c>
    </row>
    <row r="858" spans="3:6">
      <c r="C858" s="299">
        <v>855</v>
      </c>
      <c r="D858" s="300">
        <v>38539.78504490741</v>
      </c>
      <c r="E858" s="301">
        <v>-33.589776851837357</v>
      </c>
      <c r="F858" s="302">
        <v>0</v>
      </c>
    </row>
    <row r="859" spans="3:6">
      <c r="C859" s="299">
        <v>856</v>
      </c>
      <c r="D859" s="300">
        <v>38539.785046180557</v>
      </c>
      <c r="E859" s="301">
        <v>18.898550521234714</v>
      </c>
      <c r="F859" s="302">
        <v>0</v>
      </c>
    </row>
    <row r="860" spans="3:6">
      <c r="C860" s="299">
        <v>857</v>
      </c>
      <c r="D860" s="300">
        <v>38539.785047453704</v>
      </c>
      <c r="E860" s="301">
        <v>61.409990235674186</v>
      </c>
      <c r="F860" s="302">
        <v>0</v>
      </c>
    </row>
    <row r="861" spans="3:6">
      <c r="C861" s="299">
        <v>858</v>
      </c>
      <c r="D861" s="300">
        <v>38539.785048495367</v>
      </c>
      <c r="E861" s="301">
        <v>63.866605610389016</v>
      </c>
      <c r="F861" s="302">
        <v>0</v>
      </c>
    </row>
    <row r="862" spans="3:6">
      <c r="C862" s="299">
        <v>859</v>
      </c>
      <c r="D862" s="300">
        <v>38539.785049768521</v>
      </c>
      <c r="E862" s="301">
        <v>25.605778400336561</v>
      </c>
      <c r="F862" s="302">
        <v>0</v>
      </c>
    </row>
    <row r="863" spans="3:6">
      <c r="C863" s="299">
        <v>860</v>
      </c>
      <c r="D863" s="300">
        <v>38539.785050810184</v>
      </c>
      <c r="E863" s="301">
        <v>-22.551908576711188</v>
      </c>
      <c r="F863" s="302">
        <v>0</v>
      </c>
    </row>
    <row r="864" spans="3:6">
      <c r="C864" s="299">
        <v>861</v>
      </c>
      <c r="D864" s="300">
        <v>38539.785052083331</v>
      </c>
      <c r="E864" s="301">
        <v>6.0289989700824975</v>
      </c>
      <c r="F864" s="302">
        <v>0</v>
      </c>
    </row>
    <row r="865" spans="3:6">
      <c r="C865" s="299">
        <v>862</v>
      </c>
      <c r="D865" s="300">
        <v>38539.785053356478</v>
      </c>
      <c r="E865" s="301">
        <v>-11.421955583706275</v>
      </c>
      <c r="F865" s="302">
        <v>0</v>
      </c>
    </row>
    <row r="866" spans="3:6">
      <c r="C866" s="299">
        <v>863</v>
      </c>
      <c r="D866" s="300">
        <v>38539.785054513886</v>
      </c>
      <c r="E866" s="301">
        <v>9.1580524458891297</v>
      </c>
      <c r="F866" s="302">
        <v>0</v>
      </c>
    </row>
    <row r="867" spans="3:6">
      <c r="C867" s="299">
        <v>864</v>
      </c>
      <c r="D867" s="300">
        <v>38539.785055671295</v>
      </c>
      <c r="E867" s="301">
        <v>-17.598535905453154</v>
      </c>
      <c r="F867" s="302">
        <v>0</v>
      </c>
    </row>
    <row r="868" spans="3:6">
      <c r="C868" s="299">
        <v>865</v>
      </c>
      <c r="D868" s="300">
        <v>38539.785056944442</v>
      </c>
      <c r="E868" s="301">
        <v>15.896832126268752</v>
      </c>
      <c r="F868" s="302">
        <v>0</v>
      </c>
    </row>
    <row r="869" spans="3:6">
      <c r="C869" s="299">
        <v>866</v>
      </c>
      <c r="D869" s="300">
        <v>38539.785058449073</v>
      </c>
      <c r="E869" s="301">
        <v>36.857869781386476</v>
      </c>
      <c r="F869" s="302">
        <v>0</v>
      </c>
    </row>
    <row r="870" spans="3:6">
      <c r="C870" s="299">
        <v>867</v>
      </c>
      <c r="D870" s="300">
        <v>38539.785059490743</v>
      </c>
      <c r="E870" s="301">
        <v>25.019416557423547</v>
      </c>
      <c r="F870" s="302">
        <v>0</v>
      </c>
    </row>
    <row r="871" spans="3:6">
      <c r="C871" s="299">
        <v>868</v>
      </c>
      <c r="D871" s="300">
        <v>38539.78506076389</v>
      </c>
      <c r="E871" s="301">
        <v>-3.5600952322414767</v>
      </c>
      <c r="F871" s="302">
        <v>0</v>
      </c>
    </row>
    <row r="872" spans="3:6">
      <c r="C872" s="299">
        <v>869</v>
      </c>
      <c r="D872" s="300">
        <v>38539.785061921299</v>
      </c>
      <c r="E872" s="301">
        <v>19.780777025708602</v>
      </c>
      <c r="F872" s="302">
        <v>0</v>
      </c>
    </row>
    <row r="873" spans="3:6">
      <c r="C873" s="299">
        <v>870</v>
      </c>
      <c r="D873" s="300">
        <v>38539.785062962961</v>
      </c>
      <c r="E873" s="301">
        <v>-1.4992365663751599</v>
      </c>
      <c r="F873" s="302">
        <v>0</v>
      </c>
    </row>
    <row r="874" spans="3:6">
      <c r="C874" s="299">
        <v>871</v>
      </c>
      <c r="D874" s="300">
        <v>38539.785064236108</v>
      </c>
      <c r="E874" s="301">
        <v>4.7764697618002465</v>
      </c>
      <c r="F874" s="302">
        <v>0</v>
      </c>
    </row>
    <row r="875" spans="3:6">
      <c r="C875" s="299">
        <v>872</v>
      </c>
      <c r="D875" s="300">
        <v>38539.785065277778</v>
      </c>
      <c r="E875" s="301">
        <v>-9.323542541928731E-2</v>
      </c>
      <c r="F875" s="302">
        <v>0</v>
      </c>
    </row>
    <row r="876" spans="3:6">
      <c r="C876" s="299">
        <v>873</v>
      </c>
      <c r="D876" s="300">
        <v>38539.785066550925</v>
      </c>
      <c r="E876" s="301">
        <v>-27.063528814802204</v>
      </c>
      <c r="F876" s="302">
        <v>0</v>
      </c>
    </row>
    <row r="877" spans="3:6">
      <c r="C877" s="299">
        <v>874</v>
      </c>
      <c r="D877" s="300">
        <v>38539.785067824072</v>
      </c>
      <c r="E877" s="301">
        <v>24.520142880616607</v>
      </c>
      <c r="F877" s="302">
        <v>0</v>
      </c>
    </row>
    <row r="878" spans="3:6">
      <c r="C878" s="299">
        <v>875</v>
      </c>
      <c r="D878" s="300">
        <v>38539.785069097219</v>
      </c>
      <c r="E878" s="301">
        <v>22.542674788226549</v>
      </c>
      <c r="F878" s="302">
        <v>0</v>
      </c>
    </row>
    <row r="879" spans="3:6">
      <c r="C879" s="299">
        <v>876</v>
      </c>
      <c r="D879" s="300">
        <v>38539.785070370373</v>
      </c>
      <c r="E879" s="301">
        <v>-44.453064261787475</v>
      </c>
      <c r="F879" s="302">
        <v>0</v>
      </c>
    </row>
    <row r="880" spans="3:6">
      <c r="C880" s="299">
        <v>877</v>
      </c>
      <c r="D880" s="300">
        <v>38539.785071412036</v>
      </c>
      <c r="E880" s="301">
        <v>28.567373939897006</v>
      </c>
      <c r="F880" s="302">
        <v>0</v>
      </c>
    </row>
    <row r="881" spans="3:6">
      <c r="C881" s="299">
        <v>878</v>
      </c>
      <c r="D881" s="300">
        <v>38539.785072569444</v>
      </c>
      <c r="E881" s="301">
        <v>-3.9016641757159234</v>
      </c>
      <c r="F881" s="302">
        <v>0</v>
      </c>
    </row>
    <row r="882" spans="3:6">
      <c r="C882" s="299">
        <v>879</v>
      </c>
      <c r="D882" s="300">
        <v>38539.785073842591</v>
      </c>
      <c r="E882" s="301">
        <v>37.944534454676933</v>
      </c>
      <c r="F882" s="302">
        <v>0</v>
      </c>
    </row>
    <row r="883" spans="3:6">
      <c r="C883" s="299">
        <v>880</v>
      </c>
      <c r="D883" s="300">
        <v>38539.785075115738</v>
      </c>
      <c r="E883" s="301">
        <v>-23.656772857705974</v>
      </c>
      <c r="F883" s="302">
        <v>0</v>
      </c>
    </row>
    <row r="884" spans="3:6">
      <c r="C884" s="299">
        <v>881</v>
      </c>
      <c r="D884" s="300">
        <v>38539.785076388885</v>
      </c>
      <c r="E884" s="301">
        <v>0.69711273138466368</v>
      </c>
      <c r="F884" s="302">
        <v>0</v>
      </c>
    </row>
    <row r="885" spans="3:6">
      <c r="C885" s="299">
        <v>882</v>
      </c>
      <c r="D885" s="300">
        <v>38539.78507766204</v>
      </c>
      <c r="E885" s="301">
        <v>-40.802922378501648</v>
      </c>
      <c r="F885" s="302">
        <v>0</v>
      </c>
    </row>
    <row r="886" spans="3:6">
      <c r="C886" s="299">
        <v>883</v>
      </c>
      <c r="D886" s="300">
        <v>38539.785078703702</v>
      </c>
      <c r="E886" s="301">
        <v>0.28709069476133919</v>
      </c>
      <c r="F886" s="302">
        <v>0</v>
      </c>
    </row>
    <row r="887" spans="3:6">
      <c r="C887" s="299">
        <v>884</v>
      </c>
      <c r="D887" s="300">
        <v>38539.785079976849</v>
      </c>
      <c r="E887" s="301">
        <v>46.878550537249488</v>
      </c>
      <c r="F887" s="302">
        <v>0</v>
      </c>
    </row>
    <row r="888" spans="3:6">
      <c r="C888" s="299">
        <v>885</v>
      </c>
      <c r="D888" s="300">
        <v>38539.785081249996</v>
      </c>
      <c r="E888" s="301">
        <v>-19.086369779777787</v>
      </c>
      <c r="F888" s="302">
        <v>0</v>
      </c>
    </row>
    <row r="889" spans="3:6">
      <c r="C889" s="299">
        <v>886</v>
      </c>
      <c r="D889" s="300">
        <v>38539.785082523151</v>
      </c>
      <c r="E889" s="301">
        <v>-75.403612551643889</v>
      </c>
      <c r="F889" s="302">
        <v>0</v>
      </c>
    </row>
    <row r="890" spans="3:6">
      <c r="C890" s="299">
        <v>887</v>
      </c>
      <c r="D890" s="300">
        <v>38539.785083796298</v>
      </c>
      <c r="E890" s="301">
        <v>14.886764126604806</v>
      </c>
      <c r="F890" s="302">
        <v>0</v>
      </c>
    </row>
    <row r="891" spans="3:6">
      <c r="C891" s="299">
        <v>888</v>
      </c>
      <c r="D891" s="300">
        <v>38539.78508483796</v>
      </c>
      <c r="E891" s="301">
        <v>-41.918828351155966</v>
      </c>
      <c r="F891" s="302">
        <v>0</v>
      </c>
    </row>
    <row r="892" spans="3:6">
      <c r="C892" s="299">
        <v>889</v>
      </c>
      <c r="D892" s="300">
        <v>38539.785086111115</v>
      </c>
      <c r="E892" s="301">
        <v>24.900969441087067</v>
      </c>
      <c r="F892" s="302">
        <v>0</v>
      </c>
    </row>
    <row r="893" spans="3:6">
      <c r="C893" s="299">
        <v>890</v>
      </c>
      <c r="D893" s="300">
        <v>38539.785087384262</v>
      </c>
      <c r="E893" s="301">
        <v>42.945764828053598</v>
      </c>
      <c r="F893" s="302">
        <v>0</v>
      </c>
    </row>
    <row r="894" spans="3:6">
      <c r="C894" s="299">
        <v>891</v>
      </c>
      <c r="D894" s="300">
        <v>38539.785088425924</v>
      </c>
      <c r="E894" s="301">
        <v>34.406660628661214</v>
      </c>
      <c r="F894" s="302">
        <v>0</v>
      </c>
    </row>
    <row r="895" spans="3:6">
      <c r="C895" s="299">
        <v>892</v>
      </c>
      <c r="D895" s="300">
        <v>38539.785089699071</v>
      </c>
      <c r="E895" s="301">
        <v>25.209932936806315</v>
      </c>
      <c r="F895" s="302">
        <v>0</v>
      </c>
    </row>
    <row r="896" spans="3:6">
      <c r="C896" s="299">
        <v>893</v>
      </c>
      <c r="D896" s="300">
        <v>38539.785090972226</v>
      </c>
      <c r="E896" s="301">
        <v>14.563500843698813</v>
      </c>
      <c r="F896" s="302">
        <v>0</v>
      </c>
    </row>
    <row r="897" spans="3:6">
      <c r="C897" s="299">
        <v>894</v>
      </c>
      <c r="D897" s="300">
        <v>38539.785092245373</v>
      </c>
      <c r="E897" s="301">
        <v>29.689669529659522</v>
      </c>
      <c r="F897" s="302">
        <v>0</v>
      </c>
    </row>
    <row r="898" spans="3:6">
      <c r="C898" s="299">
        <v>895</v>
      </c>
      <c r="D898" s="300">
        <v>38539.785093287035</v>
      </c>
      <c r="E898" s="301">
        <v>-31.652244642855599</v>
      </c>
      <c r="F898" s="302">
        <v>0</v>
      </c>
    </row>
    <row r="899" spans="3:6">
      <c r="C899" s="299">
        <v>896</v>
      </c>
      <c r="D899" s="300">
        <v>38539.785094560182</v>
      </c>
      <c r="E899" s="301">
        <v>38.046698344017933</v>
      </c>
      <c r="F899" s="302">
        <v>0</v>
      </c>
    </row>
    <row r="900" spans="3:6">
      <c r="C900" s="299">
        <v>897</v>
      </c>
      <c r="D900" s="300">
        <v>38539.785095833337</v>
      </c>
      <c r="E900" s="301">
        <v>47.803882231777735</v>
      </c>
      <c r="F900" s="302">
        <v>0</v>
      </c>
    </row>
    <row r="901" spans="3:6">
      <c r="C901" s="299">
        <v>898</v>
      </c>
      <c r="D901" s="300">
        <v>38539.785096990738</v>
      </c>
      <c r="E901" s="301">
        <v>-4.7250969975645827</v>
      </c>
      <c r="F901" s="302">
        <v>0</v>
      </c>
    </row>
    <row r="902" spans="3:6">
      <c r="C902" s="299">
        <v>899</v>
      </c>
      <c r="D902" s="300">
        <v>38539.785098263892</v>
      </c>
      <c r="E902" s="301">
        <v>-44.728542981575288</v>
      </c>
      <c r="F902" s="302">
        <v>0</v>
      </c>
    </row>
    <row r="903" spans="3:6">
      <c r="C903" s="299">
        <v>900</v>
      </c>
      <c r="D903" s="300">
        <v>38539.785099537039</v>
      </c>
      <c r="E903" s="301">
        <v>62.020283019389382</v>
      </c>
      <c r="F903" s="302">
        <v>0</v>
      </c>
    </row>
    <row r="904" spans="3:6">
      <c r="C904" s="299">
        <v>901</v>
      </c>
      <c r="D904" s="300">
        <v>38539.785100810186</v>
      </c>
      <c r="E904" s="301">
        <v>58.87988441624428</v>
      </c>
      <c r="F904" s="302">
        <v>0</v>
      </c>
    </row>
    <row r="905" spans="3:6">
      <c r="C905" s="299">
        <v>902</v>
      </c>
      <c r="D905" s="300">
        <v>38539.785101967595</v>
      </c>
      <c r="E905" s="301">
        <v>-21.650101239716133</v>
      </c>
      <c r="F905" s="302">
        <v>0</v>
      </c>
    </row>
    <row r="906" spans="3:6">
      <c r="C906" s="299">
        <v>903</v>
      </c>
      <c r="D906" s="300">
        <v>38539.785103240742</v>
      </c>
      <c r="E906" s="301">
        <v>-14.474850389744045</v>
      </c>
      <c r="F906" s="302">
        <v>0</v>
      </c>
    </row>
    <row r="907" spans="3:6">
      <c r="C907" s="299">
        <v>904</v>
      </c>
      <c r="D907" s="300">
        <v>38539.78510439815</v>
      </c>
      <c r="E907" s="301">
        <v>-22.400615707252157</v>
      </c>
      <c r="F907" s="302">
        <v>0</v>
      </c>
    </row>
    <row r="908" spans="3:6">
      <c r="C908" s="299">
        <v>905</v>
      </c>
      <c r="D908" s="300">
        <v>38539.785105671297</v>
      </c>
      <c r="E908" s="301">
        <v>1.7099423383088741</v>
      </c>
      <c r="F908" s="302">
        <v>0</v>
      </c>
    </row>
    <row r="909" spans="3:6">
      <c r="C909" s="299">
        <v>906</v>
      </c>
      <c r="D909" s="300">
        <v>38539.785106944444</v>
      </c>
      <c r="E909" s="301">
        <v>29.149407342336595</v>
      </c>
      <c r="F909" s="302">
        <v>0</v>
      </c>
    </row>
    <row r="910" spans="3:6">
      <c r="C910" s="299">
        <v>907</v>
      </c>
      <c r="D910" s="300">
        <v>38539.785108217591</v>
      </c>
      <c r="E910" s="301">
        <v>29.582681845149061</v>
      </c>
      <c r="F910" s="302">
        <v>0</v>
      </c>
    </row>
    <row r="911" spans="3:6">
      <c r="C911" s="299">
        <v>908</v>
      </c>
      <c r="D911" s="300">
        <v>38539.785109259261</v>
      </c>
      <c r="E911" s="301">
        <v>-7.0174596316710804</v>
      </c>
      <c r="F911" s="302">
        <v>0</v>
      </c>
    </row>
    <row r="912" spans="3:6">
      <c r="C912" s="299">
        <v>909</v>
      </c>
      <c r="D912" s="300">
        <v>38539.785110532408</v>
      </c>
      <c r="E912" s="301">
        <v>55.529588252396046</v>
      </c>
      <c r="F912" s="302">
        <v>0</v>
      </c>
    </row>
    <row r="913" spans="3:6">
      <c r="C913" s="299">
        <v>910</v>
      </c>
      <c r="D913" s="300">
        <v>38539.785111805555</v>
      </c>
      <c r="E913" s="301">
        <v>30.201693602700423</v>
      </c>
      <c r="F913" s="302">
        <v>0</v>
      </c>
    </row>
    <row r="914" spans="3:6">
      <c r="C914" s="299">
        <v>911</v>
      </c>
      <c r="D914" s="300">
        <v>38539.785113078702</v>
      </c>
      <c r="E914" s="301">
        <v>-6.8102796749667327</v>
      </c>
      <c r="F914" s="302">
        <v>0</v>
      </c>
    </row>
    <row r="915" spans="3:6">
      <c r="C915" s="299">
        <v>912</v>
      </c>
      <c r="D915" s="300">
        <v>38539.785114351849</v>
      </c>
      <c r="E915" s="301">
        <v>78.549440117993598</v>
      </c>
      <c r="F915" s="302">
        <v>0</v>
      </c>
    </row>
    <row r="916" spans="3:6">
      <c r="C916" s="299">
        <v>913</v>
      </c>
      <c r="D916" s="300">
        <v>38539.785115625004</v>
      </c>
      <c r="E916" s="301">
        <v>29.870064847260583</v>
      </c>
      <c r="F916" s="302">
        <v>0</v>
      </c>
    </row>
    <row r="917" spans="3:6">
      <c r="C917" s="299">
        <v>914</v>
      </c>
      <c r="D917" s="300">
        <v>38539.785116898151</v>
      </c>
      <c r="E917" s="301">
        <v>43.536006201543131</v>
      </c>
      <c r="F917" s="302">
        <v>0</v>
      </c>
    </row>
    <row r="918" spans="3:6">
      <c r="C918" s="299">
        <v>915</v>
      </c>
      <c r="D918" s="300">
        <v>38539.785118171298</v>
      </c>
      <c r="E918" s="301">
        <v>31.246451218976688</v>
      </c>
      <c r="F918" s="302">
        <v>0</v>
      </c>
    </row>
    <row r="919" spans="3:6">
      <c r="C919" s="299">
        <v>916</v>
      </c>
      <c r="D919" s="300">
        <v>38539.785119328706</v>
      </c>
      <c r="E919" s="301">
        <v>-70.014278679876924</v>
      </c>
      <c r="F919" s="302">
        <v>0</v>
      </c>
    </row>
    <row r="920" spans="3:6">
      <c r="C920" s="299">
        <v>917</v>
      </c>
      <c r="D920" s="300">
        <v>38539.785120486114</v>
      </c>
      <c r="E920" s="301">
        <v>-13.831102318770061</v>
      </c>
      <c r="F920" s="302">
        <v>0</v>
      </c>
    </row>
    <row r="921" spans="3:6">
      <c r="C921" s="299">
        <v>918</v>
      </c>
      <c r="D921" s="300">
        <v>38539.785121759262</v>
      </c>
      <c r="E921" s="301">
        <v>-5.1538654653789937</v>
      </c>
      <c r="F921" s="302">
        <v>0</v>
      </c>
    </row>
    <row r="922" spans="3:6">
      <c r="C922" s="299">
        <v>919</v>
      </c>
      <c r="D922" s="300">
        <v>38539.785123032409</v>
      </c>
      <c r="E922" s="301">
        <v>-14.931336513257339</v>
      </c>
      <c r="F922" s="302">
        <v>0</v>
      </c>
    </row>
    <row r="923" spans="3:6">
      <c r="C923" s="299">
        <v>920</v>
      </c>
      <c r="D923" s="300">
        <v>38539.785124074071</v>
      </c>
      <c r="E923" s="301">
        <v>-57.334487599526497</v>
      </c>
      <c r="F923" s="302">
        <v>0</v>
      </c>
    </row>
    <row r="924" spans="3:6">
      <c r="C924" s="299">
        <v>921</v>
      </c>
      <c r="D924" s="300">
        <v>38539.785125347225</v>
      </c>
      <c r="E924" s="301">
        <v>36.687051286096541</v>
      </c>
      <c r="F924" s="302">
        <v>0</v>
      </c>
    </row>
    <row r="925" spans="3:6">
      <c r="C925" s="299">
        <v>922</v>
      </c>
      <c r="D925" s="300">
        <v>38539.785126620372</v>
      </c>
      <c r="E925" s="301">
        <v>-51.486395370609984</v>
      </c>
      <c r="F925" s="302">
        <v>0</v>
      </c>
    </row>
    <row r="926" spans="3:6">
      <c r="C926" s="299">
        <v>923</v>
      </c>
      <c r="D926" s="300">
        <v>38539.785127662035</v>
      </c>
      <c r="E926" s="301">
        <v>34.061370802578828</v>
      </c>
      <c r="F926" s="302">
        <v>0</v>
      </c>
    </row>
    <row r="927" spans="3:6">
      <c r="C927" s="299">
        <v>924</v>
      </c>
      <c r="D927" s="300">
        <v>38539.785128935182</v>
      </c>
      <c r="E927" s="301">
        <v>-5.0639754695916599</v>
      </c>
      <c r="F927" s="302">
        <v>0</v>
      </c>
    </row>
    <row r="928" spans="3:6">
      <c r="C928" s="299">
        <v>925</v>
      </c>
      <c r="D928" s="300">
        <v>38539.785130208336</v>
      </c>
      <c r="E928" s="301">
        <v>-27.667734975969807</v>
      </c>
      <c r="F928" s="302">
        <v>0</v>
      </c>
    </row>
    <row r="929" spans="3:6">
      <c r="C929" s="299">
        <v>926</v>
      </c>
      <c r="D929" s="300">
        <v>38539.785131365737</v>
      </c>
      <c r="E929" s="301">
        <v>9.8372159929748104</v>
      </c>
      <c r="F929" s="302">
        <v>0</v>
      </c>
    </row>
    <row r="930" spans="3:6">
      <c r="C930" s="299">
        <v>927</v>
      </c>
      <c r="D930" s="300">
        <v>38539.785132638892</v>
      </c>
      <c r="E930" s="301">
        <v>39.911262000469073</v>
      </c>
      <c r="F930" s="302">
        <v>0</v>
      </c>
    </row>
    <row r="931" spans="3:6">
      <c r="C931" s="299">
        <v>928</v>
      </c>
      <c r="D931" s="300">
        <v>38539.785133796293</v>
      </c>
      <c r="E931" s="301">
        <v>3.8816506164709335</v>
      </c>
      <c r="F931" s="302">
        <v>0</v>
      </c>
    </row>
    <row r="932" spans="3:6">
      <c r="C932" s="299">
        <v>929</v>
      </c>
      <c r="D932" s="300">
        <v>38539.785134953701</v>
      </c>
      <c r="E932" s="301">
        <v>25.569383819618857</v>
      </c>
      <c r="F932" s="302">
        <v>0</v>
      </c>
    </row>
    <row r="933" spans="3:6">
      <c r="C933" s="299">
        <v>930</v>
      </c>
      <c r="D933" s="300">
        <v>38539.785136226848</v>
      </c>
      <c r="E933" s="301">
        <v>15.923800675235007</v>
      </c>
      <c r="F933" s="302">
        <v>0</v>
      </c>
    </row>
    <row r="934" spans="3:6">
      <c r="C934" s="299">
        <v>931</v>
      </c>
      <c r="D934" s="300">
        <v>38539.785137268518</v>
      </c>
      <c r="E934" s="301">
        <v>43.474487576816969</v>
      </c>
      <c r="F934" s="302">
        <v>0</v>
      </c>
    </row>
    <row r="935" spans="3:6">
      <c r="C935" s="299">
        <v>932</v>
      </c>
      <c r="D935" s="300">
        <v>38539.785138541665</v>
      </c>
      <c r="E935" s="301">
        <v>31.78579327707434</v>
      </c>
      <c r="F935" s="302">
        <v>0</v>
      </c>
    </row>
    <row r="936" spans="3:6">
      <c r="C936" s="299">
        <v>933</v>
      </c>
      <c r="D936" s="300">
        <v>38539.785139814812</v>
      </c>
      <c r="E936" s="301">
        <v>28.538358416335463</v>
      </c>
      <c r="F936" s="302">
        <v>0</v>
      </c>
    </row>
    <row r="937" spans="3:6">
      <c r="C937" s="299">
        <v>934</v>
      </c>
      <c r="D937" s="300">
        <v>38539.785141087959</v>
      </c>
      <c r="E937" s="301">
        <v>31.350683020371157</v>
      </c>
      <c r="F937" s="302">
        <v>0</v>
      </c>
    </row>
    <row r="938" spans="3:6">
      <c r="C938" s="299">
        <v>935</v>
      </c>
      <c r="D938" s="300">
        <v>38539.785142361114</v>
      </c>
      <c r="E938" s="301">
        <v>14.214908777308057</v>
      </c>
      <c r="F938" s="302">
        <v>0</v>
      </c>
    </row>
    <row r="939" spans="3:6">
      <c r="C939" s="299">
        <v>936</v>
      </c>
      <c r="D939" s="300">
        <v>38539.785143402776</v>
      </c>
      <c r="E939" s="301">
        <v>17.861109496331323</v>
      </c>
      <c r="F939" s="302">
        <v>0</v>
      </c>
    </row>
    <row r="940" spans="3:6">
      <c r="C940" s="299">
        <v>937</v>
      </c>
      <c r="D940" s="300">
        <v>38539.785144675923</v>
      </c>
      <c r="E940" s="301">
        <v>-0.30526801917752167</v>
      </c>
      <c r="F940" s="302">
        <v>0</v>
      </c>
    </row>
    <row r="941" spans="3:6">
      <c r="C941" s="299">
        <v>938</v>
      </c>
      <c r="D941" s="300">
        <v>38539.785145949078</v>
      </c>
      <c r="E941" s="301">
        <v>35.399909109916635</v>
      </c>
      <c r="F941" s="302">
        <v>0</v>
      </c>
    </row>
    <row r="942" spans="3:6">
      <c r="C942" s="299">
        <v>939</v>
      </c>
      <c r="D942" s="300">
        <v>38539.785147106479</v>
      </c>
      <c r="E942" s="301">
        <v>7.2402612433903109</v>
      </c>
      <c r="F942" s="302">
        <v>0</v>
      </c>
    </row>
    <row r="943" spans="3:6">
      <c r="C943" s="299">
        <v>940</v>
      </c>
      <c r="D943" s="300">
        <v>38539.785148263887</v>
      </c>
      <c r="E943" s="301">
        <v>42.084526386634799</v>
      </c>
      <c r="F943" s="302">
        <v>0</v>
      </c>
    </row>
    <row r="944" spans="3:6">
      <c r="C944" s="299">
        <v>941</v>
      </c>
      <c r="D944" s="300">
        <v>38539.785149537034</v>
      </c>
      <c r="E944" s="301">
        <v>14.939886006235215</v>
      </c>
      <c r="F944" s="302">
        <v>0</v>
      </c>
    </row>
    <row r="945" spans="3:6">
      <c r="C945" s="299">
        <v>942</v>
      </c>
      <c r="D945" s="300">
        <v>38539.785150810188</v>
      </c>
      <c r="E945" s="301">
        <v>-16.418748832911604</v>
      </c>
      <c r="F945" s="302">
        <v>0</v>
      </c>
    </row>
    <row r="946" spans="3:6">
      <c r="C946" s="299">
        <v>943</v>
      </c>
      <c r="D946" s="300">
        <v>38539.78515196759</v>
      </c>
      <c r="E946" s="301">
        <v>30.991243399223283</v>
      </c>
      <c r="F946" s="302">
        <v>0</v>
      </c>
    </row>
    <row r="947" spans="3:6">
      <c r="C947" s="299">
        <v>944</v>
      </c>
      <c r="D947" s="300">
        <v>38539.785153240744</v>
      </c>
      <c r="E947" s="301">
        <v>12.602055763153066</v>
      </c>
      <c r="F947" s="302">
        <v>0</v>
      </c>
    </row>
    <row r="948" spans="3:6">
      <c r="C948" s="299">
        <v>945</v>
      </c>
      <c r="D948" s="300">
        <v>38539.785154282406</v>
      </c>
      <c r="E948" s="301">
        <v>26.907936530676473</v>
      </c>
      <c r="F948" s="302">
        <v>0</v>
      </c>
    </row>
    <row r="949" spans="3:6">
      <c r="C949" s="299">
        <v>946</v>
      </c>
      <c r="D949" s="300">
        <v>38539.785155555554</v>
      </c>
      <c r="E949" s="301">
        <v>46.716865725135605</v>
      </c>
      <c r="F949" s="302">
        <v>0</v>
      </c>
    </row>
    <row r="950" spans="3:6">
      <c r="C950" s="299">
        <v>947</v>
      </c>
      <c r="D950" s="300">
        <v>38539.785156828701</v>
      </c>
      <c r="E950" s="301">
        <v>-43.601431759402288</v>
      </c>
      <c r="F950" s="302">
        <v>0</v>
      </c>
    </row>
    <row r="951" spans="3:6">
      <c r="C951" s="299">
        <v>948</v>
      </c>
      <c r="D951" s="300">
        <v>38539.78515787037</v>
      </c>
      <c r="E951" s="301">
        <v>-14.568724708616239</v>
      </c>
      <c r="F951" s="302">
        <v>0</v>
      </c>
    </row>
    <row r="952" spans="3:6">
      <c r="C952" s="299">
        <v>949</v>
      </c>
      <c r="D952" s="300">
        <v>38539.785159375002</v>
      </c>
      <c r="E952" s="301">
        <v>32.815528778115741</v>
      </c>
      <c r="F952" s="302">
        <v>0</v>
      </c>
    </row>
    <row r="953" spans="3:6">
      <c r="C953" s="299">
        <v>950</v>
      </c>
      <c r="D953" s="300">
        <v>38539.785160648149</v>
      </c>
      <c r="E953" s="301">
        <v>-31.476738338408811</v>
      </c>
      <c r="F953" s="302">
        <v>0</v>
      </c>
    </row>
    <row r="954" spans="3:6">
      <c r="C954" s="299">
        <v>951</v>
      </c>
      <c r="D954" s="300">
        <v>38539.785161921296</v>
      </c>
      <c r="E954" s="301">
        <v>-14.716960817648514</v>
      </c>
      <c r="F954" s="302">
        <v>0</v>
      </c>
    </row>
    <row r="955" spans="3:6">
      <c r="C955" s="299">
        <v>952</v>
      </c>
      <c r="D955" s="300">
        <v>38539.785163194443</v>
      </c>
      <c r="E955" s="301">
        <v>-5.7037060396991803</v>
      </c>
      <c r="F955" s="302">
        <v>0</v>
      </c>
    </row>
    <row r="956" spans="3:6">
      <c r="C956" s="299">
        <v>953</v>
      </c>
      <c r="D956" s="300">
        <v>38539.78516446759</v>
      </c>
      <c r="E956" s="301">
        <v>69.631573470499859</v>
      </c>
      <c r="F956" s="302">
        <v>0</v>
      </c>
    </row>
    <row r="957" spans="3:6">
      <c r="C957" s="299">
        <v>954</v>
      </c>
      <c r="D957" s="300">
        <v>38539.785165624999</v>
      </c>
      <c r="E957" s="301">
        <v>26.351937125815972</v>
      </c>
      <c r="F957" s="302">
        <v>0</v>
      </c>
    </row>
    <row r="958" spans="3:6">
      <c r="C958" s="299">
        <v>955</v>
      </c>
      <c r="D958" s="300">
        <v>38539.785166898146</v>
      </c>
      <c r="E958" s="301">
        <v>-29.065134547887673</v>
      </c>
      <c r="F958" s="302">
        <v>0</v>
      </c>
    </row>
    <row r="959" spans="3:6">
      <c r="C959" s="299">
        <v>956</v>
      </c>
      <c r="D959" s="300">
        <v>38539.785168171293</v>
      </c>
      <c r="E959" s="301">
        <v>22.863098772042932</v>
      </c>
      <c r="F959" s="302">
        <v>0</v>
      </c>
    </row>
    <row r="960" spans="3:6">
      <c r="C960" s="299">
        <v>957</v>
      </c>
      <c r="D960" s="300">
        <v>38539.785169444447</v>
      </c>
      <c r="E960" s="301">
        <v>2.6786903341241715</v>
      </c>
      <c r="F960" s="302">
        <v>0</v>
      </c>
    </row>
    <row r="961" spans="3:6">
      <c r="C961" s="299">
        <v>958</v>
      </c>
      <c r="D961" s="300">
        <v>38539.785170601848</v>
      </c>
      <c r="E961" s="301">
        <v>-27.516405192387005</v>
      </c>
      <c r="F961" s="302">
        <v>0</v>
      </c>
    </row>
    <row r="962" spans="3:6">
      <c r="C962" s="299">
        <v>959</v>
      </c>
      <c r="D962" s="300">
        <v>38539.785171875003</v>
      </c>
      <c r="E962" s="301">
        <v>32.893003499374245</v>
      </c>
      <c r="F962" s="302">
        <v>0</v>
      </c>
    </row>
    <row r="963" spans="3:6">
      <c r="C963" s="299">
        <v>960</v>
      </c>
      <c r="D963" s="300">
        <v>38539.785173263888</v>
      </c>
      <c r="E963" s="301">
        <v>49.515515665871519</v>
      </c>
      <c r="F963" s="302">
        <v>0</v>
      </c>
    </row>
    <row r="964" spans="3:6">
      <c r="C964" s="299">
        <v>961</v>
      </c>
      <c r="D964" s="300">
        <v>38539.785174537035</v>
      </c>
      <c r="E964" s="301">
        <v>25.036818784307279</v>
      </c>
      <c r="F964" s="302">
        <v>0</v>
      </c>
    </row>
    <row r="965" spans="3:6">
      <c r="C965" s="299">
        <v>962</v>
      </c>
      <c r="D965" s="300">
        <v>38539.785175810182</v>
      </c>
      <c r="E965" s="301">
        <v>45.424720090898063</v>
      </c>
      <c r="F965" s="302">
        <v>0</v>
      </c>
    </row>
    <row r="966" spans="3:6">
      <c r="C966" s="299">
        <v>963</v>
      </c>
      <c r="D966" s="300">
        <v>38539.785176851852</v>
      </c>
      <c r="E966" s="301">
        <v>21.024834268093812</v>
      </c>
      <c r="F966" s="302">
        <v>0</v>
      </c>
    </row>
    <row r="967" spans="3:6">
      <c r="C967" s="299">
        <v>964</v>
      </c>
      <c r="D967" s="300">
        <v>38539.785178124999</v>
      </c>
      <c r="E967" s="301">
        <v>-46.739153652384658</v>
      </c>
      <c r="F967" s="302">
        <v>0</v>
      </c>
    </row>
    <row r="968" spans="3:6">
      <c r="C968" s="299">
        <v>965</v>
      </c>
      <c r="D968" s="300">
        <v>38539.785179398146</v>
      </c>
      <c r="E968" s="301">
        <v>21.783363428409547</v>
      </c>
      <c r="F968" s="302">
        <v>0</v>
      </c>
    </row>
    <row r="969" spans="3:6">
      <c r="C969" s="299">
        <v>966</v>
      </c>
      <c r="D969" s="300">
        <v>38539.785180671293</v>
      </c>
      <c r="E969" s="301">
        <v>-26.693307924685634</v>
      </c>
      <c r="F969" s="302">
        <v>0</v>
      </c>
    </row>
    <row r="970" spans="3:6">
      <c r="C970" s="299">
        <v>967</v>
      </c>
      <c r="D970" s="300">
        <v>38539.785181944448</v>
      </c>
      <c r="E970" s="301">
        <v>20.266603493346498</v>
      </c>
      <c r="F970" s="302">
        <v>0</v>
      </c>
    </row>
    <row r="971" spans="3:6">
      <c r="C971" s="299">
        <v>968</v>
      </c>
      <c r="D971" s="300">
        <v>38539.785183449072</v>
      </c>
      <c r="E971" s="301">
        <v>52.479081671227142</v>
      </c>
      <c r="F971" s="302">
        <v>0</v>
      </c>
    </row>
    <row r="972" spans="3:6">
      <c r="C972" s="299">
        <v>969</v>
      </c>
      <c r="D972" s="300">
        <v>38539.785184490742</v>
      </c>
      <c r="E972" s="301">
        <v>-2.1518681011298355</v>
      </c>
      <c r="F972" s="302">
        <v>0</v>
      </c>
    </row>
    <row r="973" spans="3:6">
      <c r="C973" s="299">
        <v>970</v>
      </c>
      <c r="D973" s="300">
        <v>38539.785185763889</v>
      </c>
      <c r="E973" s="301">
        <v>6.7245589221011208</v>
      </c>
      <c r="F973" s="302">
        <v>0</v>
      </c>
    </row>
    <row r="974" spans="3:6">
      <c r="C974" s="299">
        <v>971</v>
      </c>
      <c r="D974" s="300">
        <v>38539.785187037036</v>
      </c>
      <c r="E974" s="301">
        <v>-3.7787330676231869</v>
      </c>
      <c r="F974" s="302">
        <v>0</v>
      </c>
    </row>
    <row r="975" spans="3:6">
      <c r="C975" s="299">
        <v>972</v>
      </c>
      <c r="D975" s="300">
        <v>38539.785188310183</v>
      </c>
      <c r="E975" s="301">
        <v>-22.233627090471742</v>
      </c>
      <c r="F975" s="302">
        <v>0</v>
      </c>
    </row>
    <row r="976" spans="3:6">
      <c r="C976" s="299">
        <v>973</v>
      </c>
      <c r="D976" s="300">
        <v>38539.785189351853</v>
      </c>
      <c r="E976" s="301">
        <v>15.246100786050258</v>
      </c>
      <c r="F976" s="302">
        <v>0</v>
      </c>
    </row>
    <row r="977" spans="3:6">
      <c r="C977" s="299">
        <v>974</v>
      </c>
      <c r="D977" s="300">
        <v>38539.785190625</v>
      </c>
      <c r="E977" s="301">
        <v>-65.839168086696105</v>
      </c>
      <c r="F977" s="302">
        <v>0</v>
      </c>
    </row>
    <row r="978" spans="3:6">
      <c r="C978" s="299">
        <v>975</v>
      </c>
      <c r="D978" s="300">
        <v>38539.785191898147</v>
      </c>
      <c r="E978" s="301">
        <v>39.791542614322111</v>
      </c>
      <c r="F978" s="302">
        <v>0</v>
      </c>
    </row>
    <row r="979" spans="3:6">
      <c r="C979" s="299">
        <v>976</v>
      </c>
      <c r="D979" s="300">
        <v>38539.785192939817</v>
      </c>
      <c r="E979" s="301">
        <v>-10.844773699080335</v>
      </c>
      <c r="F979" s="302">
        <v>0</v>
      </c>
    </row>
    <row r="980" spans="3:6">
      <c r="C980" s="299">
        <v>977</v>
      </c>
      <c r="D980" s="300">
        <v>38539.785194212964</v>
      </c>
      <c r="E980" s="301">
        <v>17.701003050949353</v>
      </c>
      <c r="F980" s="302">
        <v>0</v>
      </c>
    </row>
    <row r="981" spans="3:6">
      <c r="C981" s="299">
        <v>978</v>
      </c>
      <c r="D981" s="300">
        <v>38539.785195486111</v>
      </c>
      <c r="E981" s="301">
        <v>-16.169379371886656</v>
      </c>
      <c r="F981" s="302">
        <v>0</v>
      </c>
    </row>
    <row r="982" spans="3:6">
      <c r="C982" s="299">
        <v>979</v>
      </c>
      <c r="D982" s="300">
        <v>38539.785196990742</v>
      </c>
      <c r="E982" s="301">
        <v>-55.59292516052718</v>
      </c>
      <c r="F982" s="302">
        <v>0</v>
      </c>
    </row>
    <row r="983" spans="3:6">
      <c r="C983" s="299">
        <v>980</v>
      </c>
      <c r="D983" s="300">
        <v>38539.785198032405</v>
      </c>
      <c r="E983" s="301">
        <v>44.49208948233467</v>
      </c>
      <c r="F983" s="302">
        <v>0</v>
      </c>
    </row>
    <row r="984" spans="3:6">
      <c r="C984" s="299">
        <v>981</v>
      </c>
      <c r="D984" s="300">
        <v>38539.785199305552</v>
      </c>
      <c r="E984" s="301">
        <v>-28.031895791657689</v>
      </c>
      <c r="F984" s="302">
        <v>0</v>
      </c>
    </row>
    <row r="985" spans="3:6">
      <c r="C985" s="299">
        <v>982</v>
      </c>
      <c r="D985" s="300">
        <v>38539.785200578706</v>
      </c>
      <c r="E985" s="301">
        <v>20.239567939041258</v>
      </c>
      <c r="F985" s="302">
        <v>0</v>
      </c>
    </row>
    <row r="986" spans="3:6">
      <c r="C986" s="299">
        <v>983</v>
      </c>
      <c r="D986" s="300">
        <v>38539.785201851853</v>
      </c>
      <c r="E986" s="301">
        <v>22.235686105517871</v>
      </c>
      <c r="F986" s="302">
        <v>0</v>
      </c>
    </row>
    <row r="987" spans="3:6">
      <c r="C987" s="299">
        <v>984</v>
      </c>
      <c r="D987" s="300">
        <v>38539.785202893516</v>
      </c>
      <c r="E987" s="301">
        <v>-24.959231718917266</v>
      </c>
      <c r="F987" s="302">
        <v>0</v>
      </c>
    </row>
    <row r="988" spans="3:6">
      <c r="C988" s="299">
        <v>985</v>
      </c>
      <c r="D988" s="300">
        <v>38539.78520416667</v>
      </c>
      <c r="E988" s="301">
        <v>23.115094155212233</v>
      </c>
      <c r="F988" s="302">
        <v>0</v>
      </c>
    </row>
    <row r="989" spans="3:6">
      <c r="C989" s="299">
        <v>986</v>
      </c>
      <c r="D989" s="300">
        <v>38539.785205439817</v>
      </c>
      <c r="E989" s="301">
        <v>38.692244177849481</v>
      </c>
      <c r="F989" s="302">
        <v>0</v>
      </c>
    </row>
    <row r="990" spans="3:6">
      <c r="C990" s="299">
        <v>987</v>
      </c>
      <c r="D990" s="300">
        <v>38539.785206712964</v>
      </c>
      <c r="E990" s="301">
        <v>45.428169270857495</v>
      </c>
      <c r="F990" s="302">
        <v>0</v>
      </c>
    </row>
    <row r="991" spans="3:6">
      <c r="C991" s="299">
        <v>988</v>
      </c>
      <c r="D991" s="300">
        <v>38539.785207870373</v>
      </c>
      <c r="E991" s="301">
        <v>37.326259691654897</v>
      </c>
      <c r="F991" s="302">
        <v>0</v>
      </c>
    </row>
    <row r="992" spans="3:6">
      <c r="C992" s="299">
        <v>989</v>
      </c>
      <c r="D992" s="300">
        <v>38539.785209027781</v>
      </c>
      <c r="E992" s="301">
        <v>-11.528955666849567</v>
      </c>
      <c r="F992" s="302">
        <v>0</v>
      </c>
    </row>
    <row r="993" spans="3:6">
      <c r="C993" s="299">
        <v>990</v>
      </c>
      <c r="D993" s="300">
        <v>38539.785210300928</v>
      </c>
      <c r="E993" s="301">
        <v>23.785515131285674</v>
      </c>
      <c r="F993" s="302">
        <v>0</v>
      </c>
    </row>
    <row r="994" spans="3:6">
      <c r="C994" s="299">
        <v>991</v>
      </c>
      <c r="D994" s="300">
        <v>38539.785211458337</v>
      </c>
      <c r="E994" s="301">
        <v>26.579108743031476</v>
      </c>
      <c r="F994" s="302">
        <v>0</v>
      </c>
    </row>
    <row r="995" spans="3:6">
      <c r="C995" s="299">
        <v>992</v>
      </c>
      <c r="D995" s="300">
        <v>38539.785212731484</v>
      </c>
      <c r="E995" s="301">
        <v>15.818764383508091</v>
      </c>
      <c r="F995" s="302">
        <v>0</v>
      </c>
    </row>
    <row r="996" spans="3:6">
      <c r="C996" s="299">
        <v>993</v>
      </c>
      <c r="D996" s="300">
        <v>38539.785214004631</v>
      </c>
      <c r="E996" s="301">
        <v>-3.9656727249415202</v>
      </c>
      <c r="F996" s="302">
        <v>0</v>
      </c>
    </row>
    <row r="997" spans="3:6">
      <c r="C997" s="299">
        <v>994</v>
      </c>
      <c r="D997" s="300">
        <v>38539.785215046293</v>
      </c>
      <c r="E997" s="301">
        <v>33.962006634599497</v>
      </c>
      <c r="F997" s="302">
        <v>0</v>
      </c>
    </row>
    <row r="998" spans="3:6">
      <c r="C998" s="299">
        <v>995</v>
      </c>
      <c r="D998" s="300">
        <v>38539.785216319447</v>
      </c>
      <c r="E998" s="301">
        <v>-15.317847945205632</v>
      </c>
      <c r="F998" s="302">
        <v>0</v>
      </c>
    </row>
    <row r="999" spans="3:6">
      <c r="C999" s="299">
        <v>996</v>
      </c>
      <c r="D999" s="300">
        <v>38539.785217592595</v>
      </c>
      <c r="E999" s="301">
        <v>39.567377977231637</v>
      </c>
      <c r="F999" s="302">
        <v>0</v>
      </c>
    </row>
    <row r="1000" spans="3:6">
      <c r="C1000" s="299">
        <v>997</v>
      </c>
      <c r="D1000" s="300">
        <v>38539.785218634257</v>
      </c>
      <c r="E1000" s="301">
        <v>-13.442331258135313</v>
      </c>
      <c r="F1000" s="302">
        <v>0</v>
      </c>
    </row>
    <row r="1001" spans="3:6">
      <c r="C1001" s="299">
        <v>998</v>
      </c>
      <c r="D1001" s="300">
        <v>38539.785219907404</v>
      </c>
      <c r="E1001" s="301">
        <v>72.393143704880089</v>
      </c>
      <c r="F1001" s="302">
        <v>0</v>
      </c>
    </row>
    <row r="1002" spans="3:6">
      <c r="C1002" s="299">
        <v>999</v>
      </c>
      <c r="D1002" s="300">
        <v>38539.785221180558</v>
      </c>
      <c r="E1002" s="301">
        <v>50.308356863658219</v>
      </c>
      <c r="F1002" s="302">
        <v>0</v>
      </c>
    </row>
    <row r="1003" spans="3:6">
      <c r="C1003" s="299">
        <v>1000</v>
      </c>
      <c r="D1003" s="300">
        <v>38539.785222453706</v>
      </c>
      <c r="E1003" s="301">
        <v>-39.508315417759405</v>
      </c>
      <c r="F1003" s="302">
        <v>0</v>
      </c>
    </row>
  </sheetData>
  <sheetProtection sheet="1" objects="1" scenarios="1"/>
  <pageMargins left="0.75" right="0.75" top="1" bottom="1" header="0.5" footer="0.5"/>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103</vt:i4>
      </vt:variant>
    </vt:vector>
  </HeadingPairs>
  <TitlesOfParts>
    <vt:vector size="110" baseType="lpstr">
      <vt:lpstr>Setup</vt:lpstr>
      <vt:lpstr>Introduction</vt:lpstr>
      <vt:lpstr>Policy choices</vt:lpstr>
      <vt:lpstr>Other assumptions</vt:lpstr>
      <vt:lpstr>Analysis - No risk</vt:lpstr>
      <vt:lpstr>Analysis - with risk</vt:lpstr>
      <vt:lpstr>SWPNZPSYWSLKSESPZO</vt:lpstr>
      <vt:lpstr>Assumptions_Other</vt:lpstr>
      <vt:lpstr>Assumptions_Policy</vt:lpstr>
      <vt:lpstr>BilledDemand_Det</vt:lpstr>
      <vt:lpstr>BilledDemand_Risk</vt:lpstr>
      <vt:lpstr>Ch_CoverageData</vt:lpstr>
      <vt:lpstr>Ch_EcDet</vt:lpstr>
      <vt:lpstr>Ch_EcOption</vt:lpstr>
      <vt:lpstr>Ch_EcRisk</vt:lpstr>
      <vt:lpstr>Ch_RiskData</vt:lpstr>
      <vt:lpstr>Ch_RiskFreq</vt:lpstr>
      <vt:lpstr>Ch_RiskTariff</vt:lpstr>
      <vt:lpstr>Collection</vt:lpstr>
      <vt:lpstr>Collection_FC</vt:lpstr>
      <vt:lpstr>Collection_Target</vt:lpstr>
      <vt:lpstr>Collection_TargetYr</vt:lpstr>
      <vt:lpstr>Connections</vt:lpstr>
      <vt:lpstr>Connections_New</vt:lpstr>
      <vt:lpstr>Contract_Length</vt:lpstr>
      <vt:lpstr>CopingCost</vt:lpstr>
      <vt:lpstr>CPI</vt:lpstr>
      <vt:lpstr>Customers_Growth</vt:lpstr>
      <vt:lpstr>Customers_Init</vt:lpstr>
      <vt:lpstr>Default_Other</vt:lpstr>
      <vt:lpstr>Default_Policy</vt:lpstr>
      <vt:lpstr>DeflateFactor_Det</vt:lpstr>
      <vt:lpstr>DeflateFactor_Risk</vt:lpstr>
      <vt:lpstr>DeflateFactor_TariffSetting</vt:lpstr>
      <vt:lpstr>Demand</vt:lpstr>
      <vt:lpstr>Demand_Growth</vt:lpstr>
      <vt:lpstr>Demand_Vol</vt:lpstr>
      <vt:lpstr>DepRate</vt:lpstr>
      <vt:lpstr>DiscountFactor</vt:lpstr>
      <vt:lpstr>DisRate_Cur</vt:lpstr>
      <vt:lpstr>DisRevReq_Det</vt:lpstr>
      <vt:lpstr>ExistTariff_Connected</vt:lpstr>
      <vt:lpstr>ExistTariff_Other</vt:lpstr>
      <vt:lpstr>ExRate_Cur</vt:lpstr>
      <vt:lpstr>ExRate_Growth</vt:lpstr>
      <vt:lpstr>ExRate_Vol</vt:lpstr>
      <vt:lpstr>FreqBin</vt:lpstr>
      <vt:lpstr>Grace_Period</vt:lpstr>
      <vt:lpstr>Inflation</vt:lpstr>
      <vt:lpstr>Inflation_Cur</vt:lpstr>
      <vt:lpstr>Inflation_Det</vt:lpstr>
      <vt:lpstr>Inflation_LT</vt:lpstr>
      <vt:lpstr>Inflation_Risk</vt:lpstr>
      <vt:lpstr>Inflation_Speed</vt:lpstr>
      <vt:lpstr>Inflation_TariffSetting</vt:lpstr>
      <vt:lpstr>Inflation_Vol</vt:lpstr>
      <vt:lpstr>InitAssetBase</vt:lpstr>
      <vt:lpstr>IntRate_Cur</vt:lpstr>
      <vt:lpstr>Invest_Period</vt:lpstr>
      <vt:lpstr>InvestPerConnection</vt:lpstr>
      <vt:lpstr>lbl_Dom</vt:lpstr>
      <vt:lpstr>lbl_Fixed</vt:lpstr>
      <vt:lpstr>lbl_For</vt:lpstr>
      <vt:lpstr>lbl_ForCurrency</vt:lpstr>
      <vt:lpstr>lbl_LocalCurrency</vt:lpstr>
      <vt:lpstr>lbl_ResetTypes</vt:lpstr>
      <vt:lpstr>lbl_Var</vt:lpstr>
      <vt:lpstr>Man_Fee</vt:lpstr>
      <vt:lpstr>MaxYr</vt:lpstr>
      <vt:lpstr>MinDebtRatio</vt:lpstr>
      <vt:lpstr>MonDenomination</vt:lpstr>
      <vt:lpstr>MonDenValue</vt:lpstr>
      <vt:lpstr>NomExRate_Det</vt:lpstr>
      <vt:lpstr>NomExRate_Risk</vt:lpstr>
      <vt:lpstr>Opex_Fixed</vt:lpstr>
      <vt:lpstr>Opex_FixedForeign</vt:lpstr>
      <vt:lpstr>Opex_FixedGrowth</vt:lpstr>
      <vt:lpstr>Opex_Var</vt:lpstr>
      <vt:lpstr>Opex_VarForeign</vt:lpstr>
      <vt:lpstr>Opex_VarGrowth</vt:lpstr>
      <vt:lpstr>PotentialConnections</vt:lpstr>
      <vt:lpstr>RealExRate_Det</vt:lpstr>
      <vt:lpstr>RealExRate_Risk</vt:lpstr>
      <vt:lpstr>RealExRate_TariffSetting</vt:lpstr>
      <vt:lpstr>RevReq_Det</vt:lpstr>
      <vt:lpstr>Risk_Result</vt:lpstr>
      <vt:lpstr>ServExt_CAPct</vt:lpstr>
      <vt:lpstr>ServExt_Debt</vt:lpstr>
      <vt:lpstr>ServExt_LoanIntDen</vt:lpstr>
      <vt:lpstr>ServExt_LoanPct</vt:lpstr>
      <vt:lpstr>ServTarget</vt:lpstr>
      <vt:lpstr>ServTarget_Exist</vt:lpstr>
      <vt:lpstr>ServTarget_FC</vt:lpstr>
      <vt:lpstr>ServTarget_Year</vt:lpstr>
      <vt:lpstr>Sim_Num</vt:lpstr>
      <vt:lpstr>Sim_Time</vt:lpstr>
      <vt:lpstr>SimResults</vt:lpstr>
      <vt:lpstr>Tariff_Period</vt:lpstr>
      <vt:lpstr>TariffIndex_Det</vt:lpstr>
      <vt:lpstr>TariffIndex_Risk</vt:lpstr>
      <vt:lpstr>UFW_CurVal</vt:lpstr>
      <vt:lpstr>UFW_FC</vt:lpstr>
      <vt:lpstr>UFW_Target</vt:lpstr>
      <vt:lpstr>UFW_TargetYr</vt:lpstr>
      <vt:lpstr>WaterDenomination</vt:lpstr>
      <vt:lpstr>WaterDenValue</vt:lpstr>
      <vt:lpstr>WTP_Connection</vt:lpstr>
      <vt:lpstr>WTP_Cope</vt:lpstr>
      <vt:lpstr>WTP_Other</vt:lpstr>
      <vt:lpstr>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Nicolas Fermin Cota</dc:creator>
  <cp:lastModifiedBy>Rafael Nicolas Fermin Cota</cp:lastModifiedBy>
  <dcterms:created xsi:type="dcterms:W3CDTF">2013-11-23T01:58:39Z</dcterms:created>
  <dcterms:modified xsi:type="dcterms:W3CDTF">2019-05-11T20:19:33Z</dcterms:modified>
</cp:coreProperties>
</file>