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filterPrivacy="1" defaultThemeVersion="124226"/>
  <bookViews>
    <workbookView xWindow="0" yWindow="0" windowWidth="10800" windowHeight="6950" activeTab="5"/>
  </bookViews>
  <sheets>
    <sheet name="Title" sheetId="7" r:id="rId1"/>
    <sheet name="Guidelines" sheetId="8" r:id="rId2"/>
    <sheet name="Schematic" sheetId="4" r:id="rId3"/>
    <sheet name="Input Sheet" sheetId="1" r:id="rId4"/>
    <sheet name="Output Calc" sheetId="3" r:id="rId5"/>
    <sheet name="Finance &amp; CBA" sheetId="5" r:id="rId6"/>
  </sheets>
  <calcPr calcId="171027"/>
</workbook>
</file>

<file path=xl/calcChain.xml><?xml version="1.0" encoding="utf-8"?>
<calcChain xmlns="http://schemas.openxmlformats.org/spreadsheetml/2006/main">
  <c r="F5" i="3" l="1"/>
  <c r="H27" i="1"/>
  <c r="I27" i="1"/>
  <c r="J27" i="1"/>
  <c r="K27" i="1"/>
  <c r="L27" i="1"/>
  <c r="M27" i="1"/>
  <c r="N27" i="1"/>
  <c r="O27" i="1"/>
  <c r="P27" i="1"/>
  <c r="G27" i="1"/>
  <c r="H18" i="1"/>
  <c r="I18" i="1"/>
  <c r="J18" i="1"/>
  <c r="K18" i="1"/>
  <c r="L18" i="1"/>
  <c r="M18" i="1"/>
  <c r="N18" i="1"/>
  <c r="O18" i="1"/>
  <c r="P18" i="1"/>
  <c r="G18" i="1"/>
  <c r="B4" i="5" l="1"/>
  <c r="B3" i="5" s="1"/>
  <c r="D4" i="5"/>
  <c r="F26" i="3"/>
  <c r="G29" i="3"/>
  <c r="F32" i="5" s="1"/>
  <c r="D5" i="5" l="1"/>
  <c r="G139" i="1"/>
  <c r="P139" i="1"/>
  <c r="O139" i="1"/>
  <c r="N139" i="1"/>
  <c r="M139" i="1"/>
  <c r="C137" i="1" l="1"/>
  <c r="G45" i="1"/>
  <c r="G44" i="1"/>
  <c r="H44" i="1" s="1"/>
  <c r="I44" i="1" s="1"/>
  <c r="J44" i="1" s="1"/>
  <c r="K44" i="1" s="1"/>
  <c r="L44" i="1" s="1"/>
  <c r="M44" i="1" s="1"/>
  <c r="N44" i="1" s="1"/>
  <c r="O44" i="1" s="1"/>
  <c r="P44" i="1" s="1"/>
  <c r="G43" i="1"/>
  <c r="G42" i="1"/>
  <c r="H42" i="1" s="1"/>
  <c r="I42" i="1" s="1"/>
  <c r="J42" i="1" s="1"/>
  <c r="K42" i="1" s="1"/>
  <c r="L42" i="1" s="1"/>
  <c r="M42" i="1" s="1"/>
  <c r="N42" i="1" s="1"/>
  <c r="O42" i="1" s="1"/>
  <c r="P42" i="1" s="1"/>
  <c r="G30" i="1"/>
  <c r="H30" i="1" s="1"/>
  <c r="I30" i="1" s="1"/>
  <c r="J30" i="1" s="1"/>
  <c r="K30" i="1" s="1"/>
  <c r="L30" i="1" s="1"/>
  <c r="M30" i="1" s="1"/>
  <c r="N30" i="1" s="1"/>
  <c r="O30" i="1" s="1"/>
  <c r="P30" i="1" s="1"/>
  <c r="G29" i="1"/>
  <c r="H29" i="1" s="1"/>
  <c r="I29" i="1" s="1"/>
  <c r="J29" i="1" s="1"/>
  <c r="K29" i="1" s="1"/>
  <c r="L29" i="1" s="1"/>
  <c r="M29" i="1" s="1"/>
  <c r="N29" i="1" s="1"/>
  <c r="O29" i="1" s="1"/>
  <c r="P29" i="1" s="1"/>
  <c r="G28" i="1"/>
  <c r="H28" i="1" s="1"/>
  <c r="I28" i="1" s="1"/>
  <c r="J28" i="1" s="1"/>
  <c r="K28" i="1" s="1"/>
  <c r="L28" i="1" s="1"/>
  <c r="M28" i="1" s="1"/>
  <c r="N28" i="1" s="1"/>
  <c r="O28" i="1" s="1"/>
  <c r="P28" i="1" s="1"/>
  <c r="G26" i="1"/>
  <c r="H26" i="1" s="1"/>
  <c r="I26" i="1" s="1"/>
  <c r="J26" i="1" s="1"/>
  <c r="K26" i="1" s="1"/>
  <c r="L26" i="1" s="1"/>
  <c r="M26" i="1" s="1"/>
  <c r="N26" i="1" s="1"/>
  <c r="O26" i="1" s="1"/>
  <c r="P26" i="1" s="1"/>
  <c r="G25" i="1"/>
  <c r="H25" i="1" s="1"/>
  <c r="I25" i="1" s="1"/>
  <c r="J25" i="1" s="1"/>
  <c r="K25" i="1" s="1"/>
  <c r="L25" i="1" s="1"/>
  <c r="M25" i="1" s="1"/>
  <c r="N25" i="1" s="1"/>
  <c r="O25" i="1" s="1"/>
  <c r="P25" i="1" s="1"/>
  <c r="G24" i="1"/>
  <c r="H24" i="1" s="1"/>
  <c r="I24" i="1" s="1"/>
  <c r="J24" i="1" s="1"/>
  <c r="K24" i="1" s="1"/>
  <c r="L24" i="1" s="1"/>
  <c r="M24" i="1" s="1"/>
  <c r="N24" i="1" s="1"/>
  <c r="O24" i="1" s="1"/>
  <c r="P24" i="1" s="1"/>
  <c r="G23" i="1"/>
  <c r="H23" i="1" s="1"/>
  <c r="I23" i="1" s="1"/>
  <c r="J23" i="1" s="1"/>
  <c r="K23" i="1" s="1"/>
  <c r="L23" i="1" s="1"/>
  <c r="M23" i="1" s="1"/>
  <c r="N23" i="1" s="1"/>
  <c r="O23" i="1" s="1"/>
  <c r="P23" i="1" s="1"/>
  <c r="G19" i="1"/>
  <c r="H19" i="1" s="1"/>
  <c r="I19" i="1" s="1"/>
  <c r="J19" i="1" s="1"/>
  <c r="K19" i="1" s="1"/>
  <c r="L19" i="1" s="1"/>
  <c r="M19" i="1" s="1"/>
  <c r="N19" i="1" s="1"/>
  <c r="O19" i="1" s="1"/>
  <c r="P19" i="1" s="1"/>
  <c r="G17" i="1"/>
  <c r="H17" i="1" s="1"/>
  <c r="I17" i="1" s="1"/>
  <c r="J17" i="1" s="1"/>
  <c r="K17" i="1" s="1"/>
  <c r="L17" i="1" s="1"/>
  <c r="M17" i="1" s="1"/>
  <c r="N17" i="1" s="1"/>
  <c r="O17" i="1" s="1"/>
  <c r="P17" i="1" s="1"/>
  <c r="G16" i="1"/>
  <c r="H16" i="1" s="1"/>
  <c r="I16" i="1" s="1"/>
  <c r="J16" i="1" s="1"/>
  <c r="K16" i="1" s="1"/>
  <c r="L16" i="1" s="1"/>
  <c r="M16" i="1" s="1"/>
  <c r="N16" i="1" s="1"/>
  <c r="O16" i="1" s="1"/>
  <c r="P16" i="1" s="1"/>
  <c r="G15" i="1"/>
  <c r="H15" i="1" s="1"/>
  <c r="I15" i="1" s="1"/>
  <c r="J15" i="1" s="1"/>
  <c r="K15" i="1" s="1"/>
  <c r="L15" i="1" s="1"/>
  <c r="M15" i="1" s="1"/>
  <c r="N15" i="1" s="1"/>
  <c r="O15" i="1" s="1"/>
  <c r="P15" i="1" s="1"/>
  <c r="H43" i="1" l="1"/>
  <c r="G5" i="3"/>
  <c r="H45" i="1"/>
  <c r="G166" i="1"/>
  <c r="N140" i="1"/>
  <c r="N26" i="3" s="1"/>
  <c r="E39" i="5" s="1"/>
  <c r="M140" i="1"/>
  <c r="M26" i="3" s="1"/>
  <c r="E38" i="5" s="1"/>
  <c r="G140" i="1"/>
  <c r="G26" i="3" s="1"/>
  <c r="E32" i="5" s="1"/>
  <c r="O140" i="1"/>
  <c r="O26" i="3" s="1"/>
  <c r="E40" i="5" s="1"/>
  <c r="P140" i="1"/>
  <c r="P26" i="3" s="1"/>
  <c r="E41" i="5" s="1"/>
  <c r="I43" i="1" l="1"/>
  <c r="H5" i="3"/>
  <c r="I45" i="1"/>
  <c r="H166" i="1"/>
  <c r="F10" i="5"/>
  <c r="H29" i="3"/>
  <c r="I29" i="3"/>
  <c r="J29" i="3"/>
  <c r="K29" i="3"/>
  <c r="L29" i="3"/>
  <c r="M29" i="3"/>
  <c r="N29" i="3"/>
  <c r="O29" i="3"/>
  <c r="P29" i="3"/>
  <c r="F29" i="3"/>
  <c r="H31" i="3"/>
  <c r="F31" i="3"/>
  <c r="G31" i="3"/>
  <c r="F30" i="3"/>
  <c r="P22" i="3"/>
  <c r="P21" i="3"/>
  <c r="P20" i="3"/>
  <c r="P19" i="3"/>
  <c r="P18" i="3"/>
  <c r="P17" i="3"/>
  <c r="P16" i="3"/>
  <c r="P15" i="3"/>
  <c r="O22" i="3"/>
  <c r="O21" i="3"/>
  <c r="O20" i="3"/>
  <c r="O19" i="3"/>
  <c r="O18" i="3"/>
  <c r="O17" i="3"/>
  <c r="O16" i="3"/>
  <c r="O15" i="3"/>
  <c r="N22" i="3"/>
  <c r="N21" i="3"/>
  <c r="N20" i="3"/>
  <c r="N19" i="3"/>
  <c r="N18" i="3"/>
  <c r="N17" i="3"/>
  <c r="N16" i="3"/>
  <c r="N15" i="3"/>
  <c r="M22" i="3"/>
  <c r="M21" i="3"/>
  <c r="M20" i="3"/>
  <c r="M19" i="3"/>
  <c r="M18" i="3"/>
  <c r="M17" i="3"/>
  <c r="M16" i="3"/>
  <c r="M15" i="3"/>
  <c r="L22" i="3"/>
  <c r="L21" i="3"/>
  <c r="L20" i="3"/>
  <c r="L19" i="3"/>
  <c r="L18" i="3"/>
  <c r="L17" i="3"/>
  <c r="L16" i="3"/>
  <c r="L15" i="3"/>
  <c r="K22" i="3"/>
  <c r="K21" i="3"/>
  <c r="K20" i="3"/>
  <c r="K19" i="3"/>
  <c r="K18" i="3"/>
  <c r="K17" i="3"/>
  <c r="K16" i="3"/>
  <c r="K15" i="3"/>
  <c r="J22" i="3"/>
  <c r="J21" i="3"/>
  <c r="J20" i="3"/>
  <c r="J19" i="3"/>
  <c r="J18" i="3"/>
  <c r="J17" i="3"/>
  <c r="J16" i="3"/>
  <c r="J15" i="3"/>
  <c r="I22" i="3"/>
  <c r="I21" i="3"/>
  <c r="I20" i="3"/>
  <c r="I19" i="3"/>
  <c r="I18" i="3"/>
  <c r="I17" i="3"/>
  <c r="I16" i="3"/>
  <c r="I15" i="3"/>
  <c r="H22" i="3"/>
  <c r="H21" i="3"/>
  <c r="H20" i="3"/>
  <c r="H19" i="3"/>
  <c r="H18" i="3"/>
  <c r="H17" i="3"/>
  <c r="H16" i="3"/>
  <c r="H15" i="3"/>
  <c r="F22" i="3"/>
  <c r="F21" i="3"/>
  <c r="F20" i="3"/>
  <c r="F19" i="3"/>
  <c r="F18" i="3"/>
  <c r="F17" i="3"/>
  <c r="F16" i="3"/>
  <c r="F15" i="3"/>
  <c r="G22" i="3"/>
  <c r="G21" i="3"/>
  <c r="G20" i="3"/>
  <c r="G19" i="3"/>
  <c r="G18" i="3"/>
  <c r="G17" i="3"/>
  <c r="G16" i="3"/>
  <c r="G15" i="3"/>
  <c r="H31" i="1"/>
  <c r="H10" i="3" s="1"/>
  <c r="I31" i="1"/>
  <c r="I10" i="3" s="1"/>
  <c r="J31" i="1"/>
  <c r="J10" i="3" s="1"/>
  <c r="K31" i="1"/>
  <c r="K10" i="3" s="1"/>
  <c r="L31" i="1"/>
  <c r="L10" i="3" s="1"/>
  <c r="M31" i="1"/>
  <c r="M10" i="3" s="1"/>
  <c r="N31" i="1"/>
  <c r="N10" i="3" s="1"/>
  <c r="O31" i="1"/>
  <c r="O10" i="3" s="1"/>
  <c r="P31" i="1"/>
  <c r="P10" i="3" s="1"/>
  <c r="H20" i="1"/>
  <c r="I20" i="1"/>
  <c r="J20" i="1"/>
  <c r="K20" i="1"/>
  <c r="L20" i="1"/>
  <c r="M20" i="1"/>
  <c r="N20" i="1"/>
  <c r="O20" i="1"/>
  <c r="P20" i="1"/>
  <c r="G31" i="1"/>
  <c r="G10" i="3" s="1"/>
  <c r="G20" i="1"/>
  <c r="F31" i="1"/>
  <c r="F10" i="3" s="1"/>
  <c r="F20" i="1"/>
  <c r="O9" i="3" l="1"/>
  <c r="O162" i="1"/>
  <c r="N9" i="3"/>
  <c r="N162" i="1"/>
  <c r="M9" i="3"/>
  <c r="M162" i="1"/>
  <c r="I9" i="3"/>
  <c r="I162" i="1"/>
  <c r="K9" i="3"/>
  <c r="K162" i="1"/>
  <c r="G9" i="3"/>
  <c r="G162" i="1"/>
  <c r="J9" i="3"/>
  <c r="J162" i="1"/>
  <c r="P9" i="3"/>
  <c r="P162" i="1"/>
  <c r="L9" i="3"/>
  <c r="L162" i="1"/>
  <c r="H9" i="3"/>
  <c r="H162" i="1"/>
  <c r="J43" i="1"/>
  <c r="I5" i="3"/>
  <c r="C11" i="1"/>
  <c r="C12" i="1"/>
  <c r="J45" i="1"/>
  <c r="I166" i="1"/>
  <c r="I31" i="3" s="1"/>
  <c r="J12" i="5" s="1"/>
  <c r="J11" i="5"/>
  <c r="J33" i="5"/>
  <c r="F13" i="5"/>
  <c r="F35" i="5"/>
  <c r="F16" i="5"/>
  <c r="F38" i="5"/>
  <c r="F12" i="5"/>
  <c r="F34" i="5"/>
  <c r="F17" i="5"/>
  <c r="F39" i="5"/>
  <c r="J10" i="5"/>
  <c r="J32" i="5"/>
  <c r="F19" i="5"/>
  <c r="F41" i="5"/>
  <c r="F15" i="5"/>
  <c r="F37" i="5"/>
  <c r="F11" i="5"/>
  <c r="F33" i="5"/>
  <c r="F18" i="5"/>
  <c r="F40" i="5"/>
  <c r="F14" i="5"/>
  <c r="F36" i="5"/>
  <c r="F9" i="3"/>
  <c r="P23" i="3"/>
  <c r="D41" i="5" s="1"/>
  <c r="P11" i="3"/>
  <c r="P47" i="1"/>
  <c r="J34" i="5" l="1"/>
  <c r="O30" i="3"/>
  <c r="K30" i="3"/>
  <c r="G30" i="3"/>
  <c r="N30" i="3"/>
  <c r="J30" i="3"/>
  <c r="M30" i="3"/>
  <c r="I30" i="3"/>
  <c r="P30" i="3"/>
  <c r="L30" i="3"/>
  <c r="H30" i="3"/>
  <c r="K43" i="1"/>
  <c r="J5" i="3"/>
  <c r="K45" i="1"/>
  <c r="J166" i="1"/>
  <c r="J31" i="3" s="1"/>
  <c r="G41" i="5"/>
  <c r="D19" i="5"/>
  <c r="G19" i="5" s="1"/>
  <c r="G47" i="1"/>
  <c r="H47" i="1"/>
  <c r="I47" i="1"/>
  <c r="J47" i="1"/>
  <c r="K47" i="1"/>
  <c r="L47" i="1"/>
  <c r="M47" i="1"/>
  <c r="N47" i="1"/>
  <c r="O47" i="1"/>
  <c r="F47" i="1"/>
  <c r="I19" i="5" l="1"/>
  <c r="I41" i="5"/>
  <c r="I10" i="5"/>
  <c r="K10" i="5" s="1"/>
  <c r="I32" i="5"/>
  <c r="K32" i="5" s="1"/>
  <c r="I11" i="5"/>
  <c r="K11" i="5" s="1"/>
  <c r="I33" i="5"/>
  <c r="K33" i="5" s="1"/>
  <c r="I16" i="5"/>
  <c r="I38" i="5"/>
  <c r="I36" i="5"/>
  <c r="I14" i="5"/>
  <c r="I39" i="5"/>
  <c r="I17" i="5"/>
  <c r="L43" i="1"/>
  <c r="K5" i="3"/>
  <c r="I34" i="5"/>
  <c r="K34" i="5" s="1"/>
  <c r="I12" i="5"/>
  <c r="K12" i="5" s="1"/>
  <c r="I37" i="5"/>
  <c r="I15" i="5"/>
  <c r="I13" i="5"/>
  <c r="I35" i="5"/>
  <c r="I18" i="5"/>
  <c r="I40" i="5"/>
  <c r="J35" i="5"/>
  <c r="J13" i="5"/>
  <c r="K13" i="5" s="1"/>
  <c r="L45" i="1"/>
  <c r="K166" i="1"/>
  <c r="K31" i="3" s="1"/>
  <c r="K32" i="3" s="1"/>
  <c r="G32" i="3"/>
  <c r="H32" i="3"/>
  <c r="I32" i="3"/>
  <c r="J32" i="3"/>
  <c r="F32" i="3"/>
  <c r="G23" i="3"/>
  <c r="D32" i="5" s="1"/>
  <c r="H23" i="3"/>
  <c r="D33" i="5" s="1"/>
  <c r="I23" i="3"/>
  <c r="D34" i="5" s="1"/>
  <c r="J23" i="3"/>
  <c r="D35" i="5" s="1"/>
  <c r="K23" i="3"/>
  <c r="D36" i="5" s="1"/>
  <c r="L23" i="3"/>
  <c r="D37" i="5" s="1"/>
  <c r="M23" i="3"/>
  <c r="D38" i="5" s="1"/>
  <c r="N23" i="3"/>
  <c r="D39" i="5" s="1"/>
  <c r="O23" i="3"/>
  <c r="D40" i="5" s="1"/>
  <c r="F23" i="3"/>
  <c r="G11" i="3"/>
  <c r="H11" i="3"/>
  <c r="I11" i="3"/>
  <c r="J11" i="3"/>
  <c r="K11" i="3"/>
  <c r="L11" i="3"/>
  <c r="M11" i="3"/>
  <c r="N11" i="3"/>
  <c r="O11" i="3"/>
  <c r="F11" i="3"/>
  <c r="K35" i="5" l="1"/>
  <c r="M43" i="1"/>
  <c r="L5" i="3"/>
  <c r="J14" i="5"/>
  <c r="K14" i="5" s="1"/>
  <c r="J36" i="5"/>
  <c r="K36" i="5" s="1"/>
  <c r="M45" i="1"/>
  <c r="L166" i="1"/>
  <c r="L31" i="3" s="1"/>
  <c r="D11" i="5"/>
  <c r="G11" i="5" s="1"/>
  <c r="M11" i="5" s="1"/>
  <c r="G40" i="5"/>
  <c r="D18" i="5"/>
  <c r="G18" i="5" s="1"/>
  <c r="D14" i="5"/>
  <c r="G14" i="5" s="1"/>
  <c r="G32" i="5"/>
  <c r="M32" i="5" s="1"/>
  <c r="D10" i="5"/>
  <c r="D17" i="5"/>
  <c r="G17" i="5" s="1"/>
  <c r="G39" i="5"/>
  <c r="D13" i="5"/>
  <c r="G13" i="5" s="1"/>
  <c r="M13" i="5" s="1"/>
  <c r="D15" i="5"/>
  <c r="G15" i="5" s="1"/>
  <c r="G38" i="5"/>
  <c r="D16" i="5"/>
  <c r="G16" i="5" s="1"/>
  <c r="D12" i="5"/>
  <c r="G12" i="5" s="1"/>
  <c r="M12" i="5" s="1"/>
  <c r="N43" i="1" l="1"/>
  <c r="M5" i="3"/>
  <c r="M14" i="5"/>
  <c r="G10" i="5"/>
  <c r="M10" i="5" s="1"/>
  <c r="D20" i="5"/>
  <c r="C129" i="1" s="1"/>
  <c r="C131" i="1" s="1"/>
  <c r="N45" i="1"/>
  <c r="M166" i="1"/>
  <c r="M31" i="3" s="1"/>
  <c r="J15" i="5"/>
  <c r="K15" i="5" s="1"/>
  <c r="J37" i="5"/>
  <c r="K37" i="5" s="1"/>
  <c r="L32" i="3"/>
  <c r="G22" i="5"/>
  <c r="O43" i="1" l="1"/>
  <c r="N5" i="3"/>
  <c r="C132" i="1"/>
  <c r="L139" i="1" s="1"/>
  <c r="K139" i="1"/>
  <c r="G21" i="5"/>
  <c r="C4" i="5"/>
  <c r="C3" i="5"/>
  <c r="J16" i="5"/>
  <c r="K16" i="5" s="1"/>
  <c r="M16" i="5" s="1"/>
  <c r="J38" i="5"/>
  <c r="K38" i="5" s="1"/>
  <c r="M38" i="5" s="1"/>
  <c r="M32" i="3"/>
  <c r="M15" i="5"/>
  <c r="O45" i="1"/>
  <c r="N166" i="1"/>
  <c r="N31" i="3" s="1"/>
  <c r="H140" i="1" l="1"/>
  <c r="P43" i="1"/>
  <c r="O5" i="3"/>
  <c r="J139" i="1"/>
  <c r="I139" i="1"/>
  <c r="H139" i="1"/>
  <c r="J17" i="5"/>
  <c r="K17" i="5" s="1"/>
  <c r="J39" i="5"/>
  <c r="K39" i="5" s="1"/>
  <c r="M39" i="5" s="1"/>
  <c r="N32" i="3"/>
  <c r="P45" i="1"/>
  <c r="P166" i="1" s="1"/>
  <c r="P31" i="3" s="1"/>
  <c r="O166" i="1"/>
  <c r="O31" i="3" s="1"/>
  <c r="L140" i="1" l="1"/>
  <c r="L26" i="3" s="1"/>
  <c r="E37" i="5" s="1"/>
  <c r="G37" i="5" s="1"/>
  <c r="M37" i="5" s="1"/>
  <c r="P5" i="3"/>
  <c r="K140" i="1"/>
  <c r="K26" i="3" s="1"/>
  <c r="E36" i="5" s="1"/>
  <c r="G36" i="5" s="1"/>
  <c r="M36" i="5" s="1"/>
  <c r="I140" i="1"/>
  <c r="I26" i="3" s="1"/>
  <c r="E34" i="5" s="1"/>
  <c r="G34" i="5" s="1"/>
  <c r="M34" i="5" s="1"/>
  <c r="J140" i="1"/>
  <c r="J26" i="3" s="1"/>
  <c r="E35" i="5" s="1"/>
  <c r="G35" i="5" s="1"/>
  <c r="M35" i="5" s="1"/>
  <c r="H26" i="3"/>
  <c r="E33" i="5" s="1"/>
  <c r="G33" i="5" s="1"/>
  <c r="M33" i="5" s="1"/>
  <c r="J19" i="5"/>
  <c r="K19" i="5" s="1"/>
  <c r="P32" i="3"/>
  <c r="J41" i="5"/>
  <c r="K41" i="5" s="1"/>
  <c r="M41" i="5" s="1"/>
  <c r="J18" i="5"/>
  <c r="K18" i="5" s="1"/>
  <c r="M18" i="5" s="1"/>
  <c r="J40" i="5"/>
  <c r="K40" i="5" s="1"/>
  <c r="M40" i="5" s="1"/>
  <c r="O32" i="3"/>
  <c r="M17" i="5"/>
  <c r="B43" i="5" l="1"/>
  <c r="M19" i="5"/>
  <c r="B24" i="5" s="1"/>
  <c r="K21" i="5"/>
  <c r="B26" i="5"/>
  <c r="K22" i="5"/>
  <c r="B27" i="5" l="1"/>
  <c r="B25" i="5"/>
</calcChain>
</file>

<file path=xl/comments1.xml><?xml version="1.0" encoding="utf-8"?>
<comments xmlns="http://schemas.openxmlformats.org/spreadsheetml/2006/main">
  <authors>
    <author>Author</author>
  </authors>
  <commentList>
    <comment ref="B25" authorId="0" shapeId="0">
      <text>
        <r>
          <rPr>
            <b/>
            <sz val="9"/>
            <color indexed="81"/>
            <rFont val="Tahoma"/>
            <family val="2"/>
            <charset val="204"/>
          </rPr>
          <t>Author:</t>
        </r>
        <r>
          <rPr>
            <sz val="9"/>
            <color indexed="81"/>
            <rFont val="Tahoma"/>
            <family val="2"/>
          </rPr>
          <t xml:space="preserve">
Does not include labour.  Does not include leak repairs under PBC.  See rows 130 and 131.
</t>
        </r>
      </text>
    </comment>
    <comment ref="B42" authorId="0" shapeId="0">
      <text>
        <r>
          <rPr>
            <b/>
            <sz val="9"/>
            <color indexed="81"/>
            <rFont val="Tahoma"/>
            <family val="2"/>
          </rPr>
          <t>Author:</t>
        </r>
        <r>
          <rPr>
            <sz val="9"/>
            <color indexed="81"/>
            <rFont val="Tahoma"/>
            <family val="2"/>
          </rPr>
          <t xml:space="preserve">
Does not include increase billings due to PBC.  See row 145
</t>
        </r>
      </text>
    </comment>
    <comment ref="B144" authorId="0" shapeId="0">
      <text>
        <r>
          <rPr>
            <b/>
            <sz val="9"/>
            <color indexed="81"/>
            <rFont val="Tahoma"/>
            <family val="2"/>
          </rPr>
          <t>Author:</t>
        </r>
        <r>
          <rPr>
            <sz val="9"/>
            <color indexed="81"/>
            <rFont val="Tahoma"/>
            <family val="2"/>
          </rPr>
          <t xml:space="preserve">
All hardcoded data here assume inflation have already been reflected in the values provided</t>
        </r>
      </text>
    </comment>
    <comment ref="B162" authorId="0" shapeId="0">
      <text>
        <r>
          <rPr>
            <b/>
            <sz val="9"/>
            <color indexed="81"/>
            <rFont val="Tahoma"/>
            <charset val="1"/>
          </rPr>
          <t>Author:</t>
        </r>
        <r>
          <rPr>
            <sz val="9"/>
            <color indexed="81"/>
            <rFont val="Tahoma"/>
            <charset val="1"/>
          </rPr>
          <t xml:space="preserve">
This line can refer to the full cost of production if more relevant</t>
        </r>
      </text>
    </comment>
  </commentList>
</comments>
</file>

<file path=xl/sharedStrings.xml><?xml version="1.0" encoding="utf-8"?>
<sst xmlns="http://schemas.openxmlformats.org/spreadsheetml/2006/main" count="373" uniqueCount="200">
  <si>
    <t>UTILITY BASELINE</t>
  </si>
  <si>
    <t>Year 1</t>
  </si>
  <si>
    <t>Year 2</t>
  </si>
  <si>
    <t>Year 3</t>
  </si>
  <si>
    <t>Year 4</t>
  </si>
  <si>
    <t>Year 5</t>
  </si>
  <si>
    <t>Year 6</t>
  </si>
  <si>
    <t>Year 7</t>
  </si>
  <si>
    <t>Year 8</t>
  </si>
  <si>
    <t>Year 9</t>
  </si>
  <si>
    <t>Year 10</t>
  </si>
  <si>
    <t>Water Production</t>
  </si>
  <si>
    <t>Water Distribution</t>
  </si>
  <si>
    <t>Energy</t>
  </si>
  <si>
    <t>Chemicals</t>
  </si>
  <si>
    <t>Labour</t>
  </si>
  <si>
    <t>Depreciation</t>
  </si>
  <si>
    <t>Other</t>
  </si>
  <si>
    <t>Transport</t>
  </si>
  <si>
    <t>IT &amp; Telemetry</t>
  </si>
  <si>
    <t>REVENUE PROFILE</t>
  </si>
  <si>
    <t>m3 billed</t>
  </si>
  <si>
    <t>number of customers (accounts)</t>
  </si>
  <si>
    <t>m3/year</t>
  </si>
  <si>
    <t>USD/year</t>
  </si>
  <si>
    <t>No:</t>
  </si>
  <si>
    <t>Fixed tariff</t>
  </si>
  <si>
    <t>USD/account/year</t>
  </si>
  <si>
    <t>Volumetric tariff</t>
  </si>
  <si>
    <t>USD/m3</t>
  </si>
  <si>
    <t>Total Water Production</t>
  </si>
  <si>
    <t>Total Water Distribution</t>
  </si>
  <si>
    <t>DMA (Zonal) Programme Set-Up</t>
  </si>
  <si>
    <t>Installation of valves (boundary &amp; other)</t>
  </si>
  <si>
    <t>No: of valves</t>
  </si>
  <si>
    <t>USD/unit</t>
  </si>
  <si>
    <t>New chambers (metering)</t>
  </si>
  <si>
    <t>GIS, Modelling, etc.</t>
  </si>
  <si>
    <t>Targeted Replacement of Mains and Connections</t>
  </si>
  <si>
    <t>USD/m</t>
  </si>
  <si>
    <t>length in meters</t>
  </si>
  <si>
    <t>Mains &lt; 150 mm</t>
  </si>
  <si>
    <t>Mains &gt; 300 mm</t>
  </si>
  <si>
    <t>Service Connections (small - domestic)</t>
  </si>
  <si>
    <t>USD/connection</t>
  </si>
  <si>
    <t>Service Connections (large)</t>
  </si>
  <si>
    <t>Valves and Hydrants</t>
  </si>
  <si>
    <t>Other CAPEX in this category</t>
  </si>
  <si>
    <t>Revenue Meters</t>
  </si>
  <si>
    <t>Small meters (&lt;DN 40)</t>
  </si>
  <si>
    <t>USD/meter</t>
  </si>
  <si>
    <t>Mid-size meters (DN40 - DN50)</t>
  </si>
  <si>
    <t>Large meters (&gt;DN 50 flange meters)</t>
  </si>
  <si>
    <t>High-precision meters (combination meters, etc.)</t>
  </si>
  <si>
    <t>Rehab/Replacement of Other Assets</t>
  </si>
  <si>
    <t>Rehabilitation of Reservoirs</t>
  </si>
  <si>
    <t>Rehabilitation of treatment/chlorination facilities</t>
  </si>
  <si>
    <t>No: of chambers</t>
  </si>
  <si>
    <t>Metering/Telemetry sets (flow+pressure+SIM)</t>
  </si>
  <si>
    <t>No: of sets</t>
  </si>
  <si>
    <t>USD/set</t>
  </si>
  <si>
    <t>Construction and installation works</t>
  </si>
  <si>
    <t>IT equipment, phones, etc</t>
  </si>
  <si>
    <t>Other DMA-specific set-up costs</t>
  </si>
  <si>
    <t>GIS Software</t>
  </si>
  <si>
    <t>Modelling Software</t>
  </si>
  <si>
    <t>Data Capture (Field) Activities (Opex to Capex)</t>
  </si>
  <si>
    <t>IT &amp; other specialized equipment</t>
  </si>
  <si>
    <t>Pressure Chambers</t>
  </si>
  <si>
    <t>PRVs (&lt;= 150mm)</t>
  </si>
  <si>
    <t>PRVs (&gt; 150mm)</t>
  </si>
  <si>
    <t>Additional construction and installation works</t>
  </si>
  <si>
    <t>Pressure points and telemetry</t>
  </si>
  <si>
    <t>Software (SCADA, etc.)</t>
  </si>
  <si>
    <t>USD/PRV</t>
  </si>
  <si>
    <t>Transport equipment</t>
  </si>
  <si>
    <t>Office equipment</t>
  </si>
  <si>
    <t>Leak Detection CAPEX</t>
  </si>
  <si>
    <t>Leak detecion van</t>
  </si>
  <si>
    <t>No: of units</t>
  </si>
  <si>
    <t>Other equipment</t>
  </si>
  <si>
    <t>Rehabilitation of other facilities</t>
  </si>
  <si>
    <t>New assets to be costructed</t>
  </si>
  <si>
    <t>Software and systems (incl. PDAs for meter reading)</t>
  </si>
  <si>
    <t>Software (annual fees)</t>
  </si>
  <si>
    <t>DELTA OPEX</t>
  </si>
  <si>
    <t>DELTA OPEX (Deviation from baseline)</t>
  </si>
  <si>
    <t>Other Opex</t>
  </si>
  <si>
    <t>NRW OPEX Increase (operational activities)</t>
  </si>
  <si>
    <t>NRW OPEX Decrease</t>
  </si>
  <si>
    <t>Reduced leaks</t>
  </si>
  <si>
    <t>Reduced physical losses</t>
  </si>
  <si>
    <t>No: leaks (reduced)</t>
  </si>
  <si>
    <t>USD/leak repair</t>
  </si>
  <si>
    <t>m3</t>
  </si>
  <si>
    <t>Cost per m3 (variable cost incl. abstraction fees, energy, etc.)</t>
  </si>
  <si>
    <t>Revenue Increase</t>
  </si>
  <si>
    <t>Increase in billed volumes</t>
  </si>
  <si>
    <t>BASELINE</t>
  </si>
  <si>
    <t>ANNUAL OPEX</t>
  </si>
  <si>
    <t>TOTAL REVENUE</t>
  </si>
  <si>
    <t>Pressure Management Set-up Programme</t>
  </si>
  <si>
    <t>TOTAL DELTA OPEX</t>
  </si>
  <si>
    <t>NRW</t>
  </si>
  <si>
    <t>Year 0</t>
  </si>
  <si>
    <t>Mains between 150 and 300 mm</t>
  </si>
  <si>
    <t>CAPEX</t>
  </si>
  <si>
    <t>Delta OPEX</t>
  </si>
  <si>
    <t>Reduced Costs</t>
  </si>
  <si>
    <t>Increased Revenue</t>
  </si>
  <si>
    <t>Cash Flow</t>
  </si>
  <si>
    <t>PROJECT NPV</t>
  </si>
  <si>
    <t>Incremental Benefit</t>
  </si>
  <si>
    <t>PV Cost</t>
  </si>
  <si>
    <t>PV Benefit</t>
  </si>
  <si>
    <t>Project IRR</t>
  </si>
  <si>
    <t>B/C Ratio</t>
  </si>
  <si>
    <t>Project Only Incremental Costs</t>
  </si>
  <si>
    <t>Other Annual OPEX Costs</t>
  </si>
  <si>
    <t>OPEX-to-CAPEX activities</t>
  </si>
  <si>
    <t>PBC</t>
  </si>
  <si>
    <t>Post PBC</t>
  </si>
  <si>
    <t>Baseline 2017</t>
  </si>
  <si>
    <t>Inflation Factor</t>
  </si>
  <si>
    <t>Input actual or estimated data</t>
  </si>
  <si>
    <t>Formula, but can be replaced by inputted data</t>
  </si>
  <si>
    <t>Average volumetric tariff</t>
  </si>
  <si>
    <t>Assumptions</t>
  </si>
  <si>
    <t>Account Lines</t>
  </si>
  <si>
    <t>Unit Measure</t>
  </si>
  <si>
    <t>Formula</t>
  </si>
  <si>
    <t>System Input Volume</t>
  </si>
  <si>
    <t>number</t>
  </si>
  <si>
    <t>Business-As-Usual Leak Repairs</t>
  </si>
  <si>
    <t>Business-As-Usual (without Project) OPEX Profile</t>
  </si>
  <si>
    <t>Ave Annual Increase/Decrease in Demand</t>
  </si>
  <si>
    <t>Ave Annual Increase/Decrease in Customer Accounts</t>
  </si>
  <si>
    <t>Factor Increase in Fixed Tariff</t>
  </si>
  <si>
    <t>Factor Increase in Volumentric Tarff</t>
  </si>
  <si>
    <t>Others</t>
  </si>
  <si>
    <t>NRW PBC Project CAPEX</t>
  </si>
  <si>
    <t>NRW PBC Project OPEX Increase</t>
  </si>
  <si>
    <t>Amount Principal Loaned in USD</t>
  </si>
  <si>
    <t>Interest Rate per Year</t>
  </si>
  <si>
    <t>No. of Years Grace Period</t>
  </si>
  <si>
    <t>Year Grace Ends</t>
  </si>
  <si>
    <t>Year Loan Taken - Year #</t>
  </si>
  <si>
    <t>NRW PBC Project Financing Expenses</t>
  </si>
  <si>
    <t>Term of Loan in Years</t>
  </si>
  <si>
    <t>Principal</t>
  </si>
  <si>
    <t>Interest</t>
  </si>
  <si>
    <t>Year</t>
  </si>
  <si>
    <t>Capitalized Interest During Grace Period</t>
  </si>
  <si>
    <t>Project Leak Detection</t>
  </si>
  <si>
    <t>Project Leak Repairs (backlog catch-up)</t>
  </si>
  <si>
    <t>Additional Telephones, telemetry, radio frequency fees</t>
  </si>
  <si>
    <t>Leak Repairs (increase from business-as-usual due to detection)</t>
  </si>
  <si>
    <t>PBC Contractor Project Management Fees</t>
  </si>
  <si>
    <t>PBC Contractor Travel and Accommodation</t>
  </si>
  <si>
    <t>PBC Overheads and Other support</t>
  </si>
  <si>
    <t>Post PBC Project Management Costs</t>
  </si>
  <si>
    <t xml:space="preserve"> Additional Labour</t>
  </si>
  <si>
    <t>Additional Transport (incl. fuel)</t>
  </si>
  <si>
    <t>NRW PBC Project Finance Expenses</t>
  </si>
  <si>
    <t>TOTAL NRW PROJECT CAPEX</t>
  </si>
  <si>
    <t>FINANCE</t>
  </si>
  <si>
    <t>SUM Costs</t>
  </si>
  <si>
    <t>SUM Benefits</t>
  </si>
  <si>
    <t>Model # Years</t>
  </si>
  <si>
    <t>Pay Back Period (years)</t>
  </si>
  <si>
    <t>Legend</t>
  </si>
  <si>
    <t xml:space="preserve">Does not include alternative production model; </t>
  </si>
  <si>
    <t>TOTAL NRW PROJECT FINANCE EXPENSES (interest only)</t>
  </si>
  <si>
    <t>Total Project</t>
  </si>
  <si>
    <t>PROJECT IRR</t>
  </si>
  <si>
    <t>EQUITY IRR</t>
  </si>
  <si>
    <t>Project Funding</t>
  </si>
  <si>
    <t xml:space="preserve">  Equity</t>
  </si>
  <si>
    <t xml:space="preserve">  Debt</t>
  </si>
  <si>
    <t>Total Capex</t>
  </si>
  <si>
    <t>% of Debt</t>
  </si>
  <si>
    <t>WACC/Discount Factor</t>
  </si>
  <si>
    <t>% of Funding</t>
  </si>
  <si>
    <t>Amount</t>
  </si>
  <si>
    <t>Cost of Money</t>
  </si>
  <si>
    <t>EQUITY CAPEX</t>
  </si>
  <si>
    <t>Equity IRR</t>
  </si>
  <si>
    <t>Base Year Cost of Production per m3 (full cost)</t>
  </si>
  <si>
    <t>Base Year Cost of Production per m3 (variable cost)</t>
  </si>
  <si>
    <t>TOTAL ANNUAL OPEX (WATER SUPPLY)</t>
  </si>
  <si>
    <r>
      <t xml:space="preserve">NRW PROJECT FINANCIAL MODEL
</t>
    </r>
    <r>
      <rPr>
        <i/>
        <sz val="16"/>
        <color theme="1"/>
        <rFont val="Calibri"/>
        <family val="2"/>
        <charset val="204"/>
        <scheme val="minor"/>
      </rPr>
      <t>Generic Model</t>
    </r>
  </si>
  <si>
    <t>Context and Purpose</t>
  </si>
  <si>
    <t>Organization and Structure</t>
  </si>
  <si>
    <t>Guidelines for filling in the model</t>
  </si>
  <si>
    <t>Version: 2017 - 12 - 09</t>
  </si>
  <si>
    <t>Project/Utility: Name of Utility, Country</t>
  </si>
  <si>
    <t>NRW projects vary significantly from one another based on local conditions.  For the purpose of assessing their financial results, however, they can share similar Capital Expenditure (CAPEX) profiles, and increases/decreases in OPEX  due to the effects of new operational activities that need to be carried out for NRW management and savings from water and fewer leaks as well as revenue generation when commercial losses are tackled.
This model aims to provide a simple, generic structure of project costs and maps these against the utility baseline OPEX in order to assess the financial impact of the project. The ultimate goal of the model is to present the financial metrics of the potential NRW project through generally accepted indicators and concepts such as CBA, IRR, NPV and payback period. The model is used to test whether a particular combination of NRW-related investment conducted as part of a performance-based contract (PBC) result in a "go" or "no go" decision from financial perspective and to help evaluate what needs to be changed in the project design to improve the financial results of the NRW reduction project.</t>
  </si>
  <si>
    <t>No data needed, blank</t>
  </si>
  <si>
    <t>The model is considered straight forward to be completed if there is sufficient data about the existing situation in the utility, the cost structure of the intended NRW measures and a good estimate on their impact. Still, the following guidelines are considered worth paying attention to:
- The model plots variances from a baseline situation. That is why a reliable baseline assessment is needed. For simplicity "baseline" year shall mean the last full year or the last best estimate for the full current year. Extrapolations of monthly data may result in wrong assumptions if they fail to integrate seasonal factors that is why a 12-month period is required.
- The model derives production cost of water based on the baseline cost structure. Full (with depreciation) and variable (inputs costs not including depreciation) production costs are derived: see Input Sheet, Section Business-as-usual OPEX Profile. Further in the model the variable productoin cost is being used to caclulate savings. If, for whatever reason, the full cost is more relevant, please change the formula in Section NRW OPEX Decrease so it refers to the full cost per m3.
- CAPEX shall include in-house work and capitalized items (i.e. OPEX-to-CAPEX elements). CAPEX of a similar type (for example mains construction) that is being implemented for different reasons (i.e. not related to the NRW project) shall not be included.
- Mains, meters, valves are relatively easy to break down in unit costs (per meter, per unit, etc.), however non-standardized assets (such as reservoirs) should better be based on lump-sum annual CAPEX. In case these lump-sum categories can be presented as unit rates multiplied by a number of units (for example: reservoir rehabilitation based on volume), this can be achieved by adding new lines.
- Inflation adjustment is currently done only for the OPEX profile in the existing situation. Sections with OPEX increase/decrease as well as revenue increases are not inflation-adjusted for simplicity and conservativeness.
- All cost structures are kept as short as possible. If a significant additional item needs to be added, it is acceptable to add new lines.
- There are no contingency lines in the cost structures, however there is a line "other" in all sections. Please use that if you want to make an allowance for unknown costs.
- The model is making the assumption that most utilities have a mixed tariff structure, i.e. fixed and volumetric element (Rows 44 and 45 of the input sheet). If there is only a volumetric component, please just keep the fixed tariff element at zero. If there is a more complicated tariff structure (such as different tariff categories) please add lines in the Revenue Profile section.
- Most inputs needed are only required in the Input Sheet and it is intended that simulations (playing out different scenarios) should be carried out by entering data only in  green colored cells.  Grey cells are formula-based, but can be overriden by hard-coded data if necessary.  Most data inputs are needed in the Input Sheet. The only other green cells are in the Finance &amp; CBA Sheet and these are related to the cost of money and number of years assumptions.
- Under its initial form the model is based on 11 years, the first one being the base year, then three years of project implementation and additional 7 post-implementation years. This project structure can be adjusted by changing the project cost elements and impact year by year.</t>
  </si>
  <si>
    <t>The overall strucutre of the model (and its logic) are graphically presented in the sheet called "Schematic". The following aspects are worth noting:
- Attention has been placed on achieving a balance between flexibility and level of detail. The structure of CAPEX activities as well as the list of OPEX elements provides flexibility within the generic cost categories. New lines can be added or, if their impact is less significant, these can be evaluated in the "other" category
- To achieve further flexibility and to allow the users to play with hardcoded scenarios, the grey cells represent formulas that can be replaced by inputted data
- The model is based on the assumption that a utility baseline (i.e. a certain OPEX profile as well as a revenue structure) will be maintained in the long-term if no NRW measures are undertaken. Тhe model simulates the impact of NРW reduction measures and calculates results in the sheet called "Output Calcs".  These calcuations are then summarized in financial KPIs in the ultimate sheet called "Finance &amp; CBA."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</si>
</sst>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8" formatCode="&quot;$&quot;#,##0.00_);[Red]\(&quot;$&quot;#,##0.00\)"/>
    <numFmt numFmtId="44" formatCode="_(&quot;$&quot;* #,##0.00_);_(&quot;$&quot;* \(#,##0.00\);_(&quot;$&quot;* &quot;-&quot;??_);_(@_)"/>
    <numFmt numFmtId="164" formatCode="[$$-540A]#,##0.00"/>
    <numFmt numFmtId="165" formatCode="0.0%"/>
    <numFmt numFmtId="166" formatCode="[$$-540A]#,##0"/>
    <numFmt numFmtId="167" formatCode="_(&quot;$&quot;* #,##0_);_(&quot;$&quot;* \(#,##0\);_(&quot;$&quot;* &quot;-&quot;??_);_(@_)"/>
  </numFmts>
  <fonts count="14" x14ac:knownFonts="1">
    <font>
      <sz val="11"/>
      <color theme="1"/>
      <name val="Calibri"/>
      <family val="2"/>
      <scheme val="minor"/>
    </font>
    <font>
      <b/>
      <sz val="11"/>
      <color theme="1"/>
      <name val="Calibri"/>
      <family val="2"/>
      <charset val="204"/>
      <scheme val="minor"/>
    </font>
    <font>
      <sz val="9"/>
      <color indexed="81"/>
      <name val="Tahoma"/>
      <family val="2"/>
    </font>
    <font>
      <b/>
      <sz val="9"/>
      <color indexed="81"/>
      <name val="Tahoma"/>
      <family val="2"/>
      <charset val="204"/>
    </font>
    <font>
      <b/>
      <sz val="11"/>
      <color theme="1"/>
      <name val="Calibri"/>
      <family val="2"/>
      <scheme val="minor"/>
    </font>
    <font>
      <sz val="11"/>
      <color theme="1"/>
      <name val="Calibri"/>
      <family val="2"/>
      <scheme val="minor"/>
    </font>
    <font>
      <b/>
      <sz val="11"/>
      <color theme="0"/>
      <name val="Calibri"/>
      <family val="2"/>
      <scheme val="minor"/>
    </font>
    <font>
      <b/>
      <sz val="9"/>
      <color indexed="81"/>
      <name val="Tahoma"/>
      <family val="2"/>
    </font>
    <font>
      <b/>
      <sz val="18"/>
      <color theme="1"/>
      <name val="Calibri"/>
      <family val="2"/>
      <scheme val="minor"/>
    </font>
    <font>
      <sz val="26"/>
      <color theme="1"/>
      <name val="Calibri"/>
      <family val="2"/>
      <charset val="204"/>
      <scheme val="minor"/>
    </font>
    <font>
      <i/>
      <sz val="16"/>
      <color theme="1"/>
      <name val="Calibri"/>
      <family val="2"/>
      <charset val="204"/>
      <scheme val="minor"/>
    </font>
    <font>
      <sz val="10"/>
      <color theme="1"/>
      <name val="Calibri"/>
      <family val="2"/>
      <scheme val="minor"/>
    </font>
    <font>
      <sz val="9"/>
      <color indexed="81"/>
      <name val="Tahoma"/>
      <charset val="1"/>
    </font>
    <font>
      <b/>
      <sz val="9"/>
      <color indexed="81"/>
      <name val="Tahoma"/>
      <charset val="1"/>
    </font>
  </fonts>
  <fills count="13">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8"/>
        <bgColor indexed="64"/>
      </patternFill>
    </fill>
    <fill>
      <patternFill patternType="solid">
        <fgColor theme="9"/>
        <bgColor indexed="64"/>
      </patternFill>
    </fill>
    <fill>
      <patternFill patternType="solid">
        <fgColor theme="0"/>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5" fillId="0" borderId="0" applyFont="0" applyFill="0" applyBorder="0" applyAlignment="0" applyProtection="0"/>
  </cellStyleXfs>
  <cellXfs count="116">
    <xf numFmtId="0" fontId="0" fillId="0" borderId="0" xfId="0"/>
    <xf numFmtId="0" fontId="0" fillId="0" borderId="0" xfId="0" applyFont="1"/>
    <xf numFmtId="0" fontId="4" fillId="0" borderId="0" xfId="0" applyFont="1"/>
    <xf numFmtId="0" fontId="4" fillId="0" borderId="0" xfId="0" applyFont="1" applyAlignment="1">
      <alignment horizontal="center"/>
    </xf>
    <xf numFmtId="0" fontId="4" fillId="0" borderId="2" xfId="0" applyFont="1" applyBorder="1"/>
    <xf numFmtId="0" fontId="4" fillId="0" borderId="0" xfId="0" applyFont="1" applyBorder="1"/>
    <xf numFmtId="0" fontId="4" fillId="0" borderId="4" xfId="0" applyFont="1" applyBorder="1"/>
    <xf numFmtId="0" fontId="4" fillId="0" borderId="6" xfId="0" applyFont="1" applyBorder="1"/>
    <xf numFmtId="164" fontId="0" fillId="7" borderId="7" xfId="0" applyNumberFormat="1" applyFont="1" applyFill="1" applyBorder="1"/>
    <xf numFmtId="9" fontId="0" fillId="5" borderId="5" xfId="0" applyNumberFormat="1" applyFont="1" applyFill="1" applyBorder="1"/>
    <xf numFmtId="9" fontId="0" fillId="5" borderId="9" xfId="0" applyNumberFormat="1" applyFont="1" applyFill="1" applyBorder="1"/>
    <xf numFmtId="9" fontId="0" fillId="5" borderId="7" xfId="0" applyNumberFormat="1" applyFont="1" applyFill="1" applyBorder="1"/>
    <xf numFmtId="0" fontId="4" fillId="10" borderId="0" xfId="0" applyFont="1" applyFill="1" applyAlignment="1">
      <alignment horizontal="center"/>
    </xf>
    <xf numFmtId="0" fontId="4" fillId="11" borderId="0" xfId="0" applyFont="1" applyFill="1" applyAlignment="1">
      <alignment horizontal="center"/>
    </xf>
    <xf numFmtId="0" fontId="6" fillId="6" borderId="0" xfId="0" applyFont="1" applyFill="1" applyAlignment="1">
      <alignment horizontal="center"/>
    </xf>
    <xf numFmtId="9" fontId="4" fillId="2" borderId="9" xfId="0" applyNumberFormat="1" applyFont="1" applyFill="1" applyBorder="1"/>
    <xf numFmtId="2" fontId="4" fillId="2" borderId="7" xfId="0" applyNumberFormat="1" applyFont="1" applyFill="1" applyBorder="1"/>
    <xf numFmtId="0" fontId="0" fillId="5" borderId="1" xfId="0" applyFill="1" applyBorder="1"/>
    <xf numFmtId="0" fontId="0" fillId="3" borderId="1" xfId="0" applyFill="1" applyBorder="1"/>
    <xf numFmtId="0" fontId="0" fillId="9" borderId="1" xfId="0" applyFill="1" applyBorder="1"/>
    <xf numFmtId="0" fontId="4" fillId="0" borderId="0" xfId="0" applyFont="1" applyFill="1" applyAlignment="1">
      <alignment horizontal="left"/>
    </xf>
    <xf numFmtId="0" fontId="4" fillId="0" borderId="0" xfId="0" applyFont="1" applyFill="1"/>
    <xf numFmtId="9" fontId="4" fillId="0" borderId="0" xfId="0" applyNumberFormat="1" applyFont="1" applyFill="1" applyBorder="1"/>
    <xf numFmtId="2" fontId="4" fillId="0" borderId="0" xfId="0" applyNumberFormat="1" applyFont="1" applyFill="1" applyBorder="1"/>
    <xf numFmtId="0" fontId="4" fillId="0" borderId="10" xfId="0" applyFont="1" applyBorder="1"/>
    <xf numFmtId="0" fontId="4" fillId="0" borderId="10" xfId="0" applyFont="1" applyFill="1" applyBorder="1"/>
    <xf numFmtId="0" fontId="4" fillId="0" borderId="5" xfId="0" applyFont="1" applyBorder="1"/>
    <xf numFmtId="0" fontId="4" fillId="0" borderId="8" xfId="0" applyFont="1" applyBorder="1"/>
    <xf numFmtId="9" fontId="4" fillId="7" borderId="0" xfId="0" applyNumberFormat="1" applyFont="1" applyFill="1" applyBorder="1"/>
    <xf numFmtId="9" fontId="4" fillId="5" borderId="9" xfId="0" applyNumberFormat="1" applyFont="1" applyFill="1" applyBorder="1"/>
    <xf numFmtId="10" fontId="4" fillId="2" borderId="9" xfId="0" applyNumberFormat="1" applyFont="1" applyFill="1" applyBorder="1"/>
    <xf numFmtId="9" fontId="4" fillId="2" borderId="3" xfId="0" applyNumberFormat="1" applyFont="1" applyFill="1" applyBorder="1"/>
    <xf numFmtId="164" fontId="0" fillId="7" borderId="9" xfId="0" applyNumberFormat="1" applyFont="1" applyFill="1" applyBorder="1"/>
    <xf numFmtId="0" fontId="0" fillId="12" borderId="0" xfId="0" applyFill="1"/>
    <xf numFmtId="0" fontId="8" fillId="12" borderId="0" xfId="0" applyFont="1" applyFill="1"/>
    <xf numFmtId="0" fontId="4" fillId="12" borderId="0" xfId="0" applyFont="1" applyFill="1"/>
    <xf numFmtId="0" fontId="1" fillId="12" borderId="0" xfId="0" applyFont="1" applyFill="1"/>
    <xf numFmtId="0" fontId="0" fillId="12" borderId="1" xfId="0" applyFill="1" applyBorder="1"/>
    <xf numFmtId="164" fontId="0" fillId="2" borderId="0" xfId="0" applyNumberFormat="1" applyFont="1" applyFill="1"/>
    <xf numFmtId="0" fontId="0" fillId="0" borderId="0" xfId="0" applyFont="1" applyAlignment="1">
      <alignment horizontal="right"/>
    </xf>
    <xf numFmtId="0" fontId="4" fillId="4" borderId="0" xfId="0" applyFont="1" applyFill="1"/>
    <xf numFmtId="0" fontId="4" fillId="4" borderId="0" xfId="0" applyFont="1" applyFill="1" applyAlignment="1">
      <alignment horizontal="center"/>
    </xf>
    <xf numFmtId="3" fontId="0" fillId="5" borderId="0" xfId="0" applyNumberFormat="1" applyFont="1" applyFill="1"/>
    <xf numFmtId="0" fontId="4" fillId="3" borderId="0" xfId="0" applyFont="1" applyFill="1"/>
    <xf numFmtId="0" fontId="0" fillId="3" borderId="0" xfId="0" applyFont="1" applyFill="1"/>
    <xf numFmtId="10" fontId="0" fillId="5" borderId="5" xfId="0" applyNumberFormat="1" applyFont="1" applyFill="1" applyBorder="1"/>
    <xf numFmtId="10" fontId="0" fillId="0" borderId="0" xfId="0" applyNumberFormat="1" applyFont="1" applyFill="1" applyBorder="1"/>
    <xf numFmtId="164" fontId="0" fillId="5" borderId="0" xfId="0" applyNumberFormat="1" applyFont="1" applyFill="1"/>
    <xf numFmtId="164" fontId="0" fillId="3" borderId="0" xfId="0" applyNumberFormat="1" applyFont="1" applyFill="1"/>
    <xf numFmtId="0" fontId="4" fillId="0" borderId="0" xfId="0" applyFont="1" applyAlignment="1">
      <alignment horizontal="left"/>
    </xf>
    <xf numFmtId="0" fontId="0" fillId="0" borderId="0" xfId="0" applyFont="1" applyAlignment="1">
      <alignment horizontal="left"/>
    </xf>
    <xf numFmtId="0" fontId="0" fillId="0" borderId="0" xfId="0" applyFont="1" applyFill="1"/>
    <xf numFmtId="0" fontId="4" fillId="0" borderId="4" xfId="0" applyFont="1" applyFill="1" applyBorder="1"/>
    <xf numFmtId="0" fontId="4" fillId="0" borderId="8" xfId="0" applyFont="1" applyFill="1" applyBorder="1"/>
    <xf numFmtId="0" fontId="4" fillId="0" borderId="6" xfId="0" applyFont="1" applyFill="1" applyBorder="1"/>
    <xf numFmtId="3" fontId="0" fillId="7" borderId="0" xfId="0" applyNumberFormat="1" applyFont="1" applyFill="1"/>
    <xf numFmtId="164" fontId="0" fillId="7" borderId="0" xfId="0" applyNumberFormat="1" applyFont="1" applyFill="1"/>
    <xf numFmtId="3" fontId="0" fillId="2" borderId="0" xfId="0" applyNumberFormat="1" applyFont="1" applyFill="1"/>
    <xf numFmtId="3" fontId="0" fillId="0" borderId="0" xfId="0" applyNumberFormat="1" applyFont="1" applyFill="1"/>
    <xf numFmtId="164" fontId="0" fillId="0" borderId="0" xfId="0" applyNumberFormat="1" applyFont="1" applyFill="1"/>
    <xf numFmtId="0" fontId="0" fillId="0" borderId="0" xfId="0" applyFont="1" applyFill="1" applyAlignment="1">
      <alignment horizontal="right"/>
    </xf>
    <xf numFmtId="4" fontId="0" fillId="2" borderId="0" xfId="0" applyNumberFormat="1" applyFont="1" applyFill="1" applyAlignment="1">
      <alignment horizontal="right"/>
    </xf>
    <xf numFmtId="9" fontId="0" fillId="5" borderId="0" xfId="0" applyNumberFormat="1" applyFont="1" applyFill="1" applyAlignment="1">
      <alignment horizontal="right"/>
    </xf>
    <xf numFmtId="8" fontId="0" fillId="2" borderId="0" xfId="0" applyNumberFormat="1" applyFont="1" applyFill="1" applyBorder="1"/>
    <xf numFmtId="8" fontId="0" fillId="7" borderId="0" xfId="0" applyNumberFormat="1" applyFont="1" applyFill="1" applyBorder="1"/>
    <xf numFmtId="10" fontId="0" fillId="5" borderId="0" xfId="0" applyNumberFormat="1" applyFont="1" applyFill="1" applyBorder="1"/>
    <xf numFmtId="0" fontId="0" fillId="5" borderId="0" xfId="0" applyNumberFormat="1" applyFont="1" applyFill="1" applyBorder="1"/>
    <xf numFmtId="0" fontId="0" fillId="2" borderId="0" xfId="0" applyNumberFormat="1" applyFont="1" applyFill="1" applyBorder="1"/>
    <xf numFmtId="166" fontId="0" fillId="7" borderId="0" xfId="0" applyNumberFormat="1" applyFont="1" applyFill="1"/>
    <xf numFmtId="166" fontId="0" fillId="0" borderId="0" xfId="0" applyNumberFormat="1" applyFont="1"/>
    <xf numFmtId="166" fontId="4" fillId="4" borderId="0" xfId="0" applyNumberFormat="1" applyFont="1" applyFill="1"/>
    <xf numFmtId="166" fontId="0" fillId="5" borderId="0" xfId="0" applyNumberFormat="1" applyFont="1" applyFill="1"/>
    <xf numFmtId="166" fontId="0" fillId="0" borderId="0" xfId="0" applyNumberFormat="1" applyFont="1" applyFill="1"/>
    <xf numFmtId="166" fontId="0" fillId="2" borderId="0" xfId="0" applyNumberFormat="1" applyFont="1" applyFill="1"/>
    <xf numFmtId="166" fontId="4" fillId="8" borderId="0" xfId="0" applyNumberFormat="1" applyFont="1" applyFill="1"/>
    <xf numFmtId="166" fontId="4" fillId="0" borderId="0" xfId="0" applyNumberFormat="1" applyFont="1"/>
    <xf numFmtId="3" fontId="4" fillId="0" borderId="0" xfId="0" applyNumberFormat="1" applyFont="1"/>
    <xf numFmtId="167" fontId="4" fillId="2" borderId="0" xfId="1" applyNumberFormat="1" applyFont="1" applyFill="1" applyBorder="1"/>
    <xf numFmtId="0" fontId="0" fillId="0" borderId="0" xfId="0" applyFont="1" applyBorder="1"/>
    <xf numFmtId="165" fontId="4" fillId="2" borderId="9" xfId="0" applyNumberFormat="1" applyFont="1" applyFill="1" applyBorder="1"/>
    <xf numFmtId="0" fontId="4" fillId="5" borderId="11" xfId="0" applyNumberFormat="1" applyFont="1" applyFill="1" applyBorder="1"/>
    <xf numFmtId="0" fontId="4" fillId="0" borderId="11" xfId="0" applyNumberFormat="1" applyFont="1" applyFill="1" applyBorder="1"/>
    <xf numFmtId="0" fontId="0" fillId="0" borderId="7" xfId="0" applyFont="1" applyBorder="1"/>
    <xf numFmtId="0" fontId="4" fillId="0" borderId="0" xfId="0" applyFont="1" applyFill="1" applyAlignment="1">
      <alignment horizontal="center"/>
    </xf>
    <xf numFmtId="0" fontId="4" fillId="0" borderId="0" xfId="0" applyFont="1" applyFill="1" applyAlignment="1">
      <alignment wrapText="1"/>
    </xf>
    <xf numFmtId="3" fontId="0" fillId="0" borderId="0" xfId="0" applyNumberFormat="1" applyFont="1"/>
    <xf numFmtId="3" fontId="4" fillId="0" borderId="0" xfId="0" applyNumberFormat="1" applyFont="1" applyFill="1"/>
    <xf numFmtId="3" fontId="4" fillId="2" borderId="5" xfId="0" applyNumberFormat="1" applyFont="1" applyFill="1" applyBorder="1"/>
    <xf numFmtId="3" fontId="4" fillId="0" borderId="0" xfId="0" applyNumberFormat="1" applyFont="1" applyFill="1" applyBorder="1"/>
    <xf numFmtId="2" fontId="4" fillId="2" borderId="9" xfId="0" applyNumberFormat="1" applyFont="1" applyFill="1" applyBorder="1"/>
    <xf numFmtId="3" fontId="4" fillId="0" borderId="0" xfId="0" applyNumberFormat="1" applyFont="1" applyFill="1" applyAlignment="1">
      <alignment horizontal="center"/>
    </xf>
    <xf numFmtId="3" fontId="4" fillId="11" borderId="0" xfId="0" applyNumberFormat="1" applyFont="1" applyFill="1" applyAlignment="1">
      <alignment horizontal="center"/>
    </xf>
    <xf numFmtId="3" fontId="4" fillId="0" borderId="0" xfId="0" applyNumberFormat="1" applyFont="1" applyAlignment="1">
      <alignment wrapText="1"/>
    </xf>
    <xf numFmtId="0" fontId="9" fillId="12" borderId="4" xfId="0" applyFont="1" applyFill="1" applyBorder="1" applyAlignment="1">
      <alignment horizontal="center" vertical="center" wrapText="1"/>
    </xf>
    <xf numFmtId="0" fontId="0" fillId="12" borderId="10"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0" xfId="0" applyFill="1" applyBorder="1" applyAlignment="1">
      <alignment horizontal="center" vertical="center" wrapText="1"/>
    </xf>
    <xf numFmtId="0" fontId="0" fillId="12" borderId="9"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11" xfId="0" applyFill="1" applyBorder="1" applyAlignment="1">
      <alignment horizontal="center" vertical="center" wrapText="1"/>
    </xf>
    <xf numFmtId="0" fontId="0" fillId="12" borderId="7" xfId="0" applyFill="1" applyBorder="1" applyAlignment="1">
      <alignment horizontal="center" vertical="center" wrapText="1"/>
    </xf>
    <xf numFmtId="0" fontId="1" fillId="12" borderId="12" xfId="0" applyFont="1" applyFill="1" applyBorder="1" applyAlignment="1">
      <alignment horizontal="left" vertical="center" wrapText="1"/>
    </xf>
    <xf numFmtId="0" fontId="1" fillId="12" borderId="13" xfId="0" applyFont="1" applyFill="1" applyBorder="1" applyAlignment="1">
      <alignment horizontal="left" vertical="center" wrapText="1"/>
    </xf>
    <xf numFmtId="0" fontId="1" fillId="12" borderId="14" xfId="0" applyFont="1" applyFill="1" applyBorder="1" applyAlignment="1">
      <alignment horizontal="left" vertical="center" wrapText="1"/>
    </xf>
    <xf numFmtId="0" fontId="11" fillId="12" borderId="15" xfId="0" applyFont="1" applyFill="1" applyBorder="1" applyAlignment="1">
      <alignment horizontal="left" vertical="top" wrapText="1"/>
    </xf>
    <xf numFmtId="0" fontId="11" fillId="12" borderId="16" xfId="0" applyFont="1" applyFill="1" applyBorder="1" applyAlignment="1">
      <alignment horizontal="left" vertical="top" wrapText="1"/>
    </xf>
    <xf numFmtId="0" fontId="11" fillId="12" borderId="17" xfId="0" applyFont="1" applyFill="1" applyBorder="1" applyAlignment="1">
      <alignment horizontal="left" vertical="top" wrapText="1"/>
    </xf>
    <xf numFmtId="0" fontId="11" fillId="12" borderId="18" xfId="0" applyFont="1" applyFill="1" applyBorder="1" applyAlignment="1">
      <alignment horizontal="left" vertical="top" wrapText="1"/>
    </xf>
    <xf numFmtId="0" fontId="11" fillId="12" borderId="0" xfId="0" applyFont="1" applyFill="1" applyBorder="1" applyAlignment="1">
      <alignment horizontal="left" vertical="top" wrapText="1"/>
    </xf>
    <xf numFmtId="0" fontId="11" fillId="12" borderId="19" xfId="0" applyFont="1" applyFill="1" applyBorder="1" applyAlignment="1">
      <alignment horizontal="left" vertical="top" wrapText="1"/>
    </xf>
    <xf numFmtId="0" fontId="11" fillId="12" borderId="20" xfId="0" applyFont="1" applyFill="1" applyBorder="1" applyAlignment="1">
      <alignment horizontal="left" vertical="top" wrapText="1"/>
    </xf>
    <xf numFmtId="0" fontId="11" fillId="12" borderId="21" xfId="0" applyFont="1" applyFill="1" applyBorder="1" applyAlignment="1">
      <alignment horizontal="left" vertical="top" wrapText="1"/>
    </xf>
    <xf numFmtId="0" fontId="11" fillId="12" borderId="22" xfId="0" applyFont="1" applyFill="1" applyBorder="1" applyAlignment="1">
      <alignment horizontal="left" vertical="top" wrapText="1"/>
    </xf>
    <xf numFmtId="0" fontId="4" fillId="11" borderId="0" xfId="0" applyFont="1" applyFill="1" applyAlignment="1">
      <alignment horizontal="center"/>
    </xf>
    <xf numFmtId="3" fontId="4" fillId="11" borderId="0" xfId="0" applyNumberFormat="1" applyFont="1" applyFill="1" applyAlignment="1">
      <alignment horizontal="center"/>
    </xf>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135465</xdr:colOff>
      <xdr:row>0</xdr:row>
      <xdr:rowOff>109009</xdr:rowOff>
    </xdr:from>
    <xdr:to>
      <xdr:col>11</xdr:col>
      <xdr:colOff>421215</xdr:colOff>
      <xdr:row>6</xdr:row>
      <xdr:rowOff>42334</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3204632" y="109009"/>
          <a:ext cx="396875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BASELINE</a:t>
          </a:r>
        </a:p>
        <a:p>
          <a:pPr algn="ctr"/>
          <a:r>
            <a:rPr lang="en-US" sz="1100"/>
            <a:t>------------------</a:t>
          </a:r>
        </a:p>
        <a:p>
          <a:pPr algn="ctr"/>
          <a:r>
            <a:rPr lang="en-US" sz="1100"/>
            <a:t>System Input Volume </a:t>
          </a:r>
          <a:r>
            <a:rPr lang="en-US" sz="1100" baseline="0"/>
            <a:t>(m3)</a:t>
          </a:r>
        </a:p>
        <a:p>
          <a:pPr algn="ctr"/>
          <a:r>
            <a:rPr lang="en-US" sz="1100" baseline="0"/>
            <a:t>Cost Structure ($ OPEX for Production &amp; Distribution)</a:t>
          </a:r>
        </a:p>
        <a:p>
          <a:pPr algn="ctr"/>
          <a:r>
            <a:rPr lang="en-US" sz="1100" baseline="0"/>
            <a:t>Revenue Structure (m3 billed --&gt; $ billed)</a:t>
          </a:r>
          <a:endParaRPr lang="en-US" sz="1100"/>
        </a:p>
      </xdr:txBody>
    </xdr:sp>
    <xdr:clientData/>
  </xdr:twoCellAnchor>
  <xdr:twoCellAnchor>
    <xdr:from>
      <xdr:col>5</xdr:col>
      <xdr:colOff>169331</xdr:colOff>
      <xdr:row>7</xdr:row>
      <xdr:rowOff>104474</xdr:rowOff>
    </xdr:from>
    <xdr:to>
      <xdr:col>11</xdr:col>
      <xdr:colOff>455081</xdr:colOff>
      <xdr:row>14</xdr:row>
      <xdr:rowOff>48383</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3208260" y="1528688"/>
          <a:ext cx="3932464" cy="1213909"/>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1100" b="1"/>
            <a:t>NRW PROJECT</a:t>
          </a:r>
          <a:r>
            <a:rPr lang="en-US" sz="1100" b="1" baseline="0"/>
            <a:t> (CAPEX)</a:t>
          </a:r>
          <a:endParaRPr lang="en-US" sz="1100" b="1"/>
        </a:p>
        <a:p>
          <a:pPr algn="ctr"/>
          <a:r>
            <a:rPr lang="en-US" sz="1100"/>
            <a:t>------------------</a:t>
          </a:r>
        </a:p>
        <a:p>
          <a:pPr algn="ctr"/>
          <a:r>
            <a:rPr lang="en-US" sz="1100" baseline="0"/>
            <a:t>Set-up of zones, GIS, modelling, pressure management</a:t>
          </a:r>
        </a:p>
        <a:p>
          <a:pPr algn="ctr"/>
          <a:r>
            <a:rPr lang="en-US" sz="1100" baseline="0"/>
            <a:t>Capital replacement/rehab &amp; new assets</a:t>
          </a:r>
        </a:p>
        <a:p>
          <a:pPr algn="ctr"/>
          <a:r>
            <a:rPr lang="en-US" sz="1100" baseline="0"/>
            <a:t>Revenue meters</a:t>
          </a:r>
        </a:p>
        <a:p>
          <a:pPr algn="ctr"/>
          <a:r>
            <a:rPr lang="en-US" sz="1100" baseline="0"/>
            <a:t>Other (IT, transport, etc.)</a:t>
          </a:r>
        </a:p>
        <a:p>
          <a:pPr algn="ctr"/>
          <a:endParaRPr lang="en-US" sz="1100" baseline="0"/>
        </a:p>
      </xdr:txBody>
    </xdr:sp>
    <xdr:clientData/>
  </xdr:twoCellAnchor>
  <xdr:twoCellAnchor>
    <xdr:from>
      <xdr:col>5</xdr:col>
      <xdr:colOff>194731</xdr:colOff>
      <xdr:row>22</xdr:row>
      <xdr:rowOff>166158</xdr:rowOff>
    </xdr:from>
    <xdr:to>
      <xdr:col>11</xdr:col>
      <xdr:colOff>480481</xdr:colOff>
      <xdr:row>31</xdr:row>
      <xdr:rowOff>10583</xdr:rowOff>
    </xdr:to>
    <xdr:sp macro="" textlink="">
      <xdr:nvSpPr>
        <xdr:cNvPr id="4" name="Rounded Rectangle 3">
          <a:extLst>
            <a:ext uri="{FF2B5EF4-FFF2-40B4-BE49-F238E27FC236}">
              <a16:creationId xmlns:a16="http://schemas.microsoft.com/office/drawing/2014/main" id="{00000000-0008-0000-0000-000004000000}"/>
            </a:ext>
          </a:extLst>
        </xdr:cNvPr>
        <xdr:cNvSpPr/>
      </xdr:nvSpPr>
      <xdr:spPr>
        <a:xfrm>
          <a:off x="3263898" y="2833158"/>
          <a:ext cx="3968750" cy="15589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US" sz="1100" b="1"/>
            <a:t>IMPROVED SITUATION</a:t>
          </a:r>
        </a:p>
        <a:p>
          <a:pPr algn="ctr"/>
          <a:r>
            <a:rPr lang="en-US" sz="1100"/>
            <a:t>------------------</a:t>
          </a:r>
          <a:endParaRPr lang="en-US" sz="1100" baseline="0"/>
        </a:p>
        <a:p>
          <a:pPr algn="ctr"/>
          <a:r>
            <a:rPr lang="en-US" sz="1100" baseline="0"/>
            <a:t>OPEX to maintain "new mode of operation" (Delta Opex means "increase")</a:t>
          </a:r>
        </a:p>
        <a:p>
          <a:pPr algn="ctr"/>
          <a:r>
            <a:rPr lang="en-US" sz="1100" baseline="0"/>
            <a:t>Cost savings from reduced physical losses (Delta Opex means "decrease")</a:t>
          </a:r>
        </a:p>
        <a:p>
          <a:pPr algn="ctr"/>
          <a:r>
            <a:rPr lang="en-US" sz="1100" baseline="0"/>
            <a:t>Revenue Increase (Increased billed revenue due to commercial losses converted into billed revenue)</a:t>
          </a:r>
          <a:endParaRPr lang="en-US" sz="1100"/>
        </a:p>
      </xdr:txBody>
    </xdr:sp>
    <xdr:clientData/>
  </xdr:twoCellAnchor>
  <xdr:twoCellAnchor>
    <xdr:from>
      <xdr:col>1</xdr:col>
      <xdr:colOff>211667</xdr:colOff>
      <xdr:row>1</xdr:row>
      <xdr:rowOff>60324</xdr:rowOff>
    </xdr:from>
    <xdr:to>
      <xdr:col>4</xdr:col>
      <xdr:colOff>402167</xdr:colOff>
      <xdr:row>5</xdr:row>
      <xdr:rowOff>63499</xdr:rowOff>
    </xdr:to>
    <xdr:sp macro="" textlink="">
      <xdr:nvSpPr>
        <xdr:cNvPr id="5" name="Rounded Rectangle 4">
          <a:extLst>
            <a:ext uri="{FF2B5EF4-FFF2-40B4-BE49-F238E27FC236}">
              <a16:creationId xmlns:a16="http://schemas.microsoft.com/office/drawing/2014/main" id="{00000000-0008-0000-0000-000005000000}"/>
            </a:ext>
          </a:extLst>
        </xdr:cNvPr>
        <xdr:cNvSpPr/>
      </xdr:nvSpPr>
      <xdr:spPr>
        <a:xfrm>
          <a:off x="825500" y="250824"/>
          <a:ext cx="2032000" cy="765175"/>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t>A:</a:t>
          </a:r>
          <a:r>
            <a:rPr lang="en-US" sz="1800" b="1" baseline="0"/>
            <a:t> </a:t>
          </a:r>
          <a:r>
            <a:rPr lang="en-US" sz="1800" b="1"/>
            <a:t>AS IS</a:t>
          </a:r>
          <a:r>
            <a:rPr lang="en-US" sz="1800" b="1" baseline="0"/>
            <a:t> -</a:t>
          </a:r>
          <a:r>
            <a:rPr lang="en-US" sz="1800" b="1"/>
            <a:t> UTILITY</a:t>
          </a:r>
          <a:r>
            <a:rPr lang="en-US" sz="1800" b="1" baseline="0"/>
            <a:t> NOW</a:t>
          </a:r>
          <a:endParaRPr lang="en-US" sz="1800"/>
        </a:p>
      </xdr:txBody>
    </xdr:sp>
    <xdr:clientData/>
  </xdr:twoCellAnchor>
  <xdr:twoCellAnchor>
    <xdr:from>
      <xdr:col>1</xdr:col>
      <xdr:colOff>78318</xdr:colOff>
      <xdr:row>8</xdr:row>
      <xdr:rowOff>149224</xdr:rowOff>
    </xdr:from>
    <xdr:to>
      <xdr:col>4</xdr:col>
      <xdr:colOff>486834</xdr:colOff>
      <xdr:row>12</xdr:row>
      <xdr:rowOff>152399</xdr:rowOff>
    </xdr:to>
    <xdr:sp macro="" textlink="">
      <xdr:nvSpPr>
        <xdr:cNvPr id="6" name="Rounded Rectangle 5">
          <a:extLst>
            <a:ext uri="{FF2B5EF4-FFF2-40B4-BE49-F238E27FC236}">
              <a16:creationId xmlns:a16="http://schemas.microsoft.com/office/drawing/2014/main" id="{00000000-0008-0000-0000-000006000000}"/>
            </a:ext>
          </a:extLst>
        </xdr:cNvPr>
        <xdr:cNvSpPr/>
      </xdr:nvSpPr>
      <xdr:spPr>
        <a:xfrm>
          <a:off x="692151" y="1673224"/>
          <a:ext cx="2250016" cy="765175"/>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t>B: NRW PROJECT IMPLEMENTATION</a:t>
          </a:r>
          <a:endParaRPr lang="en-US" sz="1800"/>
        </a:p>
      </xdr:txBody>
    </xdr:sp>
    <xdr:clientData/>
  </xdr:twoCellAnchor>
  <xdr:twoCellAnchor>
    <xdr:from>
      <xdr:col>0</xdr:col>
      <xdr:colOff>611717</xdr:colOff>
      <xdr:row>24</xdr:row>
      <xdr:rowOff>89958</xdr:rowOff>
    </xdr:from>
    <xdr:to>
      <xdr:col>4</xdr:col>
      <xdr:colOff>406400</xdr:colOff>
      <xdr:row>28</xdr:row>
      <xdr:rowOff>93133</xdr:rowOff>
    </xdr:to>
    <xdr:sp macro="" textlink="">
      <xdr:nvSpPr>
        <xdr:cNvPr id="7" name="Rounded Rectangle 6">
          <a:extLst>
            <a:ext uri="{FF2B5EF4-FFF2-40B4-BE49-F238E27FC236}">
              <a16:creationId xmlns:a16="http://schemas.microsoft.com/office/drawing/2014/main" id="{00000000-0008-0000-0000-000007000000}"/>
            </a:ext>
          </a:extLst>
        </xdr:cNvPr>
        <xdr:cNvSpPr/>
      </xdr:nvSpPr>
      <xdr:spPr>
        <a:xfrm>
          <a:off x="611717" y="3137958"/>
          <a:ext cx="2250016" cy="765175"/>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t>C: UTILITY</a:t>
          </a:r>
          <a:r>
            <a:rPr lang="en-US" sz="1800" b="1" baseline="0"/>
            <a:t> AFTER IMPLEMENTATION</a:t>
          </a:r>
          <a:endParaRPr lang="en-US" sz="1800"/>
        </a:p>
      </xdr:txBody>
    </xdr:sp>
    <xdr:clientData/>
  </xdr:twoCellAnchor>
  <xdr:twoCellAnchor>
    <xdr:from>
      <xdr:col>2</xdr:col>
      <xdr:colOff>359833</xdr:colOff>
      <xdr:row>6</xdr:row>
      <xdr:rowOff>52917</xdr:rowOff>
    </xdr:from>
    <xdr:to>
      <xdr:col>3</xdr:col>
      <xdr:colOff>148166</xdr:colOff>
      <xdr:row>8</xdr:row>
      <xdr:rowOff>0</xdr:rowOff>
    </xdr:to>
    <xdr:sp macro="" textlink="">
      <xdr:nvSpPr>
        <xdr:cNvPr id="8" name="Down Arrow 7">
          <a:extLst>
            <a:ext uri="{FF2B5EF4-FFF2-40B4-BE49-F238E27FC236}">
              <a16:creationId xmlns:a16="http://schemas.microsoft.com/office/drawing/2014/main" id="{00000000-0008-0000-0000-000008000000}"/>
            </a:ext>
          </a:extLst>
        </xdr:cNvPr>
        <xdr:cNvSpPr/>
      </xdr:nvSpPr>
      <xdr:spPr>
        <a:xfrm>
          <a:off x="1587500" y="1195917"/>
          <a:ext cx="402166" cy="32808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289983</xdr:colOff>
      <xdr:row>21</xdr:row>
      <xdr:rowOff>120650</xdr:rowOff>
    </xdr:from>
    <xdr:to>
      <xdr:col>3</xdr:col>
      <xdr:colOff>78316</xdr:colOff>
      <xdr:row>23</xdr:row>
      <xdr:rowOff>67733</xdr:rowOff>
    </xdr:to>
    <xdr:sp macro="" textlink="">
      <xdr:nvSpPr>
        <xdr:cNvPr id="9" name="Down Arrow 8">
          <a:extLst>
            <a:ext uri="{FF2B5EF4-FFF2-40B4-BE49-F238E27FC236}">
              <a16:creationId xmlns:a16="http://schemas.microsoft.com/office/drawing/2014/main" id="{00000000-0008-0000-0000-000009000000}"/>
            </a:ext>
          </a:extLst>
        </xdr:cNvPr>
        <xdr:cNvSpPr/>
      </xdr:nvSpPr>
      <xdr:spPr>
        <a:xfrm>
          <a:off x="1517650" y="2597150"/>
          <a:ext cx="402166" cy="32808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3931</xdr:colOff>
      <xdr:row>24</xdr:row>
      <xdr:rowOff>80887</xdr:rowOff>
    </xdr:from>
    <xdr:to>
      <xdr:col>4</xdr:col>
      <xdr:colOff>406400</xdr:colOff>
      <xdr:row>28</xdr:row>
      <xdr:rowOff>84062</xdr:rowOff>
    </xdr:to>
    <xdr:sp macro="" textlink="">
      <xdr:nvSpPr>
        <xdr:cNvPr id="10" name="Rounded Rectangle 6">
          <a:extLst>
            <a:ext uri="{FF2B5EF4-FFF2-40B4-BE49-F238E27FC236}">
              <a16:creationId xmlns:a16="http://schemas.microsoft.com/office/drawing/2014/main" id="{4EA42835-265E-481C-A2BB-106F2299B6BD}"/>
            </a:ext>
          </a:extLst>
        </xdr:cNvPr>
        <xdr:cNvSpPr/>
      </xdr:nvSpPr>
      <xdr:spPr>
        <a:xfrm>
          <a:off x="611717" y="3137958"/>
          <a:ext cx="2225826" cy="72889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t>D: UTILITY</a:t>
          </a:r>
          <a:r>
            <a:rPr lang="en-US" sz="1800" b="1" baseline="0"/>
            <a:t> AFTER IMPLEMENTATION</a:t>
          </a:r>
          <a:endParaRPr lang="en-US" sz="1800"/>
        </a:p>
      </xdr:txBody>
    </xdr:sp>
    <xdr:clientData/>
  </xdr:twoCellAnchor>
  <xdr:twoCellAnchor>
    <xdr:from>
      <xdr:col>2</xdr:col>
      <xdr:colOff>120045</xdr:colOff>
      <xdr:row>32</xdr:row>
      <xdr:rowOff>70001</xdr:rowOff>
    </xdr:from>
    <xdr:to>
      <xdr:col>11</xdr:col>
      <xdr:colOff>136070</xdr:colOff>
      <xdr:row>34</xdr:row>
      <xdr:rowOff>36286</xdr:rowOff>
    </xdr:to>
    <xdr:sp macro="" textlink="">
      <xdr:nvSpPr>
        <xdr:cNvPr id="11" name="Rounded Rectangle 6">
          <a:extLst>
            <a:ext uri="{FF2B5EF4-FFF2-40B4-BE49-F238E27FC236}">
              <a16:creationId xmlns:a16="http://schemas.microsoft.com/office/drawing/2014/main" id="{10926047-2CBF-49E9-9F65-3A6B8BC77E51}"/>
            </a:ext>
          </a:extLst>
        </xdr:cNvPr>
        <xdr:cNvSpPr/>
      </xdr:nvSpPr>
      <xdr:spPr>
        <a:xfrm>
          <a:off x="1335616" y="4578501"/>
          <a:ext cx="5486097" cy="329142"/>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t>F: BOTTOM LINE:</a:t>
          </a:r>
          <a:endParaRPr lang="en-US" sz="1800"/>
        </a:p>
      </xdr:txBody>
    </xdr:sp>
    <xdr:clientData/>
  </xdr:twoCellAnchor>
  <xdr:twoCellAnchor>
    <xdr:from>
      <xdr:col>1</xdr:col>
      <xdr:colOff>317501</xdr:colOff>
      <xdr:row>35</xdr:row>
      <xdr:rowOff>21017</xdr:rowOff>
    </xdr:from>
    <xdr:to>
      <xdr:col>11</xdr:col>
      <xdr:colOff>498928</xdr:colOff>
      <xdr:row>39</xdr:row>
      <xdr:rowOff>163286</xdr:rowOff>
    </xdr:to>
    <xdr:sp macro="" textlink="">
      <xdr:nvSpPr>
        <xdr:cNvPr id="12" name="Rounded Rectangle 2">
          <a:extLst>
            <a:ext uri="{FF2B5EF4-FFF2-40B4-BE49-F238E27FC236}">
              <a16:creationId xmlns:a16="http://schemas.microsoft.com/office/drawing/2014/main" id="{21220812-9229-49F4-89FF-A7A9A028C701}"/>
            </a:ext>
          </a:extLst>
        </xdr:cNvPr>
        <xdr:cNvSpPr/>
      </xdr:nvSpPr>
      <xdr:spPr>
        <a:xfrm>
          <a:off x="925287" y="5073803"/>
          <a:ext cx="6259284" cy="867983"/>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100" b="1"/>
            <a:t>FINANCIAL</a:t>
          </a:r>
          <a:r>
            <a:rPr lang="en-US" sz="1100" b="1" baseline="0"/>
            <a:t> METRICS OF THE PROJECT</a:t>
          </a:r>
          <a:endParaRPr lang="en-US" sz="1100" b="1"/>
        </a:p>
        <a:p>
          <a:pPr algn="ctr"/>
          <a:r>
            <a:rPr lang="en-US" sz="1100"/>
            <a:t>------------------</a:t>
          </a:r>
          <a:endParaRPr lang="en-US" sz="1100" baseline="0"/>
        </a:p>
        <a:p>
          <a:pPr algn="ctr"/>
          <a:r>
            <a:rPr lang="en-US" sz="1100" baseline="0"/>
            <a:t>Incremental costs and benefits summarized into a CBA analysis</a:t>
          </a:r>
        </a:p>
        <a:p>
          <a:pPr algn="ctr"/>
          <a:r>
            <a:rPr lang="en-US" sz="1100" baseline="0"/>
            <a:t>Generic financial KPIs/ratios derived: IRR, Equity Rate of Return, NPV and Payback Period</a:t>
          </a:r>
          <a:endParaRPr lang="en-US" sz="1100"/>
        </a:p>
      </xdr:txBody>
    </xdr:sp>
    <xdr:clientData/>
  </xdr:twoCellAnchor>
  <xdr:twoCellAnchor>
    <xdr:from>
      <xdr:col>5</xdr:col>
      <xdr:colOff>182032</xdr:colOff>
      <xdr:row>15</xdr:row>
      <xdr:rowOff>171601</xdr:rowOff>
    </xdr:from>
    <xdr:to>
      <xdr:col>11</xdr:col>
      <xdr:colOff>467782</xdr:colOff>
      <xdr:row>21</xdr:row>
      <xdr:rowOff>0</xdr:rowOff>
    </xdr:to>
    <xdr:sp macro="" textlink="">
      <xdr:nvSpPr>
        <xdr:cNvPr id="13" name="Rounded Rectangle 3">
          <a:extLst>
            <a:ext uri="{FF2B5EF4-FFF2-40B4-BE49-F238E27FC236}">
              <a16:creationId xmlns:a16="http://schemas.microsoft.com/office/drawing/2014/main" id="{77C0E17F-4D3F-4355-84CD-7FEB3FE14E93}"/>
            </a:ext>
          </a:extLst>
        </xdr:cNvPr>
        <xdr:cNvSpPr/>
      </xdr:nvSpPr>
      <xdr:spPr>
        <a:xfrm>
          <a:off x="3175603" y="3110744"/>
          <a:ext cx="3878036" cy="938742"/>
        </a:xfrm>
        <a:prstGeom prst="roundRect">
          <a:avLst/>
        </a:prstGeom>
        <a:solidFill>
          <a:schemeClr val="accent6"/>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US" sz="1100" b="1"/>
            <a:t>NRW</a:t>
          </a:r>
          <a:r>
            <a:rPr lang="en-US" sz="1100" b="1" baseline="0"/>
            <a:t> PROJECT (FINANCING)</a:t>
          </a:r>
          <a:endParaRPr lang="en-US" sz="1100" b="1"/>
        </a:p>
        <a:p>
          <a:pPr algn="ctr"/>
          <a:r>
            <a:rPr lang="en-US" sz="1100"/>
            <a:t>------------------</a:t>
          </a:r>
          <a:endParaRPr lang="en-US" sz="1100" baseline="0"/>
        </a:p>
        <a:p>
          <a:pPr algn="ctr"/>
          <a:r>
            <a:rPr lang="en-US" sz="1100" baseline="0"/>
            <a:t>Principal and interest calculations if using debt finance</a:t>
          </a:r>
          <a:endParaRPr lang="en-US" sz="1100"/>
        </a:p>
      </xdr:txBody>
    </xdr:sp>
    <xdr:clientData/>
  </xdr:twoCellAnchor>
  <xdr:twoCellAnchor>
    <xdr:from>
      <xdr:col>2</xdr:col>
      <xdr:colOff>299055</xdr:colOff>
      <xdr:row>13</xdr:row>
      <xdr:rowOff>28121</xdr:rowOff>
    </xdr:from>
    <xdr:to>
      <xdr:col>3</xdr:col>
      <xdr:colOff>87388</xdr:colOff>
      <xdr:row>14</xdr:row>
      <xdr:rowOff>160261</xdr:rowOff>
    </xdr:to>
    <xdr:sp macro="" textlink="">
      <xdr:nvSpPr>
        <xdr:cNvPr id="14" name="Down Arrow 8">
          <a:extLst>
            <a:ext uri="{FF2B5EF4-FFF2-40B4-BE49-F238E27FC236}">
              <a16:creationId xmlns:a16="http://schemas.microsoft.com/office/drawing/2014/main" id="{81F8F9B2-23DB-44F4-A5D5-97F70B9F32BF}"/>
            </a:ext>
          </a:extLst>
        </xdr:cNvPr>
        <xdr:cNvSpPr/>
      </xdr:nvSpPr>
      <xdr:spPr>
        <a:xfrm>
          <a:off x="1496484" y="2597150"/>
          <a:ext cx="387047" cy="31719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13003</xdr:colOff>
      <xdr:row>15</xdr:row>
      <xdr:rowOff>173415</xdr:rowOff>
    </xdr:from>
    <xdr:to>
      <xdr:col>4</xdr:col>
      <xdr:colOff>415472</xdr:colOff>
      <xdr:row>19</xdr:row>
      <xdr:rowOff>176591</xdr:rowOff>
    </xdr:to>
    <xdr:sp macro="" textlink="">
      <xdr:nvSpPr>
        <xdr:cNvPr id="15" name="Rounded Rectangle 6">
          <a:extLst>
            <a:ext uri="{FF2B5EF4-FFF2-40B4-BE49-F238E27FC236}">
              <a16:creationId xmlns:a16="http://schemas.microsoft.com/office/drawing/2014/main" id="{E2B7D938-C255-4C84-9495-568A5D43562B}"/>
            </a:ext>
          </a:extLst>
        </xdr:cNvPr>
        <xdr:cNvSpPr/>
      </xdr:nvSpPr>
      <xdr:spPr>
        <a:xfrm>
          <a:off x="611717" y="3112558"/>
          <a:ext cx="2198612" cy="743404"/>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t>C: NRW</a:t>
          </a:r>
          <a:r>
            <a:rPr lang="en-US" sz="1800" b="1" baseline="0"/>
            <a:t> PROJECT FINANCING</a:t>
          </a:r>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
  <sheetViews>
    <sheetView zoomScale="90" zoomScaleNormal="90" workbookViewId="0">
      <selection activeCell="D19" sqref="D19"/>
    </sheetView>
  </sheetViews>
  <sheetFormatPr defaultColWidth="8.81640625" defaultRowHeight="14.5" x14ac:dyDescent="0.35"/>
  <cols>
    <col min="1" max="16384" width="8.81640625" style="33"/>
  </cols>
  <sheetData>
    <row r="1" spans="2:12" ht="15" thickBot="1" x14ac:dyDescent="0.4"/>
    <row r="2" spans="2:12" x14ac:dyDescent="0.35">
      <c r="B2" s="93" t="s">
        <v>190</v>
      </c>
      <c r="C2" s="94"/>
      <c r="D2" s="94"/>
      <c r="E2" s="94"/>
      <c r="F2" s="94"/>
      <c r="G2" s="94"/>
      <c r="H2" s="94"/>
      <c r="I2" s="94"/>
      <c r="J2" s="94"/>
      <c r="K2" s="94"/>
      <c r="L2" s="95"/>
    </row>
    <row r="3" spans="2:12" x14ac:dyDescent="0.35">
      <c r="B3" s="96"/>
      <c r="C3" s="97"/>
      <c r="D3" s="97"/>
      <c r="E3" s="97"/>
      <c r="F3" s="97"/>
      <c r="G3" s="97"/>
      <c r="H3" s="97"/>
      <c r="I3" s="97"/>
      <c r="J3" s="97"/>
      <c r="K3" s="97"/>
      <c r="L3" s="98"/>
    </row>
    <row r="4" spans="2:12" x14ac:dyDescent="0.35">
      <c r="B4" s="96"/>
      <c r="C4" s="97"/>
      <c r="D4" s="97"/>
      <c r="E4" s="97"/>
      <c r="F4" s="97"/>
      <c r="G4" s="97"/>
      <c r="H4" s="97"/>
      <c r="I4" s="97"/>
      <c r="J4" s="97"/>
      <c r="K4" s="97"/>
      <c r="L4" s="98"/>
    </row>
    <row r="5" spans="2:12" x14ac:dyDescent="0.35">
      <c r="B5" s="96"/>
      <c r="C5" s="97"/>
      <c r="D5" s="97"/>
      <c r="E5" s="97"/>
      <c r="F5" s="97"/>
      <c r="G5" s="97"/>
      <c r="H5" s="97"/>
      <c r="I5" s="97"/>
      <c r="J5" s="97"/>
      <c r="K5" s="97"/>
      <c r="L5" s="98"/>
    </row>
    <row r="6" spans="2:12" x14ac:dyDescent="0.35">
      <c r="B6" s="96"/>
      <c r="C6" s="97"/>
      <c r="D6" s="97"/>
      <c r="E6" s="97"/>
      <c r="F6" s="97"/>
      <c r="G6" s="97"/>
      <c r="H6" s="97"/>
      <c r="I6" s="97"/>
      <c r="J6" s="97"/>
      <c r="K6" s="97"/>
      <c r="L6" s="98"/>
    </row>
    <row r="7" spans="2:12" x14ac:dyDescent="0.35">
      <c r="B7" s="96"/>
      <c r="C7" s="97"/>
      <c r="D7" s="97"/>
      <c r="E7" s="97"/>
      <c r="F7" s="97"/>
      <c r="G7" s="97"/>
      <c r="H7" s="97"/>
      <c r="I7" s="97"/>
      <c r="J7" s="97"/>
      <c r="K7" s="97"/>
      <c r="L7" s="98"/>
    </row>
    <row r="8" spans="2:12" ht="15" thickBot="1" x14ac:dyDescent="0.4">
      <c r="B8" s="99"/>
      <c r="C8" s="100"/>
      <c r="D8" s="100"/>
      <c r="E8" s="100"/>
      <c r="F8" s="100"/>
      <c r="G8" s="100"/>
      <c r="H8" s="100"/>
      <c r="I8" s="100"/>
      <c r="J8" s="100"/>
      <c r="K8" s="100"/>
      <c r="L8" s="101"/>
    </row>
    <row r="11" spans="2:12" x14ac:dyDescent="0.35">
      <c r="B11" s="102" t="s">
        <v>194</v>
      </c>
      <c r="C11" s="103"/>
      <c r="D11" s="103"/>
      <c r="E11" s="103"/>
      <c r="F11" s="103"/>
      <c r="G11" s="103"/>
      <c r="H11" s="103"/>
      <c r="I11" s="103"/>
      <c r="J11" s="103"/>
      <c r="K11" s="103"/>
      <c r="L11" s="104"/>
    </row>
    <row r="12" spans="2:12" ht="14.5" customHeight="1" x14ac:dyDescent="0.35">
      <c r="B12" s="102" t="s">
        <v>195</v>
      </c>
      <c r="C12" s="103"/>
      <c r="D12" s="103"/>
      <c r="E12" s="103"/>
      <c r="F12" s="103"/>
      <c r="G12" s="103"/>
      <c r="H12" s="103"/>
      <c r="I12" s="103"/>
      <c r="J12" s="103"/>
      <c r="K12" s="103"/>
      <c r="L12" s="104"/>
    </row>
  </sheetData>
  <mergeCells count="3">
    <mergeCell ref="B2:L8"/>
    <mergeCell ref="B11:L11"/>
    <mergeCell ref="B12:L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48"/>
  <sheetViews>
    <sheetView zoomScale="92" zoomScaleNormal="70" workbookViewId="0">
      <selection activeCell="B3" sqref="B3:J10"/>
    </sheetView>
  </sheetViews>
  <sheetFormatPr defaultColWidth="8.81640625" defaultRowHeight="14.5" x14ac:dyDescent="0.35"/>
  <cols>
    <col min="1" max="1" width="4.453125" style="33" customWidth="1"/>
    <col min="2" max="2" width="67.1796875" style="33" customWidth="1"/>
    <col min="3" max="16384" width="8.81640625" style="33"/>
  </cols>
  <sheetData>
    <row r="2" spans="2:10" x14ac:dyDescent="0.35">
      <c r="B2" s="36" t="s">
        <v>191</v>
      </c>
    </row>
    <row r="3" spans="2:10" x14ac:dyDescent="0.35">
      <c r="B3" s="105" t="s">
        <v>196</v>
      </c>
      <c r="C3" s="106"/>
      <c r="D3" s="106"/>
      <c r="E3" s="106"/>
      <c r="F3" s="106"/>
      <c r="G3" s="106"/>
      <c r="H3" s="106"/>
      <c r="I3" s="106"/>
      <c r="J3" s="107"/>
    </row>
    <row r="4" spans="2:10" x14ac:dyDescent="0.35">
      <c r="B4" s="108"/>
      <c r="C4" s="109"/>
      <c r="D4" s="109"/>
      <c r="E4" s="109"/>
      <c r="F4" s="109"/>
      <c r="G4" s="109"/>
      <c r="H4" s="109"/>
      <c r="I4" s="109"/>
      <c r="J4" s="110"/>
    </row>
    <row r="5" spans="2:10" x14ac:dyDescent="0.35">
      <c r="B5" s="108"/>
      <c r="C5" s="109"/>
      <c r="D5" s="109"/>
      <c r="E5" s="109"/>
      <c r="F5" s="109"/>
      <c r="G5" s="109"/>
      <c r="H5" s="109"/>
      <c r="I5" s="109"/>
      <c r="J5" s="110"/>
    </row>
    <row r="6" spans="2:10" x14ac:dyDescent="0.35">
      <c r="B6" s="108"/>
      <c r="C6" s="109"/>
      <c r="D6" s="109"/>
      <c r="E6" s="109"/>
      <c r="F6" s="109"/>
      <c r="G6" s="109"/>
      <c r="H6" s="109"/>
      <c r="I6" s="109"/>
      <c r="J6" s="110"/>
    </row>
    <row r="7" spans="2:10" x14ac:dyDescent="0.35">
      <c r="B7" s="108"/>
      <c r="C7" s="109"/>
      <c r="D7" s="109"/>
      <c r="E7" s="109"/>
      <c r="F7" s="109"/>
      <c r="G7" s="109"/>
      <c r="H7" s="109"/>
      <c r="I7" s="109"/>
      <c r="J7" s="110"/>
    </row>
    <row r="8" spans="2:10" x14ac:dyDescent="0.35">
      <c r="B8" s="108"/>
      <c r="C8" s="109"/>
      <c r="D8" s="109"/>
      <c r="E8" s="109"/>
      <c r="F8" s="109"/>
      <c r="G8" s="109"/>
      <c r="H8" s="109"/>
      <c r="I8" s="109"/>
      <c r="J8" s="110"/>
    </row>
    <row r="9" spans="2:10" x14ac:dyDescent="0.35">
      <c r="B9" s="108"/>
      <c r="C9" s="109"/>
      <c r="D9" s="109"/>
      <c r="E9" s="109"/>
      <c r="F9" s="109"/>
      <c r="G9" s="109"/>
      <c r="H9" s="109"/>
      <c r="I9" s="109"/>
      <c r="J9" s="110"/>
    </row>
    <row r="10" spans="2:10" x14ac:dyDescent="0.35">
      <c r="B10" s="111"/>
      <c r="C10" s="112"/>
      <c r="D10" s="112"/>
      <c r="E10" s="112"/>
      <c r="F10" s="112"/>
      <c r="G10" s="112"/>
      <c r="H10" s="112"/>
      <c r="I10" s="112"/>
      <c r="J10" s="113"/>
    </row>
    <row r="12" spans="2:10" x14ac:dyDescent="0.35">
      <c r="B12" s="36" t="s">
        <v>192</v>
      </c>
    </row>
    <row r="13" spans="2:10" ht="14.5" customHeight="1" x14ac:dyDescent="0.35">
      <c r="B13" s="105" t="s">
        <v>199</v>
      </c>
      <c r="C13" s="106"/>
      <c r="D13" s="106"/>
      <c r="E13" s="106"/>
      <c r="F13" s="106"/>
      <c r="G13" s="106"/>
      <c r="H13" s="106"/>
      <c r="I13" s="106"/>
      <c r="J13" s="107"/>
    </row>
    <row r="14" spans="2:10" x14ac:dyDescent="0.35">
      <c r="B14" s="108"/>
      <c r="C14" s="109"/>
      <c r="D14" s="109"/>
      <c r="E14" s="109"/>
      <c r="F14" s="109"/>
      <c r="G14" s="109"/>
      <c r="H14" s="109"/>
      <c r="I14" s="109"/>
      <c r="J14" s="110"/>
    </row>
    <row r="15" spans="2:10" x14ac:dyDescent="0.35">
      <c r="B15" s="108"/>
      <c r="C15" s="109"/>
      <c r="D15" s="109"/>
      <c r="E15" s="109"/>
      <c r="F15" s="109"/>
      <c r="G15" s="109"/>
      <c r="H15" s="109"/>
      <c r="I15" s="109"/>
      <c r="J15" s="110"/>
    </row>
    <row r="16" spans="2:10" x14ac:dyDescent="0.35">
      <c r="B16" s="108"/>
      <c r="C16" s="109"/>
      <c r="D16" s="109"/>
      <c r="E16" s="109"/>
      <c r="F16" s="109"/>
      <c r="G16" s="109"/>
      <c r="H16" s="109"/>
      <c r="I16" s="109"/>
      <c r="J16" s="110"/>
    </row>
    <row r="17" spans="2:10" x14ac:dyDescent="0.35">
      <c r="B17" s="108"/>
      <c r="C17" s="109"/>
      <c r="D17" s="109"/>
      <c r="E17" s="109"/>
      <c r="F17" s="109"/>
      <c r="G17" s="109"/>
      <c r="H17" s="109"/>
      <c r="I17" s="109"/>
      <c r="J17" s="110"/>
    </row>
    <row r="18" spans="2:10" x14ac:dyDescent="0.35">
      <c r="B18" s="108"/>
      <c r="C18" s="109"/>
      <c r="D18" s="109"/>
      <c r="E18" s="109"/>
      <c r="F18" s="109"/>
      <c r="G18" s="109"/>
      <c r="H18" s="109"/>
      <c r="I18" s="109"/>
      <c r="J18" s="110"/>
    </row>
    <row r="19" spans="2:10" x14ac:dyDescent="0.35">
      <c r="B19" s="108"/>
      <c r="C19" s="109"/>
      <c r="D19" s="109"/>
      <c r="E19" s="109"/>
      <c r="F19" s="109"/>
      <c r="G19" s="109"/>
      <c r="H19" s="109"/>
      <c r="I19" s="109"/>
      <c r="J19" s="110"/>
    </row>
    <row r="20" spans="2:10" x14ac:dyDescent="0.35">
      <c r="B20" s="108"/>
      <c r="C20" s="109"/>
      <c r="D20" s="109"/>
      <c r="E20" s="109"/>
      <c r="F20" s="109"/>
      <c r="G20" s="109"/>
      <c r="H20" s="109"/>
      <c r="I20" s="109"/>
      <c r="J20" s="110"/>
    </row>
    <row r="21" spans="2:10" x14ac:dyDescent="0.35">
      <c r="B21" s="111"/>
      <c r="C21" s="112"/>
      <c r="D21" s="112"/>
      <c r="E21" s="112"/>
      <c r="F21" s="112"/>
      <c r="G21" s="112"/>
      <c r="H21" s="112"/>
      <c r="I21" s="112"/>
      <c r="J21" s="113"/>
    </row>
    <row r="23" spans="2:10" x14ac:dyDescent="0.35">
      <c r="B23" s="36" t="s">
        <v>193</v>
      </c>
    </row>
    <row r="24" spans="2:10" ht="14.5" customHeight="1" x14ac:dyDescent="0.35">
      <c r="B24" s="105" t="s">
        <v>198</v>
      </c>
      <c r="C24" s="106"/>
      <c r="D24" s="106"/>
      <c r="E24" s="106"/>
      <c r="F24" s="106"/>
      <c r="G24" s="106"/>
      <c r="H24" s="106"/>
      <c r="I24" s="106"/>
      <c r="J24" s="107"/>
    </row>
    <row r="25" spans="2:10" x14ac:dyDescent="0.35">
      <c r="B25" s="108"/>
      <c r="C25" s="109"/>
      <c r="D25" s="109"/>
      <c r="E25" s="109"/>
      <c r="F25" s="109"/>
      <c r="G25" s="109"/>
      <c r="H25" s="109"/>
      <c r="I25" s="109"/>
      <c r="J25" s="110"/>
    </row>
    <row r="26" spans="2:10" x14ac:dyDescent="0.35">
      <c r="B26" s="108"/>
      <c r="C26" s="109"/>
      <c r="D26" s="109"/>
      <c r="E26" s="109"/>
      <c r="F26" s="109"/>
      <c r="G26" s="109"/>
      <c r="H26" s="109"/>
      <c r="I26" s="109"/>
      <c r="J26" s="110"/>
    </row>
    <row r="27" spans="2:10" x14ac:dyDescent="0.35">
      <c r="B27" s="108"/>
      <c r="C27" s="109"/>
      <c r="D27" s="109"/>
      <c r="E27" s="109"/>
      <c r="F27" s="109"/>
      <c r="G27" s="109"/>
      <c r="H27" s="109"/>
      <c r="I27" s="109"/>
      <c r="J27" s="110"/>
    </row>
    <row r="28" spans="2:10" x14ac:dyDescent="0.35">
      <c r="B28" s="108"/>
      <c r="C28" s="109"/>
      <c r="D28" s="109"/>
      <c r="E28" s="109"/>
      <c r="F28" s="109"/>
      <c r="G28" s="109"/>
      <c r="H28" s="109"/>
      <c r="I28" s="109"/>
      <c r="J28" s="110"/>
    </row>
    <row r="29" spans="2:10" x14ac:dyDescent="0.35">
      <c r="B29" s="108"/>
      <c r="C29" s="109"/>
      <c r="D29" s="109"/>
      <c r="E29" s="109"/>
      <c r="F29" s="109"/>
      <c r="G29" s="109"/>
      <c r="H29" s="109"/>
      <c r="I29" s="109"/>
      <c r="J29" s="110"/>
    </row>
    <row r="30" spans="2:10" x14ac:dyDescent="0.35">
      <c r="B30" s="108"/>
      <c r="C30" s="109"/>
      <c r="D30" s="109"/>
      <c r="E30" s="109"/>
      <c r="F30" s="109"/>
      <c r="G30" s="109"/>
      <c r="H30" s="109"/>
      <c r="I30" s="109"/>
      <c r="J30" s="110"/>
    </row>
    <row r="31" spans="2:10" x14ac:dyDescent="0.35">
      <c r="B31" s="108"/>
      <c r="C31" s="109"/>
      <c r="D31" s="109"/>
      <c r="E31" s="109"/>
      <c r="F31" s="109"/>
      <c r="G31" s="109"/>
      <c r="H31" s="109"/>
      <c r="I31" s="109"/>
      <c r="J31" s="110"/>
    </row>
    <row r="32" spans="2:10" x14ac:dyDescent="0.35">
      <c r="B32" s="108"/>
      <c r="C32" s="109"/>
      <c r="D32" s="109"/>
      <c r="E32" s="109"/>
      <c r="F32" s="109"/>
      <c r="G32" s="109"/>
      <c r="H32" s="109"/>
      <c r="I32" s="109"/>
      <c r="J32" s="110"/>
    </row>
    <row r="33" spans="2:10" x14ac:dyDescent="0.35">
      <c r="B33" s="108"/>
      <c r="C33" s="109"/>
      <c r="D33" s="109"/>
      <c r="E33" s="109"/>
      <c r="F33" s="109"/>
      <c r="G33" s="109"/>
      <c r="H33" s="109"/>
      <c r="I33" s="109"/>
      <c r="J33" s="110"/>
    </row>
    <row r="34" spans="2:10" x14ac:dyDescent="0.35">
      <c r="B34" s="108"/>
      <c r="C34" s="109"/>
      <c r="D34" s="109"/>
      <c r="E34" s="109"/>
      <c r="F34" s="109"/>
      <c r="G34" s="109"/>
      <c r="H34" s="109"/>
      <c r="I34" s="109"/>
      <c r="J34" s="110"/>
    </row>
    <row r="35" spans="2:10" x14ac:dyDescent="0.35">
      <c r="B35" s="108"/>
      <c r="C35" s="109"/>
      <c r="D35" s="109"/>
      <c r="E35" s="109"/>
      <c r="F35" s="109"/>
      <c r="G35" s="109"/>
      <c r="H35" s="109"/>
      <c r="I35" s="109"/>
      <c r="J35" s="110"/>
    </row>
    <row r="36" spans="2:10" x14ac:dyDescent="0.35">
      <c r="B36" s="108"/>
      <c r="C36" s="109"/>
      <c r="D36" s="109"/>
      <c r="E36" s="109"/>
      <c r="F36" s="109"/>
      <c r="G36" s="109"/>
      <c r="H36" s="109"/>
      <c r="I36" s="109"/>
      <c r="J36" s="110"/>
    </row>
    <row r="37" spans="2:10" x14ac:dyDescent="0.35">
      <c r="B37" s="108"/>
      <c r="C37" s="109"/>
      <c r="D37" s="109"/>
      <c r="E37" s="109"/>
      <c r="F37" s="109"/>
      <c r="G37" s="109"/>
      <c r="H37" s="109"/>
      <c r="I37" s="109"/>
      <c r="J37" s="110"/>
    </row>
    <row r="38" spans="2:10" x14ac:dyDescent="0.35">
      <c r="B38" s="108"/>
      <c r="C38" s="109"/>
      <c r="D38" s="109"/>
      <c r="E38" s="109"/>
      <c r="F38" s="109"/>
      <c r="G38" s="109"/>
      <c r="H38" s="109"/>
      <c r="I38" s="109"/>
      <c r="J38" s="110"/>
    </row>
    <row r="39" spans="2:10" x14ac:dyDescent="0.35">
      <c r="B39" s="108"/>
      <c r="C39" s="109"/>
      <c r="D39" s="109"/>
      <c r="E39" s="109"/>
      <c r="F39" s="109"/>
      <c r="G39" s="109"/>
      <c r="H39" s="109"/>
      <c r="I39" s="109"/>
      <c r="J39" s="110"/>
    </row>
    <row r="40" spans="2:10" x14ac:dyDescent="0.35">
      <c r="B40" s="108"/>
      <c r="C40" s="109"/>
      <c r="D40" s="109"/>
      <c r="E40" s="109"/>
      <c r="F40" s="109"/>
      <c r="G40" s="109"/>
      <c r="H40" s="109"/>
      <c r="I40" s="109"/>
      <c r="J40" s="110"/>
    </row>
    <row r="41" spans="2:10" x14ac:dyDescent="0.35">
      <c r="B41" s="108"/>
      <c r="C41" s="109"/>
      <c r="D41" s="109"/>
      <c r="E41" s="109"/>
      <c r="F41" s="109"/>
      <c r="G41" s="109"/>
      <c r="H41" s="109"/>
      <c r="I41" s="109"/>
      <c r="J41" s="110"/>
    </row>
    <row r="42" spans="2:10" x14ac:dyDescent="0.35">
      <c r="B42" s="108"/>
      <c r="C42" s="109"/>
      <c r="D42" s="109"/>
      <c r="E42" s="109"/>
      <c r="F42" s="109"/>
      <c r="G42" s="109"/>
      <c r="H42" s="109"/>
      <c r="I42" s="109"/>
      <c r="J42" s="110"/>
    </row>
    <row r="43" spans="2:10" x14ac:dyDescent="0.35">
      <c r="B43" s="108"/>
      <c r="C43" s="109"/>
      <c r="D43" s="109"/>
      <c r="E43" s="109"/>
      <c r="F43" s="109"/>
      <c r="G43" s="109"/>
      <c r="H43" s="109"/>
      <c r="I43" s="109"/>
      <c r="J43" s="110"/>
    </row>
    <row r="44" spans="2:10" x14ac:dyDescent="0.35">
      <c r="B44" s="108"/>
      <c r="C44" s="109"/>
      <c r="D44" s="109"/>
      <c r="E44" s="109"/>
      <c r="F44" s="109"/>
      <c r="G44" s="109"/>
      <c r="H44" s="109"/>
      <c r="I44" s="109"/>
      <c r="J44" s="110"/>
    </row>
    <row r="45" spans="2:10" x14ac:dyDescent="0.35">
      <c r="B45" s="108"/>
      <c r="C45" s="109"/>
      <c r="D45" s="109"/>
      <c r="E45" s="109"/>
      <c r="F45" s="109"/>
      <c r="G45" s="109"/>
      <c r="H45" s="109"/>
      <c r="I45" s="109"/>
      <c r="J45" s="110"/>
    </row>
    <row r="46" spans="2:10" x14ac:dyDescent="0.35">
      <c r="B46" s="108"/>
      <c r="C46" s="109"/>
      <c r="D46" s="109"/>
      <c r="E46" s="109"/>
      <c r="F46" s="109"/>
      <c r="G46" s="109"/>
      <c r="H46" s="109"/>
      <c r="I46" s="109"/>
      <c r="J46" s="110"/>
    </row>
    <row r="47" spans="2:10" x14ac:dyDescent="0.35">
      <c r="B47" s="108"/>
      <c r="C47" s="109"/>
      <c r="D47" s="109"/>
      <c r="E47" s="109"/>
      <c r="F47" s="109"/>
      <c r="G47" s="109"/>
      <c r="H47" s="109"/>
      <c r="I47" s="109"/>
      <c r="J47" s="110"/>
    </row>
    <row r="48" spans="2:10" x14ac:dyDescent="0.35">
      <c r="B48" s="111"/>
      <c r="C48" s="112"/>
      <c r="D48" s="112"/>
      <c r="E48" s="112"/>
      <c r="F48" s="112"/>
      <c r="G48" s="112"/>
      <c r="H48" s="112"/>
      <c r="I48" s="112"/>
      <c r="J48" s="113"/>
    </row>
  </sheetData>
  <mergeCells count="3">
    <mergeCell ref="B3:J10"/>
    <mergeCell ref="B13:J21"/>
    <mergeCell ref="B24:J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2:P6"/>
  <sheetViews>
    <sheetView topLeftCell="A13" zoomScale="70" zoomScaleNormal="70" workbookViewId="0">
      <selection activeCell="P29" sqref="P29"/>
    </sheetView>
  </sheetViews>
  <sheetFormatPr defaultColWidth="8.81640625" defaultRowHeight="14.5" x14ac:dyDescent="0.35"/>
  <cols>
    <col min="1" max="16384" width="8.81640625" style="33"/>
  </cols>
  <sheetData>
    <row r="2" spans="15:16" ht="24" thickBot="1" x14ac:dyDescent="0.6">
      <c r="O2" s="34" t="s">
        <v>170</v>
      </c>
    </row>
    <row r="3" spans="15:16" ht="15" thickBot="1" x14ac:dyDescent="0.4">
      <c r="O3" s="17"/>
      <c r="P3" s="35" t="s">
        <v>124</v>
      </c>
    </row>
    <row r="4" spans="15:16" ht="15" thickBot="1" x14ac:dyDescent="0.4">
      <c r="O4" s="18"/>
      <c r="P4" s="35" t="s">
        <v>125</v>
      </c>
    </row>
    <row r="5" spans="15:16" ht="15" thickBot="1" x14ac:dyDescent="0.4">
      <c r="O5" s="19"/>
      <c r="P5" s="35" t="s">
        <v>130</v>
      </c>
    </row>
    <row r="6" spans="15:16" ht="15" thickBot="1" x14ac:dyDescent="0.4">
      <c r="O6" s="37"/>
      <c r="P6" s="35" t="s">
        <v>197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166"/>
  <sheetViews>
    <sheetView zoomScale="80" zoomScaleNormal="80" workbookViewId="0">
      <pane xSplit="5" ySplit="5" topLeftCell="F152" activePane="bottomRight" state="frozen"/>
      <selection pane="topRight" activeCell="E1" sqref="E1"/>
      <selection pane="bottomLeft" activeCell="A5" sqref="A5"/>
      <selection pane="bottomRight" activeCell="D166" sqref="D166"/>
    </sheetView>
  </sheetViews>
  <sheetFormatPr defaultColWidth="9.1796875" defaultRowHeight="14.5" x14ac:dyDescent="0.35"/>
  <cols>
    <col min="1" max="1" width="1.54296875" style="1" customWidth="1"/>
    <col min="2" max="2" width="56.453125" style="1" bestFit="1" customWidth="1"/>
    <col min="3" max="3" width="23.54296875" style="1" customWidth="1"/>
    <col min="4" max="4" width="19.54296875" style="1" customWidth="1"/>
    <col min="5" max="5" width="7" style="1" customWidth="1"/>
    <col min="6" max="16" width="15.81640625" style="1" customWidth="1"/>
    <col min="17" max="16384" width="9.1796875" style="1"/>
  </cols>
  <sheetData>
    <row r="1" spans="2:18" x14ac:dyDescent="0.35">
      <c r="B1" s="3" t="s">
        <v>128</v>
      </c>
      <c r="C1" s="3" t="s">
        <v>127</v>
      </c>
      <c r="D1" s="3" t="s">
        <v>129</v>
      </c>
      <c r="F1" s="14" t="s">
        <v>122</v>
      </c>
      <c r="G1" s="12" t="s">
        <v>120</v>
      </c>
      <c r="H1" s="12" t="s">
        <v>120</v>
      </c>
      <c r="I1" s="12" t="s">
        <v>120</v>
      </c>
      <c r="J1" s="13" t="s">
        <v>121</v>
      </c>
      <c r="K1" s="13" t="s">
        <v>121</v>
      </c>
      <c r="L1" s="13" t="s">
        <v>121</v>
      </c>
      <c r="M1" s="13" t="s">
        <v>121</v>
      </c>
      <c r="N1" s="13" t="s">
        <v>121</v>
      </c>
      <c r="O1" s="13" t="s">
        <v>121</v>
      </c>
      <c r="P1" s="13" t="s">
        <v>121</v>
      </c>
    </row>
    <row r="2" spans="2:18" x14ac:dyDescent="0.35">
      <c r="B2" s="3"/>
      <c r="C2" s="3"/>
      <c r="D2" s="3"/>
      <c r="F2" s="3" t="s">
        <v>151</v>
      </c>
      <c r="G2" s="3" t="s">
        <v>151</v>
      </c>
      <c r="H2" s="3" t="s">
        <v>151</v>
      </c>
      <c r="I2" s="3" t="s">
        <v>151</v>
      </c>
      <c r="J2" s="3" t="s">
        <v>151</v>
      </c>
      <c r="K2" s="3" t="s">
        <v>151</v>
      </c>
      <c r="L2" s="3" t="s">
        <v>151</v>
      </c>
      <c r="M2" s="3" t="s">
        <v>151</v>
      </c>
      <c r="N2" s="3" t="s">
        <v>151</v>
      </c>
      <c r="O2" s="3" t="s">
        <v>151</v>
      </c>
      <c r="P2" s="3" t="s">
        <v>151</v>
      </c>
    </row>
    <row r="3" spans="2:18" s="2" customFormat="1" x14ac:dyDescent="0.35">
      <c r="F3" s="3">
        <v>0</v>
      </c>
      <c r="G3" s="3">
        <v>1</v>
      </c>
      <c r="H3" s="3">
        <v>2</v>
      </c>
      <c r="I3" s="3">
        <v>3</v>
      </c>
      <c r="J3" s="3">
        <v>4</v>
      </c>
      <c r="K3" s="3">
        <v>5</v>
      </c>
      <c r="L3" s="3">
        <v>6</v>
      </c>
      <c r="M3" s="3">
        <v>7</v>
      </c>
      <c r="N3" s="3">
        <v>8</v>
      </c>
      <c r="O3" s="3">
        <v>9</v>
      </c>
      <c r="P3" s="3">
        <v>10</v>
      </c>
      <c r="R3" s="1"/>
    </row>
    <row r="4" spans="2:18" s="2" customFormat="1" x14ac:dyDescent="0.35">
      <c r="B4" s="40" t="s">
        <v>0</v>
      </c>
      <c r="C4" s="40"/>
      <c r="D4" s="40"/>
      <c r="E4" s="40"/>
      <c r="F4" s="41"/>
      <c r="G4" s="41"/>
      <c r="H4" s="41"/>
      <c r="I4" s="41"/>
      <c r="J4" s="41"/>
      <c r="K4" s="41"/>
      <c r="L4" s="41"/>
      <c r="M4" s="41"/>
      <c r="N4" s="41"/>
      <c r="O4" s="41"/>
      <c r="P4" s="41"/>
      <c r="R4" s="1"/>
    </row>
    <row r="6" spans="2:18" x14ac:dyDescent="0.35">
      <c r="B6" s="1" t="s">
        <v>131</v>
      </c>
      <c r="D6" s="39" t="s">
        <v>23</v>
      </c>
      <c r="F6" s="42">
        <v>27000000</v>
      </c>
      <c r="G6" s="42">
        <v>27000000</v>
      </c>
      <c r="H6" s="42">
        <v>27000000</v>
      </c>
      <c r="I6" s="42">
        <v>27000000</v>
      </c>
      <c r="J6" s="42">
        <v>27000000</v>
      </c>
      <c r="K6" s="42">
        <v>27000000</v>
      </c>
      <c r="L6" s="42">
        <v>27000000</v>
      </c>
      <c r="M6" s="42">
        <v>27000000</v>
      </c>
      <c r="N6" s="42">
        <v>27000000</v>
      </c>
      <c r="O6" s="42">
        <v>27000000</v>
      </c>
      <c r="P6" s="42">
        <v>27000000</v>
      </c>
    </row>
    <row r="8" spans="2:18" x14ac:dyDescent="0.35">
      <c r="B8" s="43" t="s">
        <v>134</v>
      </c>
      <c r="C8" s="43"/>
      <c r="D8" s="43"/>
      <c r="E8" s="44"/>
      <c r="F8" s="44"/>
      <c r="G8" s="44"/>
      <c r="H8" s="44"/>
      <c r="I8" s="44"/>
      <c r="J8" s="44"/>
      <c r="K8" s="44"/>
      <c r="L8" s="44"/>
      <c r="M8" s="44"/>
      <c r="N8" s="44"/>
      <c r="O8" s="44"/>
      <c r="P8" s="44"/>
    </row>
    <row r="9" spans="2:18" ht="15" thickBot="1" x14ac:dyDescent="0.4"/>
    <row r="10" spans="2:18" x14ac:dyDescent="0.35">
      <c r="B10" s="6" t="s">
        <v>123</v>
      </c>
      <c r="C10" s="45">
        <v>5.4199999999999998E-2</v>
      </c>
    </row>
    <row r="11" spans="2:18" x14ac:dyDescent="0.35">
      <c r="B11" s="27" t="s">
        <v>187</v>
      </c>
      <c r="C11" s="32">
        <f>F20/F6</f>
        <v>0.23148148148148148</v>
      </c>
      <c r="D11" s="46"/>
    </row>
    <row r="12" spans="2:18" ht="15" thickBot="1" x14ac:dyDescent="0.4">
      <c r="B12" s="7" t="s">
        <v>188</v>
      </c>
      <c r="C12" s="8">
        <f>(F20-F18)/F6</f>
        <v>0.15740740740740741</v>
      </c>
      <c r="D12" s="46"/>
    </row>
    <row r="13" spans="2:18" x14ac:dyDescent="0.35">
      <c r="B13" s="5"/>
      <c r="C13" s="5"/>
      <c r="D13" s="46"/>
    </row>
    <row r="14" spans="2:18" x14ac:dyDescent="0.35">
      <c r="B14" s="2" t="s">
        <v>11</v>
      </c>
      <c r="C14" s="2"/>
    </row>
    <row r="15" spans="2:18" x14ac:dyDescent="0.35">
      <c r="B15" s="39" t="s">
        <v>13</v>
      </c>
      <c r="C15" s="39"/>
      <c r="D15" s="39" t="s">
        <v>24</v>
      </c>
      <c r="F15" s="47">
        <v>3000000</v>
      </c>
      <c r="G15" s="48">
        <f>((F15*(100%+$C$10))/F$6)*G$6</f>
        <v>3162600</v>
      </c>
      <c r="H15" s="48">
        <f t="shared" ref="H15:P15" si="0">((G15*(100%+$C$10))/G$6)*H$6</f>
        <v>3334012.92</v>
      </c>
      <c r="I15" s="48">
        <f t="shared" si="0"/>
        <v>3514716.4202640005</v>
      </c>
      <c r="J15" s="48">
        <f t="shared" si="0"/>
        <v>3705214.0502423095</v>
      </c>
      <c r="K15" s="48">
        <f t="shared" si="0"/>
        <v>3906036.6517654425</v>
      </c>
      <c r="L15" s="48">
        <f t="shared" si="0"/>
        <v>4117743.83829113</v>
      </c>
      <c r="M15" s="48">
        <f t="shared" si="0"/>
        <v>4340925.5543265091</v>
      </c>
      <c r="N15" s="48">
        <f t="shared" si="0"/>
        <v>4576203.7193710059</v>
      </c>
      <c r="O15" s="48">
        <f t="shared" si="0"/>
        <v>4824233.9609609144</v>
      </c>
      <c r="P15" s="48">
        <f t="shared" si="0"/>
        <v>5085707.4416449964</v>
      </c>
    </row>
    <row r="16" spans="2:18" x14ac:dyDescent="0.35">
      <c r="B16" s="39" t="s">
        <v>14</v>
      </c>
      <c r="C16" s="39"/>
      <c r="D16" s="39" t="s">
        <v>24</v>
      </c>
      <c r="F16" s="47">
        <v>500000</v>
      </c>
      <c r="G16" s="48">
        <f t="shared" ref="G16:P16" si="1">((F16*(100%+$C$10))/F$6)*G$6</f>
        <v>527100</v>
      </c>
      <c r="H16" s="48">
        <f t="shared" si="1"/>
        <v>555668.82000000007</v>
      </c>
      <c r="I16" s="48">
        <f t="shared" si="1"/>
        <v>585786.07004400005</v>
      </c>
      <c r="J16" s="48">
        <f t="shared" si="1"/>
        <v>617535.67504038487</v>
      </c>
      <c r="K16" s="48">
        <f t="shared" si="1"/>
        <v>651006.1086275737</v>
      </c>
      <c r="L16" s="48">
        <f t="shared" si="1"/>
        <v>686290.63971518818</v>
      </c>
      <c r="M16" s="48">
        <f t="shared" si="1"/>
        <v>723487.59238775144</v>
      </c>
      <c r="N16" s="48">
        <f t="shared" si="1"/>
        <v>762700.61989516753</v>
      </c>
      <c r="O16" s="48">
        <f t="shared" si="1"/>
        <v>804038.99349348561</v>
      </c>
      <c r="P16" s="48">
        <f t="shared" si="1"/>
        <v>847617.90694083262</v>
      </c>
    </row>
    <row r="17" spans="2:16" x14ac:dyDescent="0.35">
      <c r="B17" s="39" t="s">
        <v>15</v>
      </c>
      <c r="C17" s="39"/>
      <c r="D17" s="39" t="s">
        <v>24</v>
      </c>
      <c r="F17" s="47">
        <v>500000</v>
      </c>
      <c r="G17" s="48">
        <f t="shared" ref="G17:P17" si="2">((F17*(100%+$C$10))/F$6)*G$6</f>
        <v>527100</v>
      </c>
      <c r="H17" s="48">
        <f t="shared" si="2"/>
        <v>555668.82000000007</v>
      </c>
      <c r="I17" s="48">
        <f t="shared" si="2"/>
        <v>585786.07004400005</v>
      </c>
      <c r="J17" s="48">
        <f t="shared" si="2"/>
        <v>617535.67504038487</v>
      </c>
      <c r="K17" s="48">
        <f t="shared" si="2"/>
        <v>651006.1086275737</v>
      </c>
      <c r="L17" s="48">
        <f t="shared" si="2"/>
        <v>686290.63971518818</v>
      </c>
      <c r="M17" s="48">
        <f t="shared" si="2"/>
        <v>723487.59238775144</v>
      </c>
      <c r="N17" s="48">
        <f t="shared" si="2"/>
        <v>762700.61989516753</v>
      </c>
      <c r="O17" s="48">
        <f t="shared" si="2"/>
        <v>804038.99349348561</v>
      </c>
      <c r="P17" s="48">
        <f t="shared" si="2"/>
        <v>847617.90694083262</v>
      </c>
    </row>
    <row r="18" spans="2:16" x14ac:dyDescent="0.35">
      <c r="B18" s="39" t="s">
        <v>16</v>
      </c>
      <c r="C18" s="39"/>
      <c r="D18" s="39" t="s">
        <v>24</v>
      </c>
      <c r="F18" s="47">
        <v>2000000</v>
      </c>
      <c r="G18" s="48">
        <f>$F$18</f>
        <v>2000000</v>
      </c>
      <c r="H18" s="48">
        <f t="shared" ref="H18:P18" si="3">$F$18</f>
        <v>2000000</v>
      </c>
      <c r="I18" s="48">
        <f t="shared" si="3"/>
        <v>2000000</v>
      </c>
      <c r="J18" s="48">
        <f t="shared" si="3"/>
        <v>2000000</v>
      </c>
      <c r="K18" s="48">
        <f t="shared" si="3"/>
        <v>2000000</v>
      </c>
      <c r="L18" s="48">
        <f t="shared" si="3"/>
        <v>2000000</v>
      </c>
      <c r="M18" s="48">
        <f t="shared" si="3"/>
        <v>2000000</v>
      </c>
      <c r="N18" s="48">
        <f t="shared" si="3"/>
        <v>2000000</v>
      </c>
      <c r="O18" s="48">
        <f t="shared" si="3"/>
        <v>2000000</v>
      </c>
      <c r="P18" s="48">
        <f t="shared" si="3"/>
        <v>2000000</v>
      </c>
    </row>
    <row r="19" spans="2:16" x14ac:dyDescent="0.35">
      <c r="B19" s="39" t="s">
        <v>17</v>
      </c>
      <c r="C19" s="39"/>
      <c r="D19" s="39" t="s">
        <v>24</v>
      </c>
      <c r="F19" s="47">
        <v>250000</v>
      </c>
      <c r="G19" s="48">
        <f t="shared" ref="G19:P19" si="4">((F19*(100%+$C$10))/F$6)*G$6</f>
        <v>263550</v>
      </c>
      <c r="H19" s="48">
        <f t="shared" si="4"/>
        <v>277834.41000000003</v>
      </c>
      <c r="I19" s="48">
        <f t="shared" si="4"/>
        <v>292893.03502200003</v>
      </c>
      <c r="J19" s="48">
        <f t="shared" si="4"/>
        <v>308767.83752019244</v>
      </c>
      <c r="K19" s="48">
        <f t="shared" si="4"/>
        <v>325503.05431378685</v>
      </c>
      <c r="L19" s="48">
        <f t="shared" si="4"/>
        <v>343145.31985759409</v>
      </c>
      <c r="M19" s="48">
        <f t="shared" si="4"/>
        <v>361743.79619387572</v>
      </c>
      <c r="N19" s="48">
        <f t="shared" si="4"/>
        <v>381350.30994758377</v>
      </c>
      <c r="O19" s="48">
        <f t="shared" si="4"/>
        <v>402019.49674674281</v>
      </c>
      <c r="P19" s="48">
        <f t="shared" si="4"/>
        <v>423808.95347041631</v>
      </c>
    </row>
    <row r="20" spans="2:16" x14ac:dyDescent="0.35">
      <c r="B20" s="49" t="s">
        <v>30</v>
      </c>
      <c r="C20" s="49"/>
      <c r="D20" s="39" t="s">
        <v>24</v>
      </c>
      <c r="F20" s="38">
        <f>SUM(F15:F19)</f>
        <v>6250000</v>
      </c>
      <c r="G20" s="38">
        <f>SUM(G15:G19)</f>
        <v>6480350</v>
      </c>
      <c r="H20" s="38">
        <f t="shared" ref="H20:P20" si="5">SUM(H15:H19)</f>
        <v>6723184.9700000007</v>
      </c>
      <c r="I20" s="38">
        <f t="shared" si="5"/>
        <v>6979181.5953740003</v>
      </c>
      <c r="J20" s="38">
        <f t="shared" si="5"/>
        <v>7249053.2378432713</v>
      </c>
      <c r="K20" s="38">
        <f t="shared" si="5"/>
        <v>7533551.9233343769</v>
      </c>
      <c r="L20" s="38">
        <f t="shared" si="5"/>
        <v>7833470.437579101</v>
      </c>
      <c r="M20" s="38">
        <f t="shared" si="5"/>
        <v>8149644.5352958879</v>
      </c>
      <c r="N20" s="38">
        <f t="shared" si="5"/>
        <v>8482955.269108925</v>
      </c>
      <c r="O20" s="38">
        <f t="shared" si="5"/>
        <v>8834331.4446946289</v>
      </c>
      <c r="P20" s="38">
        <f t="shared" si="5"/>
        <v>9204752.2089970782</v>
      </c>
    </row>
    <row r="21" spans="2:16" x14ac:dyDescent="0.35">
      <c r="B21" s="39"/>
      <c r="C21" s="39"/>
      <c r="D21" s="39"/>
    </row>
    <row r="22" spans="2:16" x14ac:dyDescent="0.35">
      <c r="B22" s="2" t="s">
        <v>12</v>
      </c>
      <c r="C22" s="2"/>
    </row>
    <row r="23" spans="2:16" x14ac:dyDescent="0.35">
      <c r="B23" s="39" t="s">
        <v>13</v>
      </c>
      <c r="C23" s="39"/>
      <c r="D23" s="39" t="s">
        <v>24</v>
      </c>
      <c r="F23" s="47">
        <v>1000000</v>
      </c>
      <c r="G23" s="48">
        <f t="shared" ref="G23:P23" si="6">((F23*(100%+$C$10))/F$6)*G$6</f>
        <v>1054200</v>
      </c>
      <c r="H23" s="48">
        <f t="shared" si="6"/>
        <v>1111337.6400000001</v>
      </c>
      <c r="I23" s="48">
        <f t="shared" si="6"/>
        <v>1171572.1400880001</v>
      </c>
      <c r="J23" s="48">
        <f t="shared" si="6"/>
        <v>1235071.3500807697</v>
      </c>
      <c r="K23" s="48">
        <f t="shared" si="6"/>
        <v>1302012.2172551474</v>
      </c>
      <c r="L23" s="48">
        <f t="shared" si="6"/>
        <v>1372581.2794303764</v>
      </c>
      <c r="M23" s="48">
        <f t="shared" si="6"/>
        <v>1446975.1847755029</v>
      </c>
      <c r="N23" s="48">
        <f t="shared" si="6"/>
        <v>1525401.2397903351</v>
      </c>
      <c r="O23" s="48">
        <f t="shared" si="6"/>
        <v>1608077.9869869712</v>
      </c>
      <c r="P23" s="48">
        <f t="shared" si="6"/>
        <v>1695235.8138816652</v>
      </c>
    </row>
    <row r="24" spans="2:16" x14ac:dyDescent="0.35">
      <c r="B24" s="39" t="s">
        <v>14</v>
      </c>
      <c r="C24" s="39"/>
      <c r="D24" s="39" t="s">
        <v>24</v>
      </c>
      <c r="F24" s="47">
        <v>200000</v>
      </c>
      <c r="G24" s="48">
        <f t="shared" ref="G24:P24" si="7">((F24*(100%+$C$10))/F$6)*G$6</f>
        <v>210840</v>
      </c>
      <c r="H24" s="48">
        <f t="shared" si="7"/>
        <v>222267.52800000002</v>
      </c>
      <c r="I24" s="48">
        <f t="shared" si="7"/>
        <v>234314.4280176</v>
      </c>
      <c r="J24" s="48">
        <f t="shared" si="7"/>
        <v>247014.27001615393</v>
      </c>
      <c r="K24" s="48">
        <f t="shared" si="7"/>
        <v>260402.44345102948</v>
      </c>
      <c r="L24" s="48">
        <f t="shared" si="7"/>
        <v>274516.25588607526</v>
      </c>
      <c r="M24" s="48">
        <f t="shared" si="7"/>
        <v>289395.03695510054</v>
      </c>
      <c r="N24" s="48">
        <f t="shared" si="7"/>
        <v>305080.24795806699</v>
      </c>
      <c r="O24" s="48">
        <f t="shared" si="7"/>
        <v>321615.59739739425</v>
      </c>
      <c r="P24" s="48">
        <f t="shared" si="7"/>
        <v>339047.16277633305</v>
      </c>
    </row>
    <row r="25" spans="2:16" x14ac:dyDescent="0.35">
      <c r="B25" s="39" t="s">
        <v>15</v>
      </c>
      <c r="C25" s="39"/>
      <c r="D25" s="39" t="s">
        <v>24</v>
      </c>
      <c r="F25" s="47">
        <v>1000000</v>
      </c>
      <c r="G25" s="48">
        <f t="shared" ref="G25:P25" si="8">((F25*(100%+$C$10))/F$6)*G$6</f>
        <v>1054200</v>
      </c>
      <c r="H25" s="48">
        <f t="shared" si="8"/>
        <v>1111337.6400000001</v>
      </c>
      <c r="I25" s="48">
        <f t="shared" si="8"/>
        <v>1171572.1400880001</v>
      </c>
      <c r="J25" s="48">
        <f t="shared" si="8"/>
        <v>1235071.3500807697</v>
      </c>
      <c r="K25" s="48">
        <f t="shared" si="8"/>
        <v>1302012.2172551474</v>
      </c>
      <c r="L25" s="48">
        <f t="shared" si="8"/>
        <v>1372581.2794303764</v>
      </c>
      <c r="M25" s="48">
        <f t="shared" si="8"/>
        <v>1446975.1847755029</v>
      </c>
      <c r="N25" s="48">
        <f t="shared" si="8"/>
        <v>1525401.2397903351</v>
      </c>
      <c r="O25" s="48">
        <f t="shared" si="8"/>
        <v>1608077.9869869712</v>
      </c>
      <c r="P25" s="48">
        <f t="shared" si="8"/>
        <v>1695235.8138816652</v>
      </c>
    </row>
    <row r="26" spans="2:16" x14ac:dyDescent="0.35">
      <c r="B26" s="39" t="s">
        <v>133</v>
      </c>
      <c r="C26" s="39"/>
      <c r="D26" s="39" t="s">
        <v>24</v>
      </c>
      <c r="F26" s="47">
        <v>2000000</v>
      </c>
      <c r="G26" s="48">
        <f t="shared" ref="G26:P26" si="9">((F26*(100%+$C$10))/F$6)*G$6</f>
        <v>2108400</v>
      </c>
      <c r="H26" s="48">
        <f t="shared" si="9"/>
        <v>2222675.2800000003</v>
      </c>
      <c r="I26" s="48">
        <f t="shared" si="9"/>
        <v>2343144.2801760002</v>
      </c>
      <c r="J26" s="48">
        <f t="shared" si="9"/>
        <v>2470142.7001615395</v>
      </c>
      <c r="K26" s="48">
        <f t="shared" si="9"/>
        <v>2604024.4345102948</v>
      </c>
      <c r="L26" s="48">
        <f t="shared" si="9"/>
        <v>2745162.5588607527</v>
      </c>
      <c r="M26" s="48">
        <f t="shared" si="9"/>
        <v>2893950.3695510058</v>
      </c>
      <c r="N26" s="48">
        <f t="shared" si="9"/>
        <v>3050802.4795806701</v>
      </c>
      <c r="O26" s="48">
        <f t="shared" si="9"/>
        <v>3216155.9739739425</v>
      </c>
      <c r="P26" s="48">
        <f t="shared" si="9"/>
        <v>3390471.6277633305</v>
      </c>
    </row>
    <row r="27" spans="2:16" x14ac:dyDescent="0.35">
      <c r="B27" s="39" t="s">
        <v>16</v>
      </c>
      <c r="C27" s="39"/>
      <c r="D27" s="39" t="s">
        <v>24</v>
      </c>
      <c r="F27" s="47">
        <v>1000000</v>
      </c>
      <c r="G27" s="48">
        <f>$F$27</f>
        <v>1000000</v>
      </c>
      <c r="H27" s="48">
        <f t="shared" ref="H27:P27" si="10">$F$27</f>
        <v>1000000</v>
      </c>
      <c r="I27" s="48">
        <f t="shared" si="10"/>
        <v>1000000</v>
      </c>
      <c r="J27" s="48">
        <f t="shared" si="10"/>
        <v>1000000</v>
      </c>
      <c r="K27" s="48">
        <f t="shared" si="10"/>
        <v>1000000</v>
      </c>
      <c r="L27" s="48">
        <f t="shared" si="10"/>
        <v>1000000</v>
      </c>
      <c r="M27" s="48">
        <f t="shared" si="10"/>
        <v>1000000</v>
      </c>
      <c r="N27" s="48">
        <f t="shared" si="10"/>
        <v>1000000</v>
      </c>
      <c r="O27" s="48">
        <f t="shared" si="10"/>
        <v>1000000</v>
      </c>
      <c r="P27" s="48">
        <f t="shared" si="10"/>
        <v>1000000</v>
      </c>
    </row>
    <row r="28" spans="2:16" x14ac:dyDescent="0.35">
      <c r="B28" s="39" t="s">
        <v>18</v>
      </c>
      <c r="C28" s="39"/>
      <c r="D28" s="39" t="s">
        <v>24</v>
      </c>
      <c r="F28" s="47">
        <v>500000</v>
      </c>
      <c r="G28" s="48">
        <f t="shared" ref="G28:P28" si="11">((F28*(100%+$C$10))/F$6)*G$6</f>
        <v>527100</v>
      </c>
      <c r="H28" s="48">
        <f t="shared" si="11"/>
        <v>555668.82000000007</v>
      </c>
      <c r="I28" s="48">
        <f t="shared" si="11"/>
        <v>585786.07004400005</v>
      </c>
      <c r="J28" s="48">
        <f t="shared" si="11"/>
        <v>617535.67504038487</v>
      </c>
      <c r="K28" s="48">
        <f t="shared" si="11"/>
        <v>651006.1086275737</v>
      </c>
      <c r="L28" s="48">
        <f t="shared" si="11"/>
        <v>686290.63971518818</v>
      </c>
      <c r="M28" s="48">
        <f t="shared" si="11"/>
        <v>723487.59238775144</v>
      </c>
      <c r="N28" s="48">
        <f t="shared" si="11"/>
        <v>762700.61989516753</v>
      </c>
      <c r="O28" s="48">
        <f t="shared" si="11"/>
        <v>804038.99349348561</v>
      </c>
      <c r="P28" s="48">
        <f t="shared" si="11"/>
        <v>847617.90694083262</v>
      </c>
    </row>
    <row r="29" spans="2:16" x14ac:dyDescent="0.35">
      <c r="B29" s="39" t="s">
        <v>19</v>
      </c>
      <c r="C29" s="39"/>
      <c r="D29" s="39" t="s">
        <v>24</v>
      </c>
      <c r="F29" s="47">
        <v>125000</v>
      </c>
      <c r="G29" s="48">
        <f t="shared" ref="G29:P29" si="12">((F29*(100%+$C$10))/F$6)*G$6</f>
        <v>131775</v>
      </c>
      <c r="H29" s="48">
        <f t="shared" si="12"/>
        <v>138917.20500000002</v>
      </c>
      <c r="I29" s="48">
        <f t="shared" si="12"/>
        <v>146446.51751100001</v>
      </c>
      <c r="J29" s="48">
        <f t="shared" si="12"/>
        <v>154383.91876009622</v>
      </c>
      <c r="K29" s="48">
        <f t="shared" si="12"/>
        <v>162751.52715689343</v>
      </c>
      <c r="L29" s="48">
        <f t="shared" si="12"/>
        <v>171572.65992879705</v>
      </c>
      <c r="M29" s="48">
        <f t="shared" si="12"/>
        <v>180871.89809693786</v>
      </c>
      <c r="N29" s="48">
        <f t="shared" si="12"/>
        <v>190675.15497379188</v>
      </c>
      <c r="O29" s="48">
        <f t="shared" si="12"/>
        <v>201009.7483733714</v>
      </c>
      <c r="P29" s="48">
        <f t="shared" si="12"/>
        <v>211904.47673520815</v>
      </c>
    </row>
    <row r="30" spans="2:16" x14ac:dyDescent="0.35">
      <c r="B30" s="39" t="s">
        <v>17</v>
      </c>
      <c r="C30" s="39"/>
      <c r="D30" s="39" t="s">
        <v>24</v>
      </c>
      <c r="F30" s="47">
        <v>300000</v>
      </c>
      <c r="G30" s="48">
        <f t="shared" ref="G30:P30" si="13">((F30*(100%+$C$10))/F$6)*G$6</f>
        <v>316260</v>
      </c>
      <c r="H30" s="48">
        <f t="shared" si="13"/>
        <v>333401.29200000002</v>
      </c>
      <c r="I30" s="48">
        <f t="shared" si="13"/>
        <v>351471.64202640002</v>
      </c>
      <c r="J30" s="48">
        <f t="shared" si="13"/>
        <v>370521.40502423089</v>
      </c>
      <c r="K30" s="48">
        <f t="shared" si="13"/>
        <v>390603.66517654422</v>
      </c>
      <c r="L30" s="48">
        <f t="shared" si="13"/>
        <v>411774.38382911292</v>
      </c>
      <c r="M30" s="48">
        <f t="shared" si="13"/>
        <v>434092.55543265084</v>
      </c>
      <c r="N30" s="48">
        <f t="shared" si="13"/>
        <v>457620.37193710048</v>
      </c>
      <c r="O30" s="48">
        <f t="shared" si="13"/>
        <v>482423.39609609143</v>
      </c>
      <c r="P30" s="48">
        <f t="shared" si="13"/>
        <v>508570.74416449951</v>
      </c>
    </row>
    <row r="31" spans="2:16" x14ac:dyDescent="0.35">
      <c r="B31" s="49" t="s">
        <v>31</v>
      </c>
      <c r="C31" s="49"/>
      <c r="D31" s="39" t="s">
        <v>24</v>
      </c>
      <c r="F31" s="38">
        <f>SUM(F23:F30)</f>
        <v>6125000</v>
      </c>
      <c r="G31" s="38">
        <f>SUM(G23:G30)</f>
        <v>6402775</v>
      </c>
      <c r="H31" s="38">
        <f t="shared" ref="H31:P31" si="14">SUM(H23:H30)</f>
        <v>6695605.4050000012</v>
      </c>
      <c r="I31" s="38">
        <f t="shared" si="14"/>
        <v>7004307.2179510007</v>
      </c>
      <c r="J31" s="38">
        <f t="shared" si="14"/>
        <v>7329740.6691639442</v>
      </c>
      <c r="K31" s="38">
        <f t="shared" si="14"/>
        <v>7672812.61343263</v>
      </c>
      <c r="L31" s="38">
        <f t="shared" si="14"/>
        <v>8034479.0570806786</v>
      </c>
      <c r="M31" s="38">
        <f t="shared" si="14"/>
        <v>8415747.8219744526</v>
      </c>
      <c r="N31" s="38">
        <f t="shared" si="14"/>
        <v>8817681.3539254665</v>
      </c>
      <c r="O31" s="38">
        <f t="shared" si="14"/>
        <v>9241399.683308227</v>
      </c>
      <c r="P31" s="38">
        <f t="shared" si="14"/>
        <v>9688083.5461435355</v>
      </c>
    </row>
    <row r="33" spans="2:16" x14ac:dyDescent="0.35">
      <c r="B33" s="50" t="s">
        <v>118</v>
      </c>
      <c r="C33" s="50"/>
      <c r="D33" s="39" t="s">
        <v>24</v>
      </c>
      <c r="F33" s="47">
        <v>0</v>
      </c>
      <c r="G33" s="47">
        <v>0</v>
      </c>
      <c r="H33" s="47">
        <v>0</v>
      </c>
      <c r="I33" s="47">
        <v>0</v>
      </c>
      <c r="J33" s="47">
        <v>0</v>
      </c>
      <c r="K33" s="47">
        <v>0</v>
      </c>
      <c r="L33" s="47">
        <v>0</v>
      </c>
      <c r="M33" s="47">
        <v>0</v>
      </c>
      <c r="N33" s="47">
        <v>0</v>
      </c>
      <c r="O33" s="47">
        <v>0</v>
      </c>
      <c r="P33" s="47">
        <v>0</v>
      </c>
    </row>
    <row r="35" spans="2:16" x14ac:dyDescent="0.35">
      <c r="B35" s="43" t="s">
        <v>20</v>
      </c>
      <c r="C35" s="43"/>
      <c r="D35" s="43"/>
      <c r="E35" s="44"/>
      <c r="F35" s="44"/>
      <c r="G35" s="44"/>
      <c r="H35" s="44"/>
      <c r="I35" s="44"/>
      <c r="J35" s="44"/>
      <c r="K35" s="44"/>
      <c r="L35" s="44"/>
      <c r="M35" s="44"/>
      <c r="N35" s="44"/>
      <c r="O35" s="44"/>
      <c r="P35" s="44"/>
    </row>
    <row r="36" spans="2:16" s="51" customFormat="1" ht="15" thickBot="1" x14ac:dyDescent="0.4">
      <c r="B36" s="21"/>
      <c r="C36" s="21"/>
      <c r="D36" s="21"/>
    </row>
    <row r="37" spans="2:16" s="51" customFormat="1" x14ac:dyDescent="0.35">
      <c r="B37" s="52" t="s">
        <v>135</v>
      </c>
      <c r="C37" s="9">
        <v>0</v>
      </c>
      <c r="D37" s="21"/>
    </row>
    <row r="38" spans="2:16" s="51" customFormat="1" x14ac:dyDescent="0.35">
      <c r="B38" s="53" t="s">
        <v>136</v>
      </c>
      <c r="C38" s="10">
        <v>0</v>
      </c>
      <c r="D38" s="21"/>
    </row>
    <row r="39" spans="2:16" s="51" customFormat="1" x14ac:dyDescent="0.35">
      <c r="B39" s="53" t="s">
        <v>137</v>
      </c>
      <c r="C39" s="10">
        <v>0</v>
      </c>
      <c r="D39" s="21"/>
    </row>
    <row r="40" spans="2:16" s="51" customFormat="1" ht="15" thickBot="1" x14ac:dyDescent="0.4">
      <c r="B40" s="54" t="s">
        <v>138</v>
      </c>
      <c r="C40" s="11">
        <v>0</v>
      </c>
      <c r="D40" s="21"/>
    </row>
    <row r="41" spans="2:16" s="51" customFormat="1" x14ac:dyDescent="0.35">
      <c r="B41" s="21"/>
      <c r="C41" s="21"/>
      <c r="D41" s="21"/>
    </row>
    <row r="42" spans="2:16" x14ac:dyDescent="0.35">
      <c r="B42" s="1" t="s">
        <v>21</v>
      </c>
      <c r="D42" s="39" t="s">
        <v>23</v>
      </c>
      <c r="F42" s="42">
        <v>8000000</v>
      </c>
      <c r="G42" s="55">
        <f>F42*($C$37+100%)</f>
        <v>8000000</v>
      </c>
      <c r="H42" s="55">
        <f t="shared" ref="H42:P42" si="15">G42*($C$37+100%)</f>
        <v>8000000</v>
      </c>
      <c r="I42" s="55">
        <f t="shared" si="15"/>
        <v>8000000</v>
      </c>
      <c r="J42" s="55">
        <f t="shared" si="15"/>
        <v>8000000</v>
      </c>
      <c r="K42" s="55">
        <f t="shared" si="15"/>
        <v>8000000</v>
      </c>
      <c r="L42" s="55">
        <f t="shared" si="15"/>
        <v>8000000</v>
      </c>
      <c r="M42" s="55">
        <f t="shared" si="15"/>
        <v>8000000</v>
      </c>
      <c r="N42" s="55">
        <f t="shared" si="15"/>
        <v>8000000</v>
      </c>
      <c r="O42" s="55">
        <f t="shared" si="15"/>
        <v>8000000</v>
      </c>
      <c r="P42" s="55">
        <f t="shared" si="15"/>
        <v>8000000</v>
      </c>
    </row>
    <row r="43" spans="2:16" x14ac:dyDescent="0.35">
      <c r="B43" s="1" t="s">
        <v>22</v>
      </c>
      <c r="D43" s="39" t="s">
        <v>132</v>
      </c>
      <c r="F43" s="42">
        <v>90000</v>
      </c>
      <c r="G43" s="55">
        <f>F43*($C$38+100%)</f>
        <v>90000</v>
      </c>
      <c r="H43" s="55">
        <f t="shared" ref="H43:P43" si="16">G43*($C$38+100%)</f>
        <v>90000</v>
      </c>
      <c r="I43" s="55">
        <f t="shared" si="16"/>
        <v>90000</v>
      </c>
      <c r="J43" s="55">
        <f t="shared" si="16"/>
        <v>90000</v>
      </c>
      <c r="K43" s="55">
        <f t="shared" si="16"/>
        <v>90000</v>
      </c>
      <c r="L43" s="55">
        <f t="shared" si="16"/>
        <v>90000</v>
      </c>
      <c r="M43" s="55">
        <f t="shared" si="16"/>
        <v>90000</v>
      </c>
      <c r="N43" s="55">
        <f t="shared" si="16"/>
        <v>90000</v>
      </c>
      <c r="O43" s="55">
        <f t="shared" si="16"/>
        <v>90000</v>
      </c>
      <c r="P43" s="55">
        <f t="shared" si="16"/>
        <v>90000</v>
      </c>
    </row>
    <row r="44" spans="2:16" x14ac:dyDescent="0.35">
      <c r="B44" s="1" t="s">
        <v>26</v>
      </c>
      <c r="D44" s="39" t="s">
        <v>27</v>
      </c>
      <c r="F44" s="47">
        <v>12</v>
      </c>
      <c r="G44" s="56">
        <f>F44*($C$39+100%)</f>
        <v>12</v>
      </c>
      <c r="H44" s="56">
        <f t="shared" ref="H44:P44" si="17">G44*($C$39+100%)</f>
        <v>12</v>
      </c>
      <c r="I44" s="56">
        <f t="shared" si="17"/>
        <v>12</v>
      </c>
      <c r="J44" s="56">
        <f t="shared" si="17"/>
        <v>12</v>
      </c>
      <c r="K44" s="56">
        <f t="shared" si="17"/>
        <v>12</v>
      </c>
      <c r="L44" s="56">
        <f t="shared" si="17"/>
        <v>12</v>
      </c>
      <c r="M44" s="56">
        <f t="shared" si="17"/>
        <v>12</v>
      </c>
      <c r="N44" s="56">
        <f t="shared" si="17"/>
        <v>12</v>
      </c>
      <c r="O44" s="56">
        <f t="shared" si="17"/>
        <v>12</v>
      </c>
      <c r="P44" s="56">
        <f t="shared" si="17"/>
        <v>12</v>
      </c>
    </row>
    <row r="45" spans="2:16" x14ac:dyDescent="0.35">
      <c r="B45" s="1" t="s">
        <v>126</v>
      </c>
      <c r="D45" s="39" t="s">
        <v>29</v>
      </c>
      <c r="F45" s="47">
        <v>0.5</v>
      </c>
      <c r="G45" s="56">
        <f>F45*($C$40+100%)</f>
        <v>0.5</v>
      </c>
      <c r="H45" s="56">
        <f t="shared" ref="H45:P45" si="18">G45*($C$40+100%)</f>
        <v>0.5</v>
      </c>
      <c r="I45" s="56">
        <f t="shared" si="18"/>
        <v>0.5</v>
      </c>
      <c r="J45" s="56">
        <f t="shared" si="18"/>
        <v>0.5</v>
      </c>
      <c r="K45" s="56">
        <f t="shared" si="18"/>
        <v>0.5</v>
      </c>
      <c r="L45" s="56">
        <f t="shared" si="18"/>
        <v>0.5</v>
      </c>
      <c r="M45" s="56">
        <f t="shared" si="18"/>
        <v>0.5</v>
      </c>
      <c r="N45" s="56">
        <f t="shared" si="18"/>
        <v>0.5</v>
      </c>
      <c r="O45" s="56">
        <f t="shared" si="18"/>
        <v>0.5</v>
      </c>
      <c r="P45" s="56">
        <f t="shared" si="18"/>
        <v>0.5</v>
      </c>
    </row>
    <row r="47" spans="2:16" x14ac:dyDescent="0.35">
      <c r="B47" s="2" t="s">
        <v>103</v>
      </c>
      <c r="C47" s="2"/>
      <c r="F47" s="57">
        <f>F6-F42</f>
        <v>19000000</v>
      </c>
      <c r="G47" s="57">
        <f t="shared" ref="G47:O47" si="19">G6-G42</f>
        <v>19000000</v>
      </c>
      <c r="H47" s="57">
        <f t="shared" si="19"/>
        <v>19000000</v>
      </c>
      <c r="I47" s="57">
        <f t="shared" si="19"/>
        <v>19000000</v>
      </c>
      <c r="J47" s="57">
        <f t="shared" si="19"/>
        <v>19000000</v>
      </c>
      <c r="K47" s="57">
        <f t="shared" si="19"/>
        <v>19000000</v>
      </c>
      <c r="L47" s="57">
        <f t="shared" si="19"/>
        <v>19000000</v>
      </c>
      <c r="M47" s="57">
        <f t="shared" si="19"/>
        <v>19000000</v>
      </c>
      <c r="N47" s="57">
        <f t="shared" si="19"/>
        <v>19000000</v>
      </c>
      <c r="O47" s="57">
        <f t="shared" si="19"/>
        <v>19000000</v>
      </c>
      <c r="P47" s="57">
        <f t="shared" ref="P47" si="20">P6-P42</f>
        <v>19000000</v>
      </c>
    </row>
    <row r="49" spans="2:18" x14ac:dyDescent="0.35">
      <c r="B49" s="40" t="s">
        <v>140</v>
      </c>
      <c r="C49" s="40"/>
      <c r="D49" s="40"/>
      <c r="E49" s="40"/>
      <c r="F49" s="40"/>
      <c r="G49" s="40"/>
      <c r="H49" s="40"/>
      <c r="I49" s="40"/>
      <c r="J49" s="40"/>
      <c r="K49" s="40"/>
      <c r="L49" s="40"/>
      <c r="M49" s="40"/>
      <c r="N49" s="40"/>
      <c r="O49" s="40"/>
      <c r="P49" s="40"/>
    </row>
    <row r="51" spans="2:18" x14ac:dyDescent="0.35">
      <c r="B51" s="43" t="s">
        <v>32</v>
      </c>
      <c r="C51" s="43"/>
      <c r="D51" s="43"/>
      <c r="E51" s="44"/>
      <c r="F51" s="44"/>
      <c r="G51" s="44"/>
      <c r="H51" s="44"/>
      <c r="I51" s="44"/>
      <c r="J51" s="44"/>
      <c r="K51" s="44"/>
      <c r="L51" s="44"/>
      <c r="M51" s="44"/>
      <c r="N51" s="44"/>
      <c r="O51" s="44"/>
      <c r="P51" s="44"/>
    </row>
    <row r="52" spans="2:18" x14ac:dyDescent="0.35">
      <c r="B52" s="39" t="s">
        <v>33</v>
      </c>
      <c r="C52" s="39"/>
      <c r="D52" s="39" t="s">
        <v>34</v>
      </c>
      <c r="F52" s="58"/>
      <c r="G52" s="42">
        <v>50</v>
      </c>
      <c r="H52" s="42">
        <v>10</v>
      </c>
      <c r="I52" s="42">
        <v>0</v>
      </c>
      <c r="J52" s="58"/>
      <c r="K52" s="58"/>
      <c r="L52" s="58"/>
      <c r="M52" s="58"/>
      <c r="N52" s="58"/>
      <c r="O52" s="58"/>
      <c r="P52" s="58"/>
    </row>
    <row r="53" spans="2:18" x14ac:dyDescent="0.35">
      <c r="B53" s="39"/>
      <c r="C53" s="39"/>
      <c r="D53" s="39" t="s">
        <v>35</v>
      </c>
      <c r="F53" s="59"/>
      <c r="G53" s="47">
        <v>800</v>
      </c>
      <c r="H53" s="47">
        <v>800</v>
      </c>
      <c r="I53" s="47">
        <v>0</v>
      </c>
      <c r="J53" s="59"/>
      <c r="K53" s="59"/>
      <c r="L53" s="59"/>
      <c r="M53" s="59"/>
      <c r="N53" s="59"/>
      <c r="O53" s="59"/>
      <c r="P53" s="59"/>
    </row>
    <row r="54" spans="2:18" x14ac:dyDescent="0.35">
      <c r="B54" s="39" t="s">
        <v>36</v>
      </c>
      <c r="C54" s="39"/>
      <c r="D54" s="39" t="s">
        <v>57</v>
      </c>
      <c r="F54" s="58"/>
      <c r="G54" s="42">
        <v>10</v>
      </c>
      <c r="H54" s="42">
        <v>2</v>
      </c>
      <c r="I54" s="42">
        <v>0</v>
      </c>
      <c r="J54" s="58"/>
      <c r="K54" s="58"/>
      <c r="L54" s="58"/>
      <c r="M54" s="58"/>
      <c r="N54" s="58"/>
      <c r="O54" s="58"/>
      <c r="P54" s="58"/>
    </row>
    <row r="55" spans="2:18" x14ac:dyDescent="0.35">
      <c r="B55" s="39"/>
      <c r="C55" s="39"/>
      <c r="D55" s="39" t="s">
        <v>35</v>
      </c>
      <c r="F55" s="59"/>
      <c r="G55" s="47">
        <v>500</v>
      </c>
      <c r="H55" s="47">
        <v>500</v>
      </c>
      <c r="I55" s="47">
        <v>0</v>
      </c>
      <c r="J55" s="59"/>
      <c r="K55" s="59"/>
      <c r="L55" s="59"/>
      <c r="M55" s="59"/>
      <c r="N55" s="59"/>
      <c r="O55" s="59"/>
      <c r="P55" s="59"/>
    </row>
    <row r="56" spans="2:18" x14ac:dyDescent="0.35">
      <c r="B56" s="39" t="s">
        <v>58</v>
      </c>
      <c r="C56" s="39"/>
      <c r="D56" s="39" t="s">
        <v>59</v>
      </c>
      <c r="F56" s="58"/>
      <c r="G56" s="42">
        <v>10</v>
      </c>
      <c r="H56" s="42">
        <v>2</v>
      </c>
      <c r="I56" s="42">
        <v>0</v>
      </c>
      <c r="J56" s="58"/>
      <c r="K56" s="58"/>
      <c r="L56" s="58"/>
      <c r="M56" s="58"/>
      <c r="N56" s="58"/>
      <c r="O56" s="58"/>
      <c r="P56" s="58"/>
    </row>
    <row r="57" spans="2:18" x14ac:dyDescent="0.35">
      <c r="B57" s="39"/>
      <c r="C57" s="39"/>
      <c r="D57" s="39" t="s">
        <v>60</v>
      </c>
      <c r="F57" s="59"/>
      <c r="G57" s="47">
        <v>1500</v>
      </c>
      <c r="H57" s="47">
        <v>1500</v>
      </c>
      <c r="I57" s="47">
        <v>0</v>
      </c>
      <c r="J57" s="59"/>
      <c r="K57" s="59"/>
      <c r="L57" s="59"/>
      <c r="M57" s="59"/>
      <c r="N57" s="59"/>
      <c r="O57" s="59"/>
      <c r="P57" s="59"/>
    </row>
    <row r="58" spans="2:18" x14ac:dyDescent="0.35">
      <c r="B58" s="39" t="s">
        <v>61</v>
      </c>
      <c r="C58" s="39"/>
      <c r="D58" s="39" t="s">
        <v>24</v>
      </c>
      <c r="F58" s="59"/>
      <c r="G58" s="47">
        <v>350000</v>
      </c>
      <c r="H58" s="47">
        <v>50000</v>
      </c>
      <c r="I58" s="47">
        <v>0</v>
      </c>
      <c r="J58" s="59"/>
      <c r="K58" s="59"/>
      <c r="L58" s="59"/>
      <c r="M58" s="59"/>
      <c r="N58" s="59"/>
      <c r="O58" s="59"/>
      <c r="P58" s="59"/>
    </row>
    <row r="59" spans="2:18" x14ac:dyDescent="0.35">
      <c r="B59" s="39" t="s">
        <v>73</v>
      </c>
      <c r="C59" s="39"/>
      <c r="D59" s="39" t="s">
        <v>24</v>
      </c>
      <c r="F59" s="59"/>
      <c r="G59" s="47">
        <v>100000</v>
      </c>
      <c r="H59" s="47">
        <v>10000</v>
      </c>
      <c r="I59" s="47">
        <v>0</v>
      </c>
      <c r="J59" s="59"/>
      <c r="K59" s="59"/>
      <c r="L59" s="59"/>
      <c r="M59" s="59"/>
      <c r="N59" s="59"/>
      <c r="O59" s="59"/>
      <c r="P59" s="59"/>
    </row>
    <row r="60" spans="2:18" x14ac:dyDescent="0.35">
      <c r="B60" s="39" t="s">
        <v>62</v>
      </c>
      <c r="C60" s="39"/>
      <c r="D60" s="39" t="s">
        <v>24</v>
      </c>
      <c r="F60" s="59"/>
      <c r="G60" s="47">
        <v>50000</v>
      </c>
      <c r="H60" s="47">
        <v>3000</v>
      </c>
      <c r="I60" s="47">
        <v>0</v>
      </c>
      <c r="J60" s="59"/>
      <c r="K60" s="59"/>
      <c r="L60" s="59"/>
      <c r="M60" s="59"/>
      <c r="N60" s="59"/>
      <c r="O60" s="59"/>
      <c r="P60" s="59"/>
    </row>
    <row r="61" spans="2:18" x14ac:dyDescent="0.35">
      <c r="B61" s="39" t="s">
        <v>119</v>
      </c>
      <c r="C61" s="39"/>
      <c r="D61" s="39" t="s">
        <v>24</v>
      </c>
      <c r="F61" s="59"/>
      <c r="G61" s="47">
        <v>35000</v>
      </c>
      <c r="H61" s="47">
        <v>10000</v>
      </c>
      <c r="I61" s="47">
        <v>0</v>
      </c>
      <c r="J61" s="59"/>
      <c r="K61" s="59"/>
      <c r="L61" s="59"/>
      <c r="M61" s="59"/>
      <c r="N61" s="59"/>
      <c r="O61" s="59"/>
      <c r="P61" s="59"/>
      <c r="R61" s="2"/>
    </row>
    <row r="62" spans="2:18" x14ac:dyDescent="0.35">
      <c r="B62" s="39" t="s">
        <v>63</v>
      </c>
      <c r="C62" s="39"/>
      <c r="D62" s="39" t="s">
        <v>24</v>
      </c>
      <c r="F62" s="59"/>
      <c r="G62" s="47">
        <v>20000</v>
      </c>
      <c r="H62" s="47">
        <v>5000</v>
      </c>
      <c r="I62" s="47">
        <v>0</v>
      </c>
      <c r="J62" s="59"/>
      <c r="K62" s="59"/>
      <c r="L62" s="59"/>
      <c r="M62" s="59"/>
      <c r="N62" s="59"/>
      <c r="O62" s="59"/>
      <c r="P62" s="59"/>
    </row>
    <row r="64" spans="2:18" x14ac:dyDescent="0.35">
      <c r="B64" s="43" t="s">
        <v>37</v>
      </c>
      <c r="C64" s="43"/>
      <c r="D64" s="43"/>
      <c r="E64" s="44"/>
      <c r="F64" s="44"/>
      <c r="G64" s="44"/>
      <c r="H64" s="44"/>
      <c r="I64" s="44"/>
      <c r="J64" s="44"/>
      <c r="K64" s="44"/>
      <c r="L64" s="44"/>
      <c r="M64" s="44"/>
      <c r="N64" s="44"/>
      <c r="O64" s="44"/>
      <c r="P64" s="44"/>
    </row>
    <row r="65" spans="2:16" x14ac:dyDescent="0.35">
      <c r="B65" s="39" t="s">
        <v>64</v>
      </c>
      <c r="C65" s="39"/>
      <c r="D65" s="39" t="s">
        <v>24</v>
      </c>
      <c r="F65" s="59"/>
      <c r="G65" s="47">
        <v>50000</v>
      </c>
      <c r="H65" s="47">
        <v>0</v>
      </c>
      <c r="I65" s="47">
        <v>0</v>
      </c>
      <c r="J65" s="59"/>
      <c r="K65" s="59"/>
      <c r="L65" s="59"/>
      <c r="M65" s="59"/>
      <c r="N65" s="59"/>
      <c r="O65" s="59"/>
      <c r="P65" s="59"/>
    </row>
    <row r="66" spans="2:16" x14ac:dyDescent="0.35">
      <c r="B66" s="39" t="s">
        <v>65</v>
      </c>
      <c r="C66" s="39"/>
      <c r="D66" s="39" t="s">
        <v>24</v>
      </c>
      <c r="F66" s="59"/>
      <c r="G66" s="47">
        <v>25000</v>
      </c>
      <c r="H66" s="47">
        <v>0</v>
      </c>
      <c r="I66" s="47">
        <v>0</v>
      </c>
      <c r="J66" s="59"/>
      <c r="K66" s="59"/>
      <c r="L66" s="59"/>
      <c r="M66" s="59"/>
      <c r="N66" s="59"/>
      <c r="O66" s="59"/>
      <c r="P66" s="59"/>
    </row>
    <row r="67" spans="2:16" x14ac:dyDescent="0.35">
      <c r="B67" s="39" t="s">
        <v>66</v>
      </c>
      <c r="C67" s="39"/>
      <c r="D67" s="39" t="s">
        <v>24</v>
      </c>
      <c r="F67" s="59"/>
      <c r="G67" s="47">
        <v>125000</v>
      </c>
      <c r="H67" s="47">
        <v>10000</v>
      </c>
      <c r="I67" s="47">
        <v>0</v>
      </c>
      <c r="J67" s="59"/>
      <c r="K67" s="59"/>
      <c r="L67" s="59"/>
      <c r="M67" s="59"/>
      <c r="N67" s="59"/>
      <c r="O67" s="59"/>
      <c r="P67" s="59"/>
    </row>
    <row r="68" spans="2:16" x14ac:dyDescent="0.35">
      <c r="B68" s="39" t="s">
        <v>67</v>
      </c>
      <c r="C68" s="39"/>
      <c r="D68" s="39" t="s">
        <v>24</v>
      </c>
      <c r="F68" s="59"/>
      <c r="G68" s="47">
        <v>30000</v>
      </c>
      <c r="H68" s="47">
        <v>10000</v>
      </c>
      <c r="I68" s="47">
        <v>0</v>
      </c>
      <c r="J68" s="59"/>
      <c r="K68" s="59"/>
      <c r="L68" s="59"/>
      <c r="M68" s="59"/>
      <c r="N68" s="59"/>
      <c r="O68" s="59"/>
      <c r="P68" s="59"/>
    </row>
    <row r="69" spans="2:16" x14ac:dyDescent="0.35">
      <c r="B69" s="39" t="s">
        <v>47</v>
      </c>
      <c r="C69" s="39"/>
      <c r="D69" s="39" t="s">
        <v>24</v>
      </c>
      <c r="F69" s="59"/>
      <c r="G69" s="47">
        <v>100000</v>
      </c>
      <c r="H69" s="47">
        <v>15000</v>
      </c>
      <c r="I69" s="47">
        <v>0</v>
      </c>
      <c r="J69" s="59"/>
      <c r="K69" s="59"/>
      <c r="L69" s="59"/>
      <c r="M69" s="59"/>
      <c r="N69" s="59"/>
      <c r="O69" s="59"/>
      <c r="P69" s="59"/>
    </row>
    <row r="71" spans="2:16" x14ac:dyDescent="0.35">
      <c r="B71" s="43" t="s">
        <v>101</v>
      </c>
      <c r="C71" s="43"/>
      <c r="D71" s="43"/>
      <c r="E71" s="44"/>
      <c r="F71" s="44"/>
      <c r="G71" s="44"/>
      <c r="H71" s="44"/>
      <c r="I71" s="44"/>
      <c r="J71" s="44"/>
      <c r="K71" s="44"/>
      <c r="L71" s="44"/>
      <c r="M71" s="44"/>
      <c r="N71" s="44"/>
      <c r="O71" s="44"/>
      <c r="P71" s="44"/>
    </row>
    <row r="72" spans="2:16" x14ac:dyDescent="0.35">
      <c r="B72" s="39" t="s">
        <v>68</v>
      </c>
      <c r="C72" s="39"/>
      <c r="D72" s="39" t="s">
        <v>24</v>
      </c>
      <c r="F72" s="59"/>
      <c r="G72" s="47">
        <v>0</v>
      </c>
      <c r="H72" s="47">
        <v>0</v>
      </c>
      <c r="I72" s="47">
        <v>0</v>
      </c>
      <c r="J72" s="59"/>
      <c r="K72" s="59"/>
      <c r="L72" s="59"/>
      <c r="M72" s="59"/>
      <c r="N72" s="59"/>
      <c r="O72" s="59"/>
      <c r="P72" s="59"/>
    </row>
    <row r="73" spans="2:16" x14ac:dyDescent="0.35">
      <c r="B73" s="39" t="s">
        <v>69</v>
      </c>
      <c r="C73" s="39"/>
      <c r="D73" s="39" t="s">
        <v>25</v>
      </c>
      <c r="F73" s="58"/>
      <c r="G73" s="42">
        <v>20</v>
      </c>
      <c r="H73" s="42">
        <v>2</v>
      </c>
      <c r="I73" s="42">
        <v>0</v>
      </c>
      <c r="J73" s="58"/>
      <c r="K73" s="58"/>
      <c r="L73" s="58"/>
      <c r="M73" s="58"/>
      <c r="N73" s="58"/>
      <c r="O73" s="58"/>
      <c r="P73" s="58"/>
    </row>
    <row r="74" spans="2:16" x14ac:dyDescent="0.35">
      <c r="B74" s="39"/>
      <c r="C74" s="39"/>
      <c r="D74" s="39" t="s">
        <v>74</v>
      </c>
      <c r="F74" s="59"/>
      <c r="G74" s="47">
        <v>1200</v>
      </c>
      <c r="H74" s="47">
        <v>1200</v>
      </c>
      <c r="I74" s="47">
        <v>0</v>
      </c>
      <c r="J74" s="59"/>
      <c r="K74" s="59"/>
      <c r="L74" s="59"/>
      <c r="M74" s="59"/>
      <c r="N74" s="59"/>
      <c r="O74" s="59"/>
      <c r="P74" s="59"/>
    </row>
    <row r="75" spans="2:16" x14ac:dyDescent="0.35">
      <c r="B75" s="39" t="s">
        <v>70</v>
      </c>
      <c r="C75" s="39"/>
      <c r="D75" s="39" t="s">
        <v>25</v>
      </c>
      <c r="F75" s="58"/>
      <c r="G75" s="42">
        <v>30</v>
      </c>
      <c r="H75" s="42">
        <v>5</v>
      </c>
      <c r="I75" s="42">
        <v>0</v>
      </c>
      <c r="J75" s="58"/>
      <c r="K75" s="58"/>
      <c r="L75" s="58"/>
      <c r="M75" s="58"/>
      <c r="N75" s="58"/>
      <c r="O75" s="58"/>
      <c r="P75" s="58"/>
    </row>
    <row r="76" spans="2:16" x14ac:dyDescent="0.35">
      <c r="B76" s="39"/>
      <c r="C76" s="39"/>
      <c r="D76" s="39" t="s">
        <v>74</v>
      </c>
      <c r="F76" s="59"/>
      <c r="G76" s="47">
        <v>1500</v>
      </c>
      <c r="H76" s="47">
        <v>1500</v>
      </c>
      <c r="I76" s="47">
        <v>0</v>
      </c>
      <c r="J76" s="59"/>
      <c r="K76" s="59"/>
      <c r="L76" s="59"/>
      <c r="M76" s="59"/>
      <c r="N76" s="59"/>
      <c r="O76" s="59"/>
      <c r="P76" s="59"/>
    </row>
    <row r="77" spans="2:16" x14ac:dyDescent="0.35">
      <c r="B77" s="39" t="s">
        <v>71</v>
      </c>
      <c r="C77" s="39"/>
      <c r="D77" s="39" t="s">
        <v>24</v>
      </c>
      <c r="F77" s="59"/>
      <c r="G77" s="47">
        <v>50000</v>
      </c>
      <c r="H77" s="47">
        <v>10000</v>
      </c>
      <c r="I77" s="47">
        <v>0</v>
      </c>
      <c r="J77" s="59"/>
      <c r="K77" s="59"/>
      <c r="L77" s="59"/>
      <c r="M77" s="59"/>
      <c r="N77" s="59"/>
      <c r="O77" s="59"/>
      <c r="P77" s="59"/>
    </row>
    <row r="78" spans="2:16" x14ac:dyDescent="0.35">
      <c r="B78" s="39" t="s">
        <v>72</v>
      </c>
      <c r="C78" s="39"/>
      <c r="D78" s="39" t="s">
        <v>24</v>
      </c>
      <c r="F78" s="59"/>
      <c r="G78" s="47">
        <v>20000</v>
      </c>
      <c r="H78" s="47">
        <v>5000</v>
      </c>
      <c r="I78" s="47">
        <v>0</v>
      </c>
      <c r="J78" s="59"/>
      <c r="K78" s="59"/>
      <c r="L78" s="59"/>
      <c r="M78" s="59"/>
      <c r="N78" s="59"/>
      <c r="O78" s="59"/>
      <c r="P78" s="59"/>
    </row>
    <row r="79" spans="2:16" x14ac:dyDescent="0.35">
      <c r="B79" s="39" t="s">
        <v>47</v>
      </c>
      <c r="C79" s="39"/>
      <c r="D79" s="39" t="s">
        <v>24</v>
      </c>
      <c r="F79" s="59"/>
      <c r="G79" s="47">
        <v>125000</v>
      </c>
      <c r="H79" s="47">
        <v>15000</v>
      </c>
      <c r="I79" s="47">
        <v>0</v>
      </c>
      <c r="J79" s="59"/>
      <c r="K79" s="59"/>
      <c r="L79" s="59"/>
      <c r="M79" s="59"/>
      <c r="N79" s="59"/>
      <c r="O79" s="59"/>
      <c r="P79" s="59"/>
    </row>
    <row r="81" spans="2:16" x14ac:dyDescent="0.35">
      <c r="B81" s="43" t="s">
        <v>77</v>
      </c>
      <c r="C81" s="43"/>
      <c r="D81" s="43"/>
      <c r="E81" s="44"/>
      <c r="F81" s="44"/>
      <c r="G81" s="44"/>
      <c r="H81" s="44"/>
      <c r="I81" s="44"/>
      <c r="J81" s="44"/>
      <c r="K81" s="44"/>
      <c r="L81" s="44"/>
      <c r="M81" s="44"/>
      <c r="N81" s="44"/>
      <c r="O81" s="44"/>
      <c r="P81" s="44"/>
    </row>
    <row r="82" spans="2:16" x14ac:dyDescent="0.35">
      <c r="B82" s="39" t="s">
        <v>78</v>
      </c>
      <c r="C82" s="39"/>
      <c r="D82" s="39" t="s">
        <v>79</v>
      </c>
      <c r="F82" s="58"/>
      <c r="G82" s="42">
        <v>2</v>
      </c>
      <c r="H82" s="42">
        <v>0</v>
      </c>
      <c r="I82" s="42">
        <v>0</v>
      </c>
      <c r="J82" s="58"/>
      <c r="K82" s="58"/>
      <c r="L82" s="58"/>
      <c r="M82" s="58"/>
      <c r="N82" s="58"/>
      <c r="O82" s="58"/>
      <c r="P82" s="58"/>
    </row>
    <row r="83" spans="2:16" x14ac:dyDescent="0.35">
      <c r="D83" s="39" t="s">
        <v>35</v>
      </c>
      <c r="F83" s="59"/>
      <c r="G83" s="47">
        <v>25000</v>
      </c>
      <c r="H83" s="47">
        <v>0</v>
      </c>
      <c r="I83" s="47">
        <v>0</v>
      </c>
      <c r="J83" s="59"/>
      <c r="K83" s="59"/>
      <c r="L83" s="59"/>
      <c r="M83" s="59"/>
      <c r="N83" s="59"/>
      <c r="O83" s="59"/>
      <c r="P83" s="59"/>
    </row>
    <row r="84" spans="2:16" x14ac:dyDescent="0.35">
      <c r="B84" s="39" t="s">
        <v>80</v>
      </c>
      <c r="C84" s="39"/>
      <c r="D84" s="39" t="s">
        <v>24</v>
      </c>
      <c r="F84" s="59"/>
      <c r="G84" s="47">
        <v>20000</v>
      </c>
      <c r="H84" s="47">
        <v>0</v>
      </c>
      <c r="I84" s="47">
        <v>0</v>
      </c>
      <c r="J84" s="59"/>
      <c r="K84" s="59"/>
      <c r="L84" s="59"/>
      <c r="M84" s="59"/>
      <c r="N84" s="59"/>
      <c r="O84" s="59"/>
      <c r="P84" s="59"/>
    </row>
    <row r="85" spans="2:16" x14ac:dyDescent="0.35">
      <c r="B85" s="39" t="s">
        <v>47</v>
      </c>
      <c r="C85" s="39"/>
      <c r="D85" s="39" t="s">
        <v>24</v>
      </c>
      <c r="F85" s="59"/>
      <c r="G85" s="47">
        <v>15000</v>
      </c>
      <c r="H85" s="47">
        <v>0</v>
      </c>
      <c r="I85" s="47">
        <v>0</v>
      </c>
      <c r="J85" s="59"/>
      <c r="K85" s="59"/>
      <c r="L85" s="59"/>
      <c r="M85" s="59"/>
      <c r="N85" s="59"/>
      <c r="O85" s="59"/>
      <c r="P85" s="59"/>
    </row>
    <row r="88" spans="2:16" x14ac:dyDescent="0.35">
      <c r="B88" s="43" t="s">
        <v>38</v>
      </c>
      <c r="C88" s="43"/>
      <c r="D88" s="43"/>
      <c r="E88" s="44"/>
      <c r="F88" s="44"/>
      <c r="G88" s="44"/>
      <c r="H88" s="44"/>
      <c r="I88" s="44"/>
      <c r="J88" s="44"/>
      <c r="K88" s="44"/>
      <c r="L88" s="44"/>
      <c r="M88" s="44"/>
      <c r="N88" s="44"/>
      <c r="O88" s="44"/>
      <c r="P88" s="44"/>
    </row>
    <row r="89" spans="2:16" x14ac:dyDescent="0.35">
      <c r="B89" s="39" t="s">
        <v>41</v>
      </c>
      <c r="C89" s="39"/>
      <c r="D89" s="39" t="s">
        <v>40</v>
      </c>
      <c r="F89" s="58"/>
      <c r="G89" s="42">
        <v>2000</v>
      </c>
      <c r="H89" s="42">
        <v>1000</v>
      </c>
      <c r="I89" s="42">
        <v>0</v>
      </c>
      <c r="J89" s="58"/>
      <c r="K89" s="58"/>
      <c r="L89" s="58"/>
      <c r="M89" s="58"/>
      <c r="N89" s="58"/>
      <c r="O89" s="58"/>
      <c r="P89" s="58"/>
    </row>
    <row r="90" spans="2:16" x14ac:dyDescent="0.35">
      <c r="D90" s="39" t="s">
        <v>39</v>
      </c>
      <c r="F90" s="59"/>
      <c r="G90" s="47">
        <v>150</v>
      </c>
      <c r="H90" s="47">
        <v>150</v>
      </c>
      <c r="I90" s="47">
        <v>0</v>
      </c>
      <c r="J90" s="59"/>
      <c r="K90" s="59"/>
      <c r="L90" s="59"/>
      <c r="M90" s="59"/>
      <c r="N90" s="59"/>
      <c r="O90" s="59"/>
      <c r="P90" s="59"/>
    </row>
    <row r="91" spans="2:16" x14ac:dyDescent="0.35">
      <c r="B91" s="39" t="s">
        <v>105</v>
      </c>
      <c r="C91" s="39"/>
      <c r="D91" s="39" t="s">
        <v>40</v>
      </c>
      <c r="F91" s="58"/>
      <c r="G91" s="42">
        <v>2000</v>
      </c>
      <c r="H91" s="42">
        <v>1500</v>
      </c>
      <c r="I91" s="42">
        <v>0</v>
      </c>
      <c r="J91" s="58"/>
      <c r="K91" s="58"/>
      <c r="L91" s="58"/>
      <c r="M91" s="58"/>
      <c r="N91" s="58"/>
      <c r="O91" s="58"/>
      <c r="P91" s="58"/>
    </row>
    <row r="92" spans="2:16" x14ac:dyDescent="0.35">
      <c r="D92" s="39" t="s">
        <v>39</v>
      </c>
      <c r="F92" s="59"/>
      <c r="G92" s="47">
        <v>200</v>
      </c>
      <c r="H92" s="47">
        <v>200</v>
      </c>
      <c r="I92" s="47">
        <v>0</v>
      </c>
      <c r="J92" s="59"/>
      <c r="K92" s="59"/>
      <c r="L92" s="59"/>
      <c r="M92" s="59"/>
      <c r="N92" s="59"/>
      <c r="O92" s="59"/>
      <c r="P92" s="59"/>
    </row>
    <row r="93" spans="2:16" x14ac:dyDescent="0.35">
      <c r="B93" s="39" t="s">
        <v>42</v>
      </c>
      <c r="C93" s="39"/>
      <c r="D93" s="39" t="s">
        <v>40</v>
      </c>
      <c r="F93" s="58"/>
      <c r="G93" s="42">
        <v>1000</v>
      </c>
      <c r="H93" s="42">
        <v>1000</v>
      </c>
      <c r="I93" s="42">
        <v>0</v>
      </c>
      <c r="J93" s="58"/>
      <c r="K93" s="58"/>
      <c r="L93" s="58"/>
      <c r="M93" s="58"/>
      <c r="N93" s="58"/>
      <c r="O93" s="58"/>
      <c r="P93" s="58"/>
    </row>
    <row r="94" spans="2:16" x14ac:dyDescent="0.35">
      <c r="D94" s="39" t="s">
        <v>39</v>
      </c>
      <c r="F94" s="59"/>
      <c r="G94" s="47">
        <v>400</v>
      </c>
      <c r="H94" s="47">
        <v>400</v>
      </c>
      <c r="I94" s="47">
        <v>0</v>
      </c>
      <c r="J94" s="59"/>
      <c r="K94" s="59"/>
      <c r="L94" s="59"/>
      <c r="M94" s="59"/>
      <c r="N94" s="59"/>
      <c r="O94" s="59"/>
      <c r="P94" s="59"/>
    </row>
    <row r="95" spans="2:16" x14ac:dyDescent="0.35">
      <c r="B95" s="39" t="s">
        <v>43</v>
      </c>
      <c r="C95" s="39"/>
      <c r="D95" s="39" t="s">
        <v>25</v>
      </c>
      <c r="F95" s="58"/>
      <c r="G95" s="42">
        <v>500</v>
      </c>
      <c r="H95" s="42">
        <v>500</v>
      </c>
      <c r="I95" s="42">
        <v>0</v>
      </c>
      <c r="J95" s="58"/>
      <c r="K95" s="58"/>
      <c r="L95" s="58"/>
      <c r="M95" s="58"/>
      <c r="N95" s="58"/>
      <c r="O95" s="58"/>
      <c r="P95" s="58"/>
    </row>
    <row r="96" spans="2:16" x14ac:dyDescent="0.35">
      <c r="D96" s="39" t="s">
        <v>44</v>
      </c>
      <c r="F96" s="59"/>
      <c r="G96" s="47">
        <v>300</v>
      </c>
      <c r="H96" s="47">
        <v>300</v>
      </c>
      <c r="I96" s="47">
        <v>0</v>
      </c>
      <c r="J96" s="59"/>
      <c r="K96" s="59"/>
      <c r="L96" s="59"/>
      <c r="M96" s="59"/>
      <c r="N96" s="59"/>
      <c r="O96" s="59"/>
      <c r="P96" s="59"/>
    </row>
    <row r="97" spans="2:16" x14ac:dyDescent="0.35">
      <c r="B97" s="39" t="s">
        <v>45</v>
      </c>
      <c r="C97" s="39"/>
      <c r="D97" s="39" t="s">
        <v>25</v>
      </c>
      <c r="F97" s="58"/>
      <c r="G97" s="42">
        <v>400</v>
      </c>
      <c r="H97" s="42">
        <v>400</v>
      </c>
      <c r="I97" s="42">
        <v>0</v>
      </c>
      <c r="J97" s="58"/>
      <c r="K97" s="58"/>
      <c r="L97" s="58"/>
      <c r="M97" s="58"/>
      <c r="N97" s="58"/>
      <c r="O97" s="58"/>
      <c r="P97" s="58"/>
    </row>
    <row r="98" spans="2:16" x14ac:dyDescent="0.35">
      <c r="D98" s="39" t="s">
        <v>44</v>
      </c>
      <c r="F98" s="59"/>
      <c r="G98" s="47">
        <v>600</v>
      </c>
      <c r="H98" s="47">
        <v>600</v>
      </c>
      <c r="I98" s="47">
        <v>0</v>
      </c>
      <c r="J98" s="59"/>
      <c r="K98" s="59"/>
      <c r="L98" s="59"/>
      <c r="M98" s="59"/>
      <c r="N98" s="59"/>
      <c r="O98" s="59"/>
      <c r="P98" s="59"/>
    </row>
    <row r="99" spans="2:16" x14ac:dyDescent="0.35">
      <c r="B99" s="39" t="s">
        <v>46</v>
      </c>
      <c r="C99" s="39"/>
      <c r="D99" s="39" t="s">
        <v>25</v>
      </c>
      <c r="F99" s="58"/>
      <c r="G99" s="42">
        <v>100</v>
      </c>
      <c r="H99" s="42">
        <v>100</v>
      </c>
      <c r="I99" s="42">
        <v>0</v>
      </c>
      <c r="J99" s="58"/>
      <c r="K99" s="58"/>
      <c r="L99" s="58"/>
      <c r="M99" s="58"/>
      <c r="N99" s="58"/>
      <c r="O99" s="58"/>
      <c r="P99" s="58"/>
    </row>
    <row r="100" spans="2:16" x14ac:dyDescent="0.35">
      <c r="D100" s="39" t="s">
        <v>35</v>
      </c>
      <c r="F100" s="59"/>
      <c r="G100" s="47">
        <v>500</v>
      </c>
      <c r="H100" s="47">
        <v>500</v>
      </c>
      <c r="I100" s="47">
        <v>0</v>
      </c>
      <c r="J100" s="59"/>
      <c r="K100" s="59"/>
      <c r="L100" s="59"/>
      <c r="M100" s="59"/>
      <c r="N100" s="59"/>
      <c r="O100" s="59"/>
      <c r="P100" s="59"/>
    </row>
    <row r="101" spans="2:16" x14ac:dyDescent="0.35">
      <c r="B101" s="39" t="s">
        <v>47</v>
      </c>
      <c r="C101" s="39"/>
      <c r="D101" s="39" t="s">
        <v>24</v>
      </c>
      <c r="F101" s="59"/>
      <c r="G101" s="47">
        <v>500000</v>
      </c>
      <c r="H101" s="47">
        <v>250000</v>
      </c>
      <c r="I101" s="47">
        <v>0</v>
      </c>
      <c r="J101" s="59"/>
      <c r="K101" s="59"/>
      <c r="L101" s="59"/>
      <c r="M101" s="59"/>
      <c r="N101" s="59"/>
      <c r="O101" s="59"/>
      <c r="P101" s="59"/>
    </row>
    <row r="103" spans="2:16" x14ac:dyDescent="0.35">
      <c r="B103" s="43" t="s">
        <v>54</v>
      </c>
      <c r="C103" s="43"/>
      <c r="D103" s="43"/>
      <c r="E103" s="44"/>
      <c r="F103" s="44"/>
      <c r="G103" s="44"/>
      <c r="H103" s="44"/>
      <c r="I103" s="44"/>
      <c r="J103" s="44"/>
      <c r="K103" s="44"/>
      <c r="L103" s="44"/>
      <c r="M103" s="44"/>
      <c r="N103" s="44"/>
      <c r="O103" s="44"/>
      <c r="P103" s="44"/>
    </row>
    <row r="104" spans="2:16" x14ac:dyDescent="0.35">
      <c r="B104" s="39" t="s">
        <v>55</v>
      </c>
      <c r="C104" s="39"/>
      <c r="D104" s="39" t="s">
        <v>24</v>
      </c>
      <c r="F104" s="59"/>
      <c r="G104" s="47">
        <v>100000</v>
      </c>
      <c r="H104" s="47">
        <v>0</v>
      </c>
      <c r="I104" s="47">
        <v>0</v>
      </c>
      <c r="J104" s="59"/>
      <c r="K104" s="59"/>
      <c r="L104" s="59"/>
      <c r="M104" s="59"/>
      <c r="N104" s="59"/>
      <c r="O104" s="59"/>
      <c r="P104" s="59"/>
    </row>
    <row r="105" spans="2:16" x14ac:dyDescent="0.35">
      <c r="B105" s="39" t="s">
        <v>56</v>
      </c>
      <c r="C105" s="39"/>
      <c r="D105" s="39" t="s">
        <v>24</v>
      </c>
      <c r="F105" s="59"/>
      <c r="G105" s="47">
        <v>50000</v>
      </c>
      <c r="H105" s="47">
        <v>0</v>
      </c>
      <c r="I105" s="47">
        <v>0</v>
      </c>
      <c r="J105" s="59"/>
      <c r="K105" s="59"/>
      <c r="L105" s="59"/>
      <c r="M105" s="59"/>
      <c r="N105" s="59"/>
      <c r="O105" s="59"/>
      <c r="P105" s="59"/>
    </row>
    <row r="106" spans="2:16" x14ac:dyDescent="0.35">
      <c r="B106" s="39" t="s">
        <v>81</v>
      </c>
      <c r="C106" s="39"/>
      <c r="D106" s="39" t="s">
        <v>24</v>
      </c>
      <c r="F106" s="59"/>
      <c r="G106" s="47">
        <v>200000</v>
      </c>
      <c r="H106" s="47">
        <v>0</v>
      </c>
      <c r="I106" s="47">
        <v>0</v>
      </c>
      <c r="J106" s="59"/>
      <c r="K106" s="59"/>
      <c r="L106" s="59"/>
      <c r="M106" s="59"/>
      <c r="N106" s="59"/>
      <c r="O106" s="59"/>
      <c r="P106" s="59"/>
    </row>
    <row r="107" spans="2:16" x14ac:dyDescent="0.35">
      <c r="B107" s="39" t="s">
        <v>82</v>
      </c>
      <c r="C107" s="39"/>
      <c r="D107" s="39" t="s">
        <v>24</v>
      </c>
      <c r="F107" s="59"/>
      <c r="G107" s="47">
        <v>350000</v>
      </c>
      <c r="H107" s="47">
        <v>0</v>
      </c>
      <c r="I107" s="47">
        <v>0</v>
      </c>
      <c r="J107" s="59"/>
      <c r="K107" s="59"/>
      <c r="L107" s="59"/>
      <c r="M107" s="59"/>
      <c r="N107" s="59"/>
      <c r="O107" s="59"/>
      <c r="P107" s="59"/>
    </row>
    <row r="108" spans="2:16" x14ac:dyDescent="0.35">
      <c r="B108" s="39" t="s">
        <v>47</v>
      </c>
      <c r="C108" s="39"/>
      <c r="D108" s="39" t="s">
        <v>24</v>
      </c>
      <c r="F108" s="59"/>
      <c r="G108" s="47">
        <v>100000</v>
      </c>
      <c r="H108" s="47">
        <v>0</v>
      </c>
      <c r="I108" s="47">
        <v>0</v>
      </c>
      <c r="J108" s="59"/>
      <c r="K108" s="59"/>
      <c r="L108" s="59"/>
      <c r="M108" s="59"/>
      <c r="N108" s="59"/>
      <c r="O108" s="59"/>
      <c r="P108" s="59"/>
    </row>
    <row r="110" spans="2:16" x14ac:dyDescent="0.35">
      <c r="B110" s="43" t="s">
        <v>48</v>
      </c>
      <c r="C110" s="43"/>
      <c r="D110" s="43"/>
      <c r="E110" s="44"/>
      <c r="F110" s="44"/>
      <c r="G110" s="44"/>
      <c r="H110" s="44"/>
      <c r="I110" s="44"/>
      <c r="J110" s="44"/>
      <c r="K110" s="44"/>
      <c r="L110" s="44"/>
      <c r="M110" s="44"/>
      <c r="N110" s="44"/>
      <c r="O110" s="44"/>
      <c r="P110" s="44"/>
    </row>
    <row r="111" spans="2:16" x14ac:dyDescent="0.35">
      <c r="B111" s="39" t="s">
        <v>49</v>
      </c>
      <c r="C111" s="39"/>
      <c r="D111" s="39" t="s">
        <v>25</v>
      </c>
      <c r="F111" s="58"/>
      <c r="G111" s="42">
        <v>1000</v>
      </c>
      <c r="H111" s="42">
        <v>0</v>
      </c>
      <c r="I111" s="42">
        <v>0</v>
      </c>
      <c r="J111" s="58"/>
      <c r="K111" s="58"/>
      <c r="L111" s="58"/>
      <c r="M111" s="58"/>
      <c r="N111" s="58"/>
      <c r="O111" s="58"/>
      <c r="P111" s="58"/>
    </row>
    <row r="112" spans="2:16" x14ac:dyDescent="0.35">
      <c r="D112" s="39" t="s">
        <v>50</v>
      </c>
      <c r="F112" s="59"/>
      <c r="G112" s="47">
        <v>40</v>
      </c>
      <c r="H112" s="47">
        <v>0</v>
      </c>
      <c r="I112" s="47">
        <v>0</v>
      </c>
      <c r="J112" s="59"/>
      <c r="K112" s="59"/>
      <c r="L112" s="59"/>
      <c r="M112" s="59"/>
      <c r="N112" s="59"/>
      <c r="O112" s="59"/>
      <c r="P112" s="59"/>
    </row>
    <row r="113" spans="2:16" x14ac:dyDescent="0.35">
      <c r="B113" s="39" t="s">
        <v>51</v>
      </c>
      <c r="C113" s="39"/>
      <c r="D113" s="39" t="s">
        <v>25</v>
      </c>
      <c r="F113" s="58"/>
      <c r="G113" s="42">
        <v>600</v>
      </c>
      <c r="H113" s="42">
        <v>0</v>
      </c>
      <c r="I113" s="42">
        <v>0</v>
      </c>
      <c r="J113" s="58"/>
      <c r="K113" s="58"/>
      <c r="L113" s="58"/>
      <c r="M113" s="58"/>
      <c r="N113" s="58"/>
      <c r="O113" s="58"/>
      <c r="P113" s="58"/>
    </row>
    <row r="114" spans="2:16" x14ac:dyDescent="0.35">
      <c r="D114" s="39" t="s">
        <v>50</v>
      </c>
      <c r="F114" s="59"/>
      <c r="G114" s="47">
        <v>80</v>
      </c>
      <c r="H114" s="47">
        <v>0</v>
      </c>
      <c r="I114" s="47">
        <v>0</v>
      </c>
      <c r="J114" s="59"/>
      <c r="K114" s="59"/>
      <c r="L114" s="59"/>
      <c r="M114" s="59"/>
      <c r="N114" s="59"/>
      <c r="O114" s="59"/>
      <c r="P114" s="59"/>
    </row>
    <row r="115" spans="2:16" x14ac:dyDescent="0.35">
      <c r="B115" s="39" t="s">
        <v>52</v>
      </c>
      <c r="C115" s="39"/>
      <c r="D115" s="39" t="s">
        <v>25</v>
      </c>
      <c r="F115" s="58"/>
      <c r="G115" s="42">
        <v>250</v>
      </c>
      <c r="H115" s="42">
        <v>0</v>
      </c>
      <c r="I115" s="42">
        <v>0</v>
      </c>
      <c r="J115" s="58"/>
      <c r="K115" s="58"/>
      <c r="L115" s="58"/>
      <c r="M115" s="58"/>
      <c r="N115" s="58"/>
      <c r="O115" s="58"/>
      <c r="P115" s="58"/>
    </row>
    <row r="116" spans="2:16" x14ac:dyDescent="0.35">
      <c r="D116" s="39" t="s">
        <v>50</v>
      </c>
      <c r="F116" s="59"/>
      <c r="G116" s="47">
        <v>150</v>
      </c>
      <c r="H116" s="47">
        <v>0</v>
      </c>
      <c r="I116" s="47">
        <v>0</v>
      </c>
      <c r="J116" s="59"/>
      <c r="K116" s="59"/>
      <c r="L116" s="59"/>
      <c r="M116" s="59"/>
      <c r="N116" s="59"/>
      <c r="O116" s="59"/>
      <c r="P116" s="59"/>
    </row>
    <row r="117" spans="2:16" x14ac:dyDescent="0.35">
      <c r="B117" s="39" t="s">
        <v>53</v>
      </c>
      <c r="C117" s="39"/>
      <c r="D117" s="39" t="s">
        <v>25</v>
      </c>
      <c r="F117" s="58"/>
      <c r="G117" s="42">
        <v>50</v>
      </c>
      <c r="H117" s="42">
        <v>0</v>
      </c>
      <c r="I117" s="42">
        <v>0</v>
      </c>
      <c r="J117" s="58"/>
      <c r="K117" s="58"/>
      <c r="L117" s="58"/>
      <c r="M117" s="58"/>
      <c r="N117" s="58"/>
      <c r="O117" s="58"/>
      <c r="P117" s="58"/>
    </row>
    <row r="118" spans="2:16" x14ac:dyDescent="0.35">
      <c r="D118" s="39" t="s">
        <v>50</v>
      </c>
      <c r="F118" s="59"/>
      <c r="G118" s="47">
        <v>300</v>
      </c>
      <c r="H118" s="47">
        <v>0</v>
      </c>
      <c r="I118" s="47">
        <v>0</v>
      </c>
      <c r="J118" s="59"/>
      <c r="K118" s="59"/>
      <c r="L118" s="59"/>
      <c r="M118" s="59"/>
      <c r="N118" s="59"/>
      <c r="O118" s="59"/>
      <c r="P118" s="59"/>
    </row>
    <row r="119" spans="2:16" x14ac:dyDescent="0.35">
      <c r="B119" s="39" t="s">
        <v>83</v>
      </c>
      <c r="C119" s="39"/>
      <c r="D119" s="39" t="s">
        <v>24</v>
      </c>
      <c r="F119" s="59"/>
      <c r="G119" s="47">
        <v>10000</v>
      </c>
      <c r="H119" s="47">
        <v>0</v>
      </c>
      <c r="I119" s="47">
        <v>0</v>
      </c>
      <c r="J119" s="59"/>
      <c r="K119" s="59"/>
      <c r="L119" s="59"/>
      <c r="M119" s="59"/>
      <c r="N119" s="59"/>
      <c r="O119" s="59"/>
      <c r="P119" s="59"/>
    </row>
    <row r="120" spans="2:16" x14ac:dyDescent="0.35">
      <c r="B120" s="39" t="s">
        <v>47</v>
      </c>
      <c r="C120" s="39"/>
      <c r="D120" s="39" t="s">
        <v>24</v>
      </c>
      <c r="F120" s="59"/>
      <c r="G120" s="47">
        <v>25000</v>
      </c>
      <c r="H120" s="47">
        <v>0</v>
      </c>
      <c r="I120" s="47">
        <v>0</v>
      </c>
      <c r="J120" s="59"/>
      <c r="K120" s="59"/>
      <c r="L120" s="59"/>
      <c r="M120" s="59"/>
      <c r="N120" s="59"/>
      <c r="O120" s="59"/>
      <c r="P120" s="59"/>
    </row>
    <row r="121" spans="2:16" x14ac:dyDescent="0.35">
      <c r="D121" s="39"/>
    </row>
    <row r="122" spans="2:16" x14ac:dyDescent="0.35">
      <c r="B122" s="43" t="s">
        <v>139</v>
      </c>
      <c r="C122" s="43"/>
      <c r="D122" s="43"/>
      <c r="E122" s="44"/>
      <c r="F122" s="44"/>
      <c r="G122" s="44"/>
      <c r="H122" s="44"/>
      <c r="I122" s="44"/>
      <c r="J122" s="44"/>
      <c r="K122" s="44"/>
      <c r="L122" s="44"/>
      <c r="M122" s="44"/>
      <c r="N122" s="44"/>
      <c r="O122" s="44"/>
      <c r="P122" s="44"/>
    </row>
    <row r="123" spans="2:16" x14ac:dyDescent="0.35">
      <c r="B123" s="39" t="s">
        <v>75</v>
      </c>
      <c r="C123" s="39"/>
      <c r="D123" s="39" t="s">
        <v>24</v>
      </c>
      <c r="F123" s="59"/>
      <c r="G123" s="47">
        <v>100000</v>
      </c>
      <c r="H123" s="47">
        <v>0</v>
      </c>
      <c r="I123" s="47">
        <v>0</v>
      </c>
      <c r="J123" s="59"/>
      <c r="K123" s="59"/>
      <c r="L123" s="59"/>
      <c r="M123" s="59"/>
      <c r="N123" s="59"/>
      <c r="O123" s="59"/>
      <c r="P123" s="59"/>
    </row>
    <row r="124" spans="2:16" x14ac:dyDescent="0.35">
      <c r="B124" s="39" t="s">
        <v>76</v>
      </c>
      <c r="C124" s="39"/>
      <c r="D124" s="39" t="s">
        <v>24</v>
      </c>
      <c r="F124" s="59"/>
      <c r="G124" s="47">
        <v>50000</v>
      </c>
      <c r="H124" s="47">
        <v>0</v>
      </c>
      <c r="I124" s="47">
        <v>0</v>
      </c>
      <c r="J124" s="59"/>
      <c r="K124" s="59"/>
      <c r="L124" s="59"/>
      <c r="M124" s="59"/>
      <c r="N124" s="59"/>
      <c r="O124" s="59"/>
      <c r="P124" s="59"/>
    </row>
    <row r="125" spans="2:16" x14ac:dyDescent="0.35">
      <c r="B125" s="39" t="s">
        <v>17</v>
      </c>
      <c r="C125" s="39"/>
      <c r="D125" s="39" t="s">
        <v>24</v>
      </c>
      <c r="F125" s="59"/>
      <c r="G125" s="47">
        <v>25000</v>
      </c>
      <c r="H125" s="47">
        <v>0</v>
      </c>
      <c r="I125" s="47">
        <v>0</v>
      </c>
      <c r="J125" s="59"/>
      <c r="K125" s="59"/>
      <c r="L125" s="59"/>
      <c r="M125" s="59"/>
      <c r="N125" s="59"/>
      <c r="O125" s="59"/>
      <c r="P125" s="59"/>
    </row>
    <row r="126" spans="2:16" x14ac:dyDescent="0.35">
      <c r="B126" s="39"/>
      <c r="C126" s="39"/>
      <c r="D126" s="39"/>
      <c r="F126" s="59"/>
      <c r="G126" s="47"/>
      <c r="H126" s="47"/>
      <c r="I126" s="47"/>
      <c r="J126" s="59"/>
      <c r="K126" s="59"/>
      <c r="L126" s="59"/>
      <c r="M126" s="59"/>
      <c r="N126" s="59"/>
      <c r="O126" s="59"/>
      <c r="P126" s="59"/>
    </row>
    <row r="127" spans="2:16" x14ac:dyDescent="0.35">
      <c r="B127" s="40" t="s">
        <v>147</v>
      </c>
      <c r="C127" s="40"/>
      <c r="D127" s="40"/>
      <c r="E127" s="40"/>
      <c r="F127" s="40"/>
      <c r="G127" s="40"/>
      <c r="H127" s="40"/>
      <c r="I127" s="40"/>
      <c r="J127" s="40"/>
      <c r="K127" s="40"/>
      <c r="L127" s="40"/>
      <c r="M127" s="40"/>
      <c r="N127" s="40"/>
      <c r="O127" s="40"/>
      <c r="P127" s="40"/>
    </row>
    <row r="128" spans="2:16" s="51" customFormat="1" x14ac:dyDescent="0.35">
      <c r="B128" s="60"/>
      <c r="C128" s="60"/>
      <c r="D128" s="60"/>
      <c r="F128" s="59"/>
      <c r="G128" s="59"/>
      <c r="H128" s="59"/>
      <c r="I128" s="59"/>
      <c r="J128" s="59"/>
      <c r="K128" s="59"/>
      <c r="L128" s="59"/>
      <c r="M128" s="59"/>
      <c r="N128" s="59"/>
      <c r="O128" s="59"/>
      <c r="P128" s="59"/>
    </row>
    <row r="129" spans="2:16" s="51" customFormat="1" x14ac:dyDescent="0.35">
      <c r="B129" s="20" t="s">
        <v>179</v>
      </c>
      <c r="C129" s="61">
        <f>'Finance &amp; CBA'!D20</f>
        <v>6189400</v>
      </c>
      <c r="D129" s="60"/>
      <c r="F129" s="59"/>
      <c r="G129" s="59"/>
      <c r="H129" s="59"/>
      <c r="I129" s="59"/>
      <c r="J129" s="59"/>
      <c r="K129" s="59"/>
      <c r="L129" s="59"/>
      <c r="M129" s="59"/>
      <c r="N129" s="59"/>
      <c r="O129" s="59"/>
      <c r="P129" s="59"/>
    </row>
    <row r="130" spans="2:16" s="51" customFormat="1" x14ac:dyDescent="0.35">
      <c r="B130" s="20" t="s">
        <v>180</v>
      </c>
      <c r="C130" s="62">
        <v>0.3</v>
      </c>
      <c r="D130" s="60"/>
      <c r="F130" s="59"/>
      <c r="G130" s="59"/>
      <c r="H130" s="59"/>
      <c r="I130" s="59"/>
      <c r="J130" s="59"/>
      <c r="K130" s="59"/>
      <c r="L130" s="59"/>
      <c r="M130" s="59"/>
      <c r="N130" s="59"/>
      <c r="O130" s="59"/>
      <c r="P130" s="59"/>
    </row>
    <row r="131" spans="2:16" s="51" customFormat="1" x14ac:dyDescent="0.35">
      <c r="B131" s="5" t="s">
        <v>142</v>
      </c>
      <c r="C131" s="63">
        <f>C129*C130</f>
        <v>1856820</v>
      </c>
      <c r="D131" s="60"/>
      <c r="F131" s="59"/>
      <c r="G131" s="59"/>
      <c r="H131" s="59"/>
      <c r="I131" s="59"/>
      <c r="J131" s="59"/>
      <c r="K131" s="59"/>
      <c r="L131" s="59"/>
      <c r="M131" s="59"/>
      <c r="N131" s="59"/>
      <c r="O131" s="59"/>
      <c r="P131" s="59"/>
    </row>
    <row r="132" spans="2:16" s="51" customFormat="1" x14ac:dyDescent="0.35">
      <c r="B132" s="5" t="s">
        <v>152</v>
      </c>
      <c r="C132" s="64">
        <f>(C131*C133)*C135</f>
        <v>185682</v>
      </c>
      <c r="D132" s="60"/>
      <c r="F132" s="59"/>
      <c r="G132" s="59"/>
      <c r="H132" s="59"/>
      <c r="I132" s="59"/>
      <c r="J132" s="59"/>
      <c r="K132" s="59"/>
      <c r="L132" s="59"/>
      <c r="M132" s="59"/>
      <c r="N132" s="59"/>
      <c r="O132" s="59"/>
      <c r="P132" s="59"/>
    </row>
    <row r="133" spans="2:16" s="51" customFormat="1" x14ac:dyDescent="0.35">
      <c r="B133" s="5" t="s">
        <v>143</v>
      </c>
      <c r="C133" s="65">
        <v>0.1</v>
      </c>
      <c r="D133" s="60"/>
      <c r="F133" s="59"/>
      <c r="G133" s="59"/>
      <c r="H133" s="59"/>
      <c r="I133" s="59"/>
      <c r="J133" s="59"/>
      <c r="K133" s="59"/>
      <c r="L133" s="59"/>
      <c r="M133" s="59"/>
      <c r="N133" s="59"/>
      <c r="O133" s="59"/>
      <c r="P133" s="59"/>
    </row>
    <row r="134" spans="2:16" s="51" customFormat="1" x14ac:dyDescent="0.35">
      <c r="B134" s="5" t="s">
        <v>148</v>
      </c>
      <c r="C134" s="66">
        <v>5</v>
      </c>
      <c r="D134" s="60"/>
      <c r="F134" s="59"/>
      <c r="G134" s="59"/>
      <c r="H134" s="59"/>
      <c r="I134" s="59"/>
      <c r="J134" s="59"/>
      <c r="K134" s="59"/>
      <c r="L134" s="59"/>
      <c r="M134" s="59"/>
      <c r="N134" s="59"/>
      <c r="O134" s="59"/>
      <c r="P134" s="59"/>
    </row>
    <row r="135" spans="2:16" s="51" customFormat="1" x14ac:dyDescent="0.35">
      <c r="B135" s="5" t="s">
        <v>144</v>
      </c>
      <c r="C135" s="66">
        <v>1</v>
      </c>
      <c r="D135" s="60"/>
      <c r="F135" s="59"/>
      <c r="G135" s="59"/>
      <c r="H135" s="59"/>
      <c r="I135" s="59"/>
      <c r="J135" s="59"/>
      <c r="K135" s="59"/>
      <c r="L135" s="59"/>
      <c r="M135" s="59"/>
      <c r="N135" s="59"/>
      <c r="O135" s="59"/>
      <c r="P135" s="59"/>
    </row>
    <row r="136" spans="2:16" s="51" customFormat="1" x14ac:dyDescent="0.35">
      <c r="B136" s="5" t="s">
        <v>146</v>
      </c>
      <c r="C136" s="66">
        <v>1</v>
      </c>
      <c r="D136" s="60"/>
      <c r="F136" s="59"/>
      <c r="G136" s="59"/>
      <c r="H136" s="59"/>
      <c r="I136" s="59"/>
      <c r="J136" s="59"/>
      <c r="K136" s="59"/>
      <c r="L136" s="59"/>
      <c r="M136" s="59"/>
      <c r="N136" s="59"/>
      <c r="O136" s="59"/>
      <c r="P136" s="59"/>
    </row>
    <row r="137" spans="2:16" s="51" customFormat="1" x14ac:dyDescent="0.35">
      <c r="B137" s="5" t="s">
        <v>145</v>
      </c>
      <c r="C137" s="67">
        <f>C136+C135</f>
        <v>2</v>
      </c>
      <c r="D137" s="60"/>
      <c r="F137" s="59"/>
      <c r="G137" s="59"/>
      <c r="H137" s="59"/>
      <c r="I137" s="59"/>
      <c r="J137" s="59"/>
      <c r="K137" s="59"/>
      <c r="L137" s="59"/>
      <c r="M137" s="59"/>
      <c r="N137" s="59"/>
      <c r="O137" s="59"/>
      <c r="P137" s="59"/>
    </row>
    <row r="138" spans="2:16" s="51" customFormat="1" x14ac:dyDescent="0.35">
      <c r="B138" s="60"/>
      <c r="C138" s="60"/>
      <c r="D138" s="60"/>
      <c r="F138" s="59"/>
      <c r="G138" s="59"/>
      <c r="H138" s="59"/>
      <c r="I138" s="59"/>
      <c r="J138" s="59"/>
      <c r="K138" s="59"/>
      <c r="L138" s="59"/>
      <c r="M138" s="59"/>
      <c r="N138" s="59"/>
      <c r="O138" s="59"/>
      <c r="P138" s="59"/>
    </row>
    <row r="139" spans="2:16" x14ac:dyDescent="0.35">
      <c r="B139" s="39" t="s">
        <v>149</v>
      </c>
      <c r="C139" s="39"/>
      <c r="D139" s="39"/>
      <c r="F139" s="59"/>
      <c r="G139" s="68">
        <f>IF(G3&lt;$C$136+$C$135,0,IF(G3&gt;$C$134+$C$136,0,($C$131+$C$132)/$C$134))</f>
        <v>0</v>
      </c>
      <c r="H139" s="68">
        <f t="shared" ref="H139:P139" si="21">IF(H3&lt;$C$136+$C$135,0,IF(H3&gt;$C$134+$C$136,0,($C$131+$C$132)/$C$134))</f>
        <v>408500.4</v>
      </c>
      <c r="I139" s="68">
        <f t="shared" si="21"/>
        <v>408500.4</v>
      </c>
      <c r="J139" s="68">
        <f t="shared" si="21"/>
        <v>408500.4</v>
      </c>
      <c r="K139" s="68">
        <f t="shared" si="21"/>
        <v>408500.4</v>
      </c>
      <c r="L139" s="68">
        <f t="shared" si="21"/>
        <v>408500.4</v>
      </c>
      <c r="M139" s="68">
        <f t="shared" si="21"/>
        <v>0</v>
      </c>
      <c r="N139" s="68">
        <f t="shared" si="21"/>
        <v>0</v>
      </c>
      <c r="O139" s="68">
        <f t="shared" si="21"/>
        <v>0</v>
      </c>
      <c r="P139" s="68">
        <f t="shared" si="21"/>
        <v>0</v>
      </c>
    </row>
    <row r="140" spans="2:16" s="51" customFormat="1" x14ac:dyDescent="0.35">
      <c r="B140" s="60" t="s">
        <v>150</v>
      </c>
      <c r="C140" s="60"/>
      <c r="D140" s="60"/>
      <c r="F140" s="59"/>
      <c r="G140" s="68">
        <f>IF(G3&lt;$C$137,0,IF(G3&gt;$C$134+$C$136,0,($C$131+$C$132))*$C$133)</f>
        <v>0</v>
      </c>
      <c r="H140" s="68">
        <f>IF(H3&lt;$C$137,0,IF(H3&gt;$C$134+$C$136,0,($C$131+$C$132)-G$139)*$C$133)</f>
        <v>204250.2</v>
      </c>
      <c r="I140" s="68">
        <f>IF(I3&lt;$C$137,0,IF(I3&gt;$C$134+$C$136,0,($C$131+$C$132)-G139-H$139)*$C$133)</f>
        <v>163400.16000000003</v>
      </c>
      <c r="J140" s="68">
        <f>IF(J3&lt;$C$137,0,IF(J3&gt;$C$134+$C$136,0,($C$131+$C$132-G139-H139-I$139)*$C$133))</f>
        <v>122550.12000000002</v>
      </c>
      <c r="K140" s="68">
        <f>IF(K3&lt;$C$137,0,IF(K3&gt;$C$134+$C$136,0,($C$131+$C$132-G139-H139-I139-J$139)*$C$133))</f>
        <v>81700.080000000016</v>
      </c>
      <c r="L140" s="68">
        <f>IF(L3&lt;$C$137,0,IF(L3&gt;$C$134+$C$136,0,($C$131+$C$132-G139-H139-I139-J139-K$139)*$C$133))</f>
        <v>40850.040000000015</v>
      </c>
      <c r="M140" s="68">
        <f>IF(M3&lt;$C$137,0,IF(M3&gt;$C$134+$C$136,0,($C$131+$C$132-G139-H139-I139-J139-K139-L$139)*$C$133))</f>
        <v>0</v>
      </c>
      <c r="N140" s="68">
        <f>IF(N3&lt;$C$137,0,IF(N3&gt;$C$134+$C$136,0,($C$131+$C$132-G139-H139-I139-J139-K139-L139-M$139)*$C$133))</f>
        <v>0</v>
      </c>
      <c r="O140" s="68">
        <f>IF(O3&lt;$C$137,0,IF(O3&gt;$C$134+$C$136,0,($C$131+$C$132-G139-H139-I139-J139-K139-L139-M139-N$139)*$C$133))</f>
        <v>0</v>
      </c>
      <c r="P140" s="68">
        <f>IF(P3&lt;$C$137,0,IF(P3&gt;$C$134+$C$136,0,($C$131+$C$132-G139-H139-I139-J139-K139-L139-M139-N139-O$139)*$C$133))</f>
        <v>0</v>
      </c>
    </row>
    <row r="141" spans="2:16" x14ac:dyDescent="0.35">
      <c r="G141" s="69"/>
      <c r="H141" s="69"/>
      <c r="I141" s="69"/>
      <c r="J141" s="69"/>
      <c r="K141" s="69"/>
      <c r="L141" s="69"/>
      <c r="M141" s="69"/>
      <c r="N141" s="69"/>
      <c r="O141" s="69"/>
      <c r="P141" s="69"/>
    </row>
    <row r="142" spans="2:16" x14ac:dyDescent="0.35">
      <c r="B142" s="40" t="s">
        <v>86</v>
      </c>
      <c r="C142" s="40"/>
      <c r="D142" s="40"/>
      <c r="E142" s="40"/>
      <c r="F142" s="40"/>
      <c r="G142" s="70"/>
      <c r="H142" s="70"/>
      <c r="I142" s="70"/>
      <c r="J142" s="70"/>
      <c r="K142" s="70"/>
      <c r="L142" s="70"/>
      <c r="M142" s="70"/>
      <c r="N142" s="70"/>
      <c r="O142" s="70"/>
      <c r="P142" s="70"/>
    </row>
    <row r="143" spans="2:16" x14ac:dyDescent="0.35">
      <c r="G143" s="69"/>
      <c r="H143" s="69"/>
      <c r="I143" s="69"/>
      <c r="J143" s="69"/>
      <c r="K143" s="69"/>
      <c r="L143" s="69"/>
      <c r="M143" s="69"/>
      <c r="N143" s="69"/>
      <c r="O143" s="69"/>
      <c r="P143" s="69"/>
    </row>
    <row r="144" spans="2:16" x14ac:dyDescent="0.35">
      <c r="B144" s="40" t="s">
        <v>141</v>
      </c>
      <c r="C144" s="40"/>
      <c r="D144" s="40"/>
      <c r="E144" s="40"/>
      <c r="F144" s="40"/>
      <c r="G144" s="70"/>
      <c r="H144" s="70"/>
      <c r="I144" s="70"/>
      <c r="J144" s="70"/>
      <c r="K144" s="70"/>
      <c r="L144" s="70"/>
      <c r="M144" s="70"/>
      <c r="N144" s="70"/>
      <c r="O144" s="70"/>
      <c r="P144" s="70"/>
    </row>
    <row r="145" spans="2:16" x14ac:dyDescent="0.35">
      <c r="B145" s="39" t="s">
        <v>157</v>
      </c>
      <c r="C145" s="39"/>
      <c r="D145" s="39" t="s">
        <v>24</v>
      </c>
      <c r="F145" s="59"/>
      <c r="G145" s="71">
        <v>50000</v>
      </c>
      <c r="H145" s="71">
        <v>50000</v>
      </c>
      <c r="I145" s="71">
        <v>50000</v>
      </c>
      <c r="J145" s="72"/>
      <c r="K145" s="72"/>
      <c r="L145" s="72"/>
      <c r="M145" s="72"/>
      <c r="N145" s="72"/>
      <c r="O145" s="72"/>
      <c r="P145" s="72"/>
    </row>
    <row r="146" spans="2:16" x14ac:dyDescent="0.35">
      <c r="B146" s="39" t="s">
        <v>158</v>
      </c>
      <c r="C146" s="39"/>
      <c r="D146" s="39" t="s">
        <v>24</v>
      </c>
      <c r="F146" s="59"/>
      <c r="G146" s="71">
        <v>50000</v>
      </c>
      <c r="H146" s="71">
        <v>50000</v>
      </c>
      <c r="I146" s="71">
        <v>50000</v>
      </c>
      <c r="J146" s="72"/>
      <c r="K146" s="72"/>
      <c r="L146" s="72"/>
      <c r="M146" s="72"/>
      <c r="N146" s="72"/>
      <c r="O146" s="72"/>
      <c r="P146" s="72"/>
    </row>
    <row r="147" spans="2:16" x14ac:dyDescent="0.35">
      <c r="B147" s="39" t="s">
        <v>159</v>
      </c>
      <c r="C147" s="39"/>
      <c r="D147" s="39" t="s">
        <v>24</v>
      </c>
      <c r="F147" s="59"/>
      <c r="G147" s="71">
        <v>50000</v>
      </c>
      <c r="H147" s="71">
        <v>50000</v>
      </c>
      <c r="I147" s="71">
        <v>50000</v>
      </c>
      <c r="J147" s="72"/>
      <c r="K147" s="72"/>
      <c r="L147" s="72"/>
      <c r="M147" s="72"/>
      <c r="N147" s="72"/>
      <c r="O147" s="72"/>
      <c r="P147" s="72"/>
    </row>
    <row r="148" spans="2:16" x14ac:dyDescent="0.35">
      <c r="B148" s="39" t="s">
        <v>160</v>
      </c>
      <c r="C148" s="39"/>
      <c r="D148" s="39" t="s">
        <v>24</v>
      </c>
      <c r="F148" s="59"/>
      <c r="G148" s="72"/>
      <c r="H148" s="72"/>
      <c r="I148" s="72"/>
      <c r="J148" s="71">
        <v>0</v>
      </c>
      <c r="K148" s="71">
        <v>0</v>
      </c>
      <c r="L148" s="71">
        <v>0</v>
      </c>
      <c r="M148" s="71">
        <v>0</v>
      </c>
      <c r="N148" s="71">
        <v>0</v>
      </c>
      <c r="O148" s="71">
        <v>0</v>
      </c>
      <c r="P148" s="71">
        <v>0</v>
      </c>
    </row>
    <row r="149" spans="2:16" x14ac:dyDescent="0.35">
      <c r="B149" s="39" t="s">
        <v>153</v>
      </c>
      <c r="C149" s="39"/>
      <c r="D149" s="39" t="s">
        <v>24</v>
      </c>
      <c r="F149" s="59"/>
      <c r="G149" s="71">
        <v>150000</v>
      </c>
      <c r="H149" s="71">
        <v>150000</v>
      </c>
      <c r="I149" s="71">
        <v>150000</v>
      </c>
      <c r="J149" s="71">
        <v>150000</v>
      </c>
      <c r="K149" s="71">
        <v>150000</v>
      </c>
      <c r="L149" s="71">
        <v>150000</v>
      </c>
      <c r="M149" s="71">
        <v>150000</v>
      </c>
      <c r="N149" s="71">
        <v>150000</v>
      </c>
      <c r="O149" s="71">
        <v>150000</v>
      </c>
      <c r="P149" s="71">
        <v>150000</v>
      </c>
    </row>
    <row r="150" spans="2:16" x14ac:dyDescent="0.35">
      <c r="B150" s="39" t="s">
        <v>154</v>
      </c>
      <c r="C150" s="39"/>
      <c r="D150" s="39" t="s">
        <v>24</v>
      </c>
      <c r="F150" s="59"/>
      <c r="G150" s="71">
        <v>500000</v>
      </c>
      <c r="H150" s="71">
        <v>200000</v>
      </c>
      <c r="I150" s="71">
        <v>100000</v>
      </c>
      <c r="J150" s="72"/>
      <c r="K150" s="72"/>
      <c r="L150" s="72"/>
      <c r="M150" s="72"/>
      <c r="N150" s="72"/>
      <c r="O150" s="72"/>
      <c r="P150" s="72"/>
    </row>
    <row r="151" spans="2:16" x14ac:dyDescent="0.35">
      <c r="B151" s="39" t="s">
        <v>156</v>
      </c>
      <c r="C151" s="39"/>
      <c r="D151" s="39" t="s">
        <v>24</v>
      </c>
      <c r="F151" s="59"/>
      <c r="G151" s="71">
        <v>100000</v>
      </c>
      <c r="H151" s="71">
        <v>80000</v>
      </c>
      <c r="I151" s="71">
        <v>50000</v>
      </c>
      <c r="J151" s="71">
        <v>50000</v>
      </c>
      <c r="K151" s="71">
        <v>50000</v>
      </c>
      <c r="L151" s="71">
        <v>50000</v>
      </c>
      <c r="M151" s="71">
        <v>50000</v>
      </c>
      <c r="N151" s="71">
        <v>50000</v>
      </c>
      <c r="O151" s="71">
        <v>50000</v>
      </c>
      <c r="P151" s="71">
        <v>50000</v>
      </c>
    </row>
    <row r="152" spans="2:16" x14ac:dyDescent="0.35">
      <c r="B152" s="39" t="s">
        <v>84</v>
      </c>
      <c r="C152" s="39"/>
      <c r="D152" s="39" t="s">
        <v>24</v>
      </c>
      <c r="F152" s="59"/>
      <c r="G152" s="71">
        <v>5000</v>
      </c>
      <c r="H152" s="71">
        <v>5000</v>
      </c>
      <c r="I152" s="71">
        <v>5000</v>
      </c>
      <c r="J152" s="71">
        <v>5000</v>
      </c>
      <c r="K152" s="71">
        <v>5000</v>
      </c>
      <c r="L152" s="71">
        <v>5000</v>
      </c>
      <c r="M152" s="71">
        <v>5000</v>
      </c>
      <c r="N152" s="71">
        <v>5000</v>
      </c>
      <c r="O152" s="71">
        <v>5000</v>
      </c>
      <c r="P152" s="71">
        <v>5000</v>
      </c>
    </row>
    <row r="153" spans="2:16" x14ac:dyDescent="0.35">
      <c r="B153" s="39" t="s">
        <v>161</v>
      </c>
      <c r="C153" s="39"/>
      <c r="D153" s="39" t="s">
        <v>24</v>
      </c>
      <c r="F153" s="59"/>
      <c r="G153" s="71">
        <v>20000</v>
      </c>
      <c r="H153" s="71">
        <v>20000</v>
      </c>
      <c r="I153" s="71">
        <v>20000</v>
      </c>
      <c r="J153" s="71">
        <v>20000</v>
      </c>
      <c r="K153" s="71">
        <v>20000</v>
      </c>
      <c r="L153" s="71">
        <v>20000</v>
      </c>
      <c r="M153" s="71">
        <v>20000</v>
      </c>
      <c r="N153" s="71">
        <v>20000</v>
      </c>
      <c r="O153" s="71">
        <v>20000</v>
      </c>
      <c r="P153" s="71">
        <v>20000</v>
      </c>
    </row>
    <row r="154" spans="2:16" x14ac:dyDescent="0.35">
      <c r="B154" s="39" t="s">
        <v>155</v>
      </c>
      <c r="C154" s="39"/>
      <c r="D154" s="39" t="s">
        <v>24</v>
      </c>
      <c r="F154" s="59"/>
      <c r="G154" s="71">
        <v>5000</v>
      </c>
      <c r="H154" s="71">
        <v>5000</v>
      </c>
      <c r="I154" s="71">
        <v>5000</v>
      </c>
      <c r="J154" s="71">
        <v>5000</v>
      </c>
      <c r="K154" s="71">
        <v>5000</v>
      </c>
      <c r="L154" s="71">
        <v>5000</v>
      </c>
      <c r="M154" s="71">
        <v>5000</v>
      </c>
      <c r="N154" s="71">
        <v>5000</v>
      </c>
      <c r="O154" s="71">
        <v>5000</v>
      </c>
      <c r="P154" s="71">
        <v>5000</v>
      </c>
    </row>
    <row r="155" spans="2:16" x14ac:dyDescent="0.35">
      <c r="B155" s="39" t="s">
        <v>162</v>
      </c>
      <c r="C155" s="39"/>
      <c r="D155" s="39" t="s">
        <v>24</v>
      </c>
      <c r="F155" s="59"/>
      <c r="G155" s="71">
        <v>150000</v>
      </c>
      <c r="H155" s="71">
        <v>150000</v>
      </c>
      <c r="I155" s="71">
        <v>150000</v>
      </c>
      <c r="J155" s="71">
        <v>120000</v>
      </c>
      <c r="K155" s="71">
        <v>120000</v>
      </c>
      <c r="L155" s="71">
        <v>120000</v>
      </c>
      <c r="M155" s="71">
        <v>120000</v>
      </c>
      <c r="N155" s="71">
        <v>120000</v>
      </c>
      <c r="O155" s="71">
        <v>120000</v>
      </c>
      <c r="P155" s="71">
        <v>120000</v>
      </c>
    </row>
    <row r="156" spans="2:16" x14ac:dyDescent="0.35">
      <c r="B156" s="39" t="s">
        <v>87</v>
      </c>
      <c r="C156" s="39"/>
      <c r="D156" s="39" t="s">
        <v>24</v>
      </c>
      <c r="F156" s="59"/>
      <c r="G156" s="71">
        <v>25000</v>
      </c>
      <c r="H156" s="71">
        <v>25000</v>
      </c>
      <c r="I156" s="71">
        <v>25000</v>
      </c>
      <c r="J156" s="71">
        <v>25000</v>
      </c>
      <c r="K156" s="71">
        <v>25000</v>
      </c>
      <c r="L156" s="71">
        <v>25000</v>
      </c>
      <c r="M156" s="71">
        <v>25000</v>
      </c>
      <c r="N156" s="71">
        <v>25000</v>
      </c>
      <c r="O156" s="71">
        <v>25000</v>
      </c>
      <c r="P156" s="71">
        <v>25000</v>
      </c>
    </row>
    <row r="158" spans="2:16" x14ac:dyDescent="0.35">
      <c r="B158" s="40" t="s">
        <v>89</v>
      </c>
      <c r="C158" s="40"/>
      <c r="D158" s="40"/>
      <c r="E158" s="40"/>
      <c r="F158" s="40"/>
      <c r="G158" s="40"/>
      <c r="H158" s="40"/>
      <c r="I158" s="40"/>
      <c r="J158" s="40"/>
      <c r="K158" s="40"/>
      <c r="L158" s="40"/>
      <c r="M158" s="40"/>
      <c r="N158" s="40"/>
      <c r="O158" s="40"/>
      <c r="P158" s="40"/>
    </row>
    <row r="159" spans="2:16" x14ac:dyDescent="0.35">
      <c r="B159" s="39" t="s">
        <v>90</v>
      </c>
      <c r="C159" s="39"/>
      <c r="D159" s="39" t="s">
        <v>92</v>
      </c>
      <c r="F159" s="58"/>
      <c r="G159" s="42">
        <v>0</v>
      </c>
      <c r="H159" s="42">
        <v>200</v>
      </c>
      <c r="I159" s="42">
        <v>200</v>
      </c>
      <c r="J159" s="42">
        <v>200</v>
      </c>
      <c r="K159" s="42">
        <v>200</v>
      </c>
      <c r="L159" s="42">
        <v>200</v>
      </c>
      <c r="M159" s="42">
        <v>200</v>
      </c>
      <c r="N159" s="42">
        <v>200</v>
      </c>
      <c r="O159" s="42">
        <v>200</v>
      </c>
      <c r="P159" s="42">
        <v>200</v>
      </c>
    </row>
    <row r="160" spans="2:16" x14ac:dyDescent="0.35">
      <c r="D160" s="39" t="s">
        <v>93</v>
      </c>
      <c r="F160" s="59"/>
      <c r="G160" s="71">
        <v>0</v>
      </c>
      <c r="H160" s="71">
        <v>300</v>
      </c>
      <c r="I160" s="71">
        <v>300</v>
      </c>
      <c r="J160" s="71">
        <v>300</v>
      </c>
      <c r="K160" s="71">
        <v>300</v>
      </c>
      <c r="L160" s="71">
        <v>300</v>
      </c>
      <c r="M160" s="71">
        <v>300</v>
      </c>
      <c r="N160" s="71">
        <v>300</v>
      </c>
      <c r="O160" s="71">
        <v>300</v>
      </c>
      <c r="P160" s="71">
        <v>300</v>
      </c>
    </row>
    <row r="161" spans="2:16" x14ac:dyDescent="0.35">
      <c r="B161" s="39" t="s">
        <v>91</v>
      </c>
      <c r="C161" s="39"/>
      <c r="D161" s="39" t="s">
        <v>94</v>
      </c>
      <c r="F161" s="58"/>
      <c r="G161" s="42">
        <v>0</v>
      </c>
      <c r="H161" s="42">
        <v>5000000</v>
      </c>
      <c r="I161" s="42">
        <v>5000000</v>
      </c>
      <c r="J161" s="42">
        <v>5000000</v>
      </c>
      <c r="K161" s="42">
        <v>5000000</v>
      </c>
      <c r="L161" s="42">
        <v>5000000</v>
      </c>
      <c r="M161" s="42">
        <v>5000000</v>
      </c>
      <c r="N161" s="42">
        <v>5000000</v>
      </c>
      <c r="O161" s="42">
        <v>5000000</v>
      </c>
      <c r="P161" s="42">
        <v>5000000</v>
      </c>
    </row>
    <row r="162" spans="2:16" x14ac:dyDescent="0.35">
      <c r="B162" s="39" t="s">
        <v>95</v>
      </c>
      <c r="C162" s="39"/>
      <c r="D162" s="39" t="s">
        <v>29</v>
      </c>
      <c r="F162" s="59"/>
      <c r="G162" s="56">
        <f>(G20-G18)/G6</f>
        <v>0.16593888888888889</v>
      </c>
      <c r="H162" s="56">
        <f t="shared" ref="H162:P162" si="22">(H20-H18)/H6</f>
        <v>0.17493277666666668</v>
      </c>
      <c r="I162" s="56">
        <f t="shared" si="22"/>
        <v>0.184414133162</v>
      </c>
      <c r="J162" s="56">
        <f t="shared" si="22"/>
        <v>0.19440937917938042</v>
      </c>
      <c r="K162" s="56">
        <f t="shared" si="22"/>
        <v>0.20494636753090284</v>
      </c>
      <c r="L162" s="56">
        <f t="shared" si="22"/>
        <v>0.21605446065107781</v>
      </c>
      <c r="M162" s="56">
        <f t="shared" si="22"/>
        <v>0.22776461241836621</v>
      </c>
      <c r="N162" s="56">
        <f t="shared" si="22"/>
        <v>0.24010945441144166</v>
      </c>
      <c r="O162" s="56">
        <f t="shared" si="22"/>
        <v>0.25312338684054181</v>
      </c>
      <c r="P162" s="56">
        <f t="shared" si="22"/>
        <v>0.2668426744072992</v>
      </c>
    </row>
    <row r="164" spans="2:16" x14ac:dyDescent="0.35">
      <c r="B164" s="40" t="s">
        <v>96</v>
      </c>
      <c r="C164" s="40"/>
      <c r="D164" s="40"/>
      <c r="E164" s="40"/>
      <c r="F164" s="40"/>
      <c r="G164" s="40"/>
      <c r="H164" s="40"/>
      <c r="I164" s="40"/>
      <c r="J164" s="40"/>
      <c r="K164" s="40"/>
      <c r="L164" s="40"/>
      <c r="M164" s="40"/>
      <c r="N164" s="40"/>
      <c r="O164" s="40"/>
      <c r="P164" s="40"/>
    </row>
    <row r="165" spans="2:16" x14ac:dyDescent="0.35">
      <c r="B165" s="39" t="s">
        <v>97</v>
      </c>
      <c r="C165" s="39"/>
      <c r="D165" s="39" t="s">
        <v>23</v>
      </c>
      <c r="F165" s="58"/>
      <c r="G165" s="42">
        <v>0</v>
      </c>
      <c r="H165" s="42">
        <v>1000000</v>
      </c>
      <c r="I165" s="42">
        <v>1500000</v>
      </c>
      <c r="J165" s="42">
        <v>1500000</v>
      </c>
      <c r="K165" s="42">
        <v>1500000</v>
      </c>
      <c r="L165" s="42">
        <v>1500000</v>
      </c>
      <c r="M165" s="42">
        <v>1500000</v>
      </c>
      <c r="N165" s="42">
        <v>1500000</v>
      </c>
      <c r="O165" s="42">
        <v>1500000</v>
      </c>
      <c r="P165" s="42">
        <v>1500000</v>
      </c>
    </row>
    <row r="166" spans="2:16" x14ac:dyDescent="0.35">
      <c r="B166" s="39" t="s">
        <v>28</v>
      </c>
      <c r="C166" s="39"/>
      <c r="D166" s="39" t="s">
        <v>29</v>
      </c>
      <c r="F166" s="59"/>
      <c r="G166" s="38">
        <f>G45</f>
        <v>0.5</v>
      </c>
      <c r="H166" s="38">
        <f t="shared" ref="H166:P166" si="23">H45</f>
        <v>0.5</v>
      </c>
      <c r="I166" s="38">
        <f t="shared" si="23"/>
        <v>0.5</v>
      </c>
      <c r="J166" s="38">
        <f t="shared" si="23"/>
        <v>0.5</v>
      </c>
      <c r="K166" s="38">
        <f t="shared" si="23"/>
        <v>0.5</v>
      </c>
      <c r="L166" s="38">
        <f t="shared" si="23"/>
        <v>0.5</v>
      </c>
      <c r="M166" s="38">
        <f t="shared" si="23"/>
        <v>0.5</v>
      </c>
      <c r="N166" s="38">
        <f t="shared" si="23"/>
        <v>0.5</v>
      </c>
      <c r="O166" s="38">
        <f t="shared" si="23"/>
        <v>0.5</v>
      </c>
      <c r="P166" s="38">
        <f t="shared" si="23"/>
        <v>0.5</v>
      </c>
    </row>
  </sheetData>
  <pageMargins left="0.7" right="0.7" top="0.75" bottom="0.75" header="0.3" footer="0.3"/>
  <pageSetup paperSize="9" orientation="portrait" r:id="rId1"/>
  <ignoredErrors>
    <ignoredError sqref="G18 H18:M18" formula="1"/>
  </ignoredError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2"/>
  <sheetViews>
    <sheetView zoomScale="70" zoomScaleNormal="70" workbookViewId="0">
      <pane xSplit="3" ySplit="3" topLeftCell="D9" activePane="bottomRight" state="frozen"/>
      <selection pane="topRight" activeCell="D1" sqref="D1"/>
      <selection pane="bottomLeft" activeCell="A3" sqref="A3"/>
      <selection pane="bottomRight" activeCell="B30" sqref="B30"/>
    </sheetView>
  </sheetViews>
  <sheetFormatPr defaultColWidth="9.1796875" defaultRowHeight="14.5" x14ac:dyDescent="0.35"/>
  <cols>
    <col min="1" max="1" width="9.1796875" style="1"/>
    <col min="2" max="2" width="54.1796875" style="1" customWidth="1"/>
    <col min="3" max="3" width="10.453125" style="1" customWidth="1"/>
    <col min="4" max="4" width="3.54296875" style="1" customWidth="1"/>
    <col min="5" max="5" width="2" style="1" customWidth="1"/>
    <col min="6" max="16" width="19.1796875" style="1" customWidth="1"/>
    <col min="17" max="16384" width="9.1796875" style="1"/>
  </cols>
  <sheetData>
    <row r="2" spans="2:16" x14ac:dyDescent="0.35">
      <c r="F2" s="14" t="s">
        <v>122</v>
      </c>
      <c r="G2" s="12" t="s">
        <v>120</v>
      </c>
      <c r="H2" s="12" t="s">
        <v>120</v>
      </c>
      <c r="I2" s="12" t="s">
        <v>120</v>
      </c>
      <c r="J2" s="13" t="s">
        <v>121</v>
      </c>
      <c r="K2" s="13" t="s">
        <v>121</v>
      </c>
      <c r="L2" s="13" t="s">
        <v>121</v>
      </c>
      <c r="M2" s="13" t="s">
        <v>121</v>
      </c>
      <c r="N2" s="13" t="s">
        <v>121</v>
      </c>
      <c r="O2" s="13" t="s">
        <v>121</v>
      </c>
      <c r="P2" s="13" t="s">
        <v>121</v>
      </c>
    </row>
    <row r="3" spans="2:16" x14ac:dyDescent="0.35">
      <c r="B3" s="2" t="s">
        <v>98</v>
      </c>
      <c r="F3" s="3" t="s">
        <v>104</v>
      </c>
      <c r="G3" s="3" t="s">
        <v>1</v>
      </c>
      <c r="H3" s="3" t="s">
        <v>2</v>
      </c>
      <c r="I3" s="3" t="s">
        <v>3</v>
      </c>
      <c r="J3" s="3" t="s">
        <v>4</v>
      </c>
      <c r="K3" s="3" t="s">
        <v>5</v>
      </c>
      <c r="L3" s="3" t="s">
        <v>6</v>
      </c>
      <c r="M3" s="3" t="s">
        <v>7</v>
      </c>
      <c r="N3" s="3" t="s">
        <v>8</v>
      </c>
      <c r="O3" s="3" t="s">
        <v>9</v>
      </c>
      <c r="P3" s="3" t="s">
        <v>10</v>
      </c>
    </row>
    <row r="5" spans="2:16" x14ac:dyDescent="0.35">
      <c r="B5" s="2" t="s">
        <v>100</v>
      </c>
      <c r="F5" s="73">
        <f>'Input Sheet'!F43*'Input Sheet'!F44+'Input Sheet'!F42*'Input Sheet'!F45</f>
        <v>5080000</v>
      </c>
      <c r="G5" s="73">
        <f>'Input Sheet'!G43*'Input Sheet'!G44+'Input Sheet'!G42*'Input Sheet'!G45</f>
        <v>5080000</v>
      </c>
      <c r="H5" s="73">
        <f>'Input Sheet'!H43*'Input Sheet'!H44+'Input Sheet'!H42*'Input Sheet'!H45</f>
        <v>5080000</v>
      </c>
      <c r="I5" s="73">
        <f>'Input Sheet'!I43*'Input Sheet'!I44+'Input Sheet'!I42*'Input Sheet'!I45</f>
        <v>5080000</v>
      </c>
      <c r="J5" s="73">
        <f>'Input Sheet'!J43*'Input Sheet'!J44+'Input Sheet'!J42*'Input Sheet'!J45</f>
        <v>5080000</v>
      </c>
      <c r="K5" s="73">
        <f>'Input Sheet'!K43*'Input Sheet'!K44+'Input Sheet'!K42*'Input Sheet'!K45</f>
        <v>5080000</v>
      </c>
      <c r="L5" s="73">
        <f>'Input Sheet'!L43*'Input Sheet'!L44+'Input Sheet'!L42*'Input Sheet'!L45</f>
        <v>5080000</v>
      </c>
      <c r="M5" s="73">
        <f>'Input Sheet'!M43*'Input Sheet'!M44+'Input Sheet'!M42*'Input Sheet'!M45</f>
        <v>5080000</v>
      </c>
      <c r="N5" s="73">
        <f>'Input Sheet'!N43*'Input Sheet'!N44+'Input Sheet'!N42*'Input Sheet'!N45</f>
        <v>5080000</v>
      </c>
      <c r="O5" s="73">
        <f>'Input Sheet'!O43*'Input Sheet'!O44+'Input Sheet'!O42*'Input Sheet'!O45</f>
        <v>5080000</v>
      </c>
      <c r="P5" s="73">
        <f>'Input Sheet'!P43*'Input Sheet'!P44+'Input Sheet'!P42*'Input Sheet'!P45</f>
        <v>5080000</v>
      </c>
    </row>
    <row r="6" spans="2:16" x14ac:dyDescent="0.35">
      <c r="F6" s="69"/>
      <c r="G6" s="69"/>
      <c r="H6" s="69"/>
      <c r="I6" s="69"/>
      <c r="J6" s="69"/>
      <c r="K6" s="69"/>
      <c r="L6" s="69"/>
      <c r="M6" s="69"/>
      <c r="N6" s="69"/>
      <c r="O6" s="69"/>
      <c r="P6" s="69"/>
    </row>
    <row r="7" spans="2:16" x14ac:dyDescent="0.35">
      <c r="F7" s="69"/>
      <c r="G7" s="69"/>
      <c r="H7" s="69"/>
      <c r="I7" s="69"/>
      <c r="J7" s="69"/>
      <c r="K7" s="69"/>
      <c r="L7" s="69"/>
      <c r="M7" s="69"/>
      <c r="N7" s="69"/>
      <c r="O7" s="69"/>
      <c r="P7" s="69"/>
    </row>
    <row r="8" spans="2:16" x14ac:dyDescent="0.35">
      <c r="B8" s="2" t="s">
        <v>99</v>
      </c>
      <c r="F8" s="69"/>
      <c r="G8" s="69"/>
      <c r="H8" s="69"/>
      <c r="I8" s="69"/>
      <c r="J8" s="69"/>
      <c r="K8" s="69"/>
      <c r="L8" s="69"/>
      <c r="M8" s="69"/>
      <c r="N8" s="69"/>
      <c r="O8" s="69"/>
      <c r="P8" s="69"/>
    </row>
    <row r="9" spans="2:16" x14ac:dyDescent="0.35">
      <c r="B9" s="1" t="s">
        <v>11</v>
      </c>
      <c r="C9" s="39" t="s">
        <v>24</v>
      </c>
      <c r="F9" s="73">
        <f>'Input Sheet'!F20</f>
        <v>6250000</v>
      </c>
      <c r="G9" s="73">
        <f>'Input Sheet'!G20</f>
        <v>6480350</v>
      </c>
      <c r="H9" s="73">
        <f>'Input Sheet'!H20</f>
        <v>6723184.9700000007</v>
      </c>
      <c r="I9" s="73">
        <f>'Input Sheet'!I20</f>
        <v>6979181.5953740003</v>
      </c>
      <c r="J9" s="73">
        <f>'Input Sheet'!J20</f>
        <v>7249053.2378432713</v>
      </c>
      <c r="K9" s="73">
        <f>'Input Sheet'!K20</f>
        <v>7533551.9233343769</v>
      </c>
      <c r="L9" s="73">
        <f>'Input Sheet'!L20</f>
        <v>7833470.437579101</v>
      </c>
      <c r="M9" s="73">
        <f>'Input Sheet'!M20</f>
        <v>8149644.5352958879</v>
      </c>
      <c r="N9" s="73">
        <f>'Input Sheet'!N20</f>
        <v>8482955.269108925</v>
      </c>
      <c r="O9" s="73">
        <f>'Input Sheet'!O20</f>
        <v>8834331.4446946289</v>
      </c>
      <c r="P9" s="73">
        <f>'Input Sheet'!P20</f>
        <v>9204752.2089970782</v>
      </c>
    </row>
    <row r="10" spans="2:16" x14ac:dyDescent="0.35">
      <c r="B10" s="1" t="s">
        <v>12</v>
      </c>
      <c r="C10" s="39" t="s">
        <v>24</v>
      </c>
      <c r="F10" s="73">
        <f>'Input Sheet'!F31</f>
        <v>6125000</v>
      </c>
      <c r="G10" s="73">
        <f>'Input Sheet'!G31</f>
        <v>6402775</v>
      </c>
      <c r="H10" s="73">
        <f>'Input Sheet'!H31</f>
        <v>6695605.4050000012</v>
      </c>
      <c r="I10" s="73">
        <f>'Input Sheet'!I31</f>
        <v>7004307.2179510007</v>
      </c>
      <c r="J10" s="73">
        <f>'Input Sheet'!J31</f>
        <v>7329740.6691639442</v>
      </c>
      <c r="K10" s="73">
        <f>'Input Sheet'!K31</f>
        <v>7672812.61343263</v>
      </c>
      <c r="L10" s="73">
        <f>'Input Sheet'!L31</f>
        <v>8034479.0570806786</v>
      </c>
      <c r="M10" s="73">
        <f>'Input Sheet'!M31</f>
        <v>8415747.8219744526</v>
      </c>
      <c r="N10" s="73">
        <f>'Input Sheet'!N31</f>
        <v>8817681.3539254665</v>
      </c>
      <c r="O10" s="73">
        <f>'Input Sheet'!O31</f>
        <v>9241399.683308227</v>
      </c>
      <c r="P10" s="73">
        <f>'Input Sheet'!P31</f>
        <v>9688083.5461435355</v>
      </c>
    </row>
    <row r="11" spans="2:16" x14ac:dyDescent="0.35">
      <c r="B11" s="2" t="s">
        <v>189</v>
      </c>
      <c r="F11" s="74">
        <f>SUM(F9:F10)</f>
        <v>12375000</v>
      </c>
      <c r="G11" s="74">
        <f t="shared" ref="G11:O11" si="0">SUM(G9:G10)</f>
        <v>12883125</v>
      </c>
      <c r="H11" s="74">
        <f t="shared" si="0"/>
        <v>13418790.375000002</v>
      </c>
      <c r="I11" s="74">
        <f t="shared" si="0"/>
        <v>13983488.813325001</v>
      </c>
      <c r="J11" s="74">
        <f t="shared" si="0"/>
        <v>14578793.907007216</v>
      </c>
      <c r="K11" s="74">
        <f t="shared" si="0"/>
        <v>15206364.536767006</v>
      </c>
      <c r="L11" s="74">
        <f t="shared" si="0"/>
        <v>15867949.49465978</v>
      </c>
      <c r="M11" s="74">
        <f t="shared" si="0"/>
        <v>16565392.357270341</v>
      </c>
      <c r="N11" s="74">
        <f t="shared" si="0"/>
        <v>17300636.623034392</v>
      </c>
      <c r="O11" s="74">
        <f t="shared" si="0"/>
        <v>18075731.128002856</v>
      </c>
      <c r="P11" s="74">
        <f t="shared" ref="P11" si="1">SUM(P9:P10)</f>
        <v>18892835.755140614</v>
      </c>
    </row>
    <row r="12" spans="2:16" x14ac:dyDescent="0.35">
      <c r="F12" s="69"/>
      <c r="G12" s="69"/>
      <c r="H12" s="69"/>
      <c r="I12" s="69"/>
      <c r="J12" s="69"/>
      <c r="K12" s="69"/>
      <c r="L12" s="69"/>
      <c r="M12" s="69"/>
      <c r="N12" s="69"/>
      <c r="O12" s="69"/>
      <c r="P12" s="69"/>
    </row>
    <row r="13" spans="2:16" x14ac:dyDescent="0.35">
      <c r="F13" s="69"/>
      <c r="G13" s="69"/>
      <c r="H13" s="69"/>
      <c r="I13" s="69"/>
      <c r="J13" s="69"/>
      <c r="K13" s="69"/>
      <c r="L13" s="69"/>
      <c r="M13" s="69"/>
      <c r="N13" s="69"/>
      <c r="O13" s="69"/>
      <c r="P13" s="69"/>
    </row>
    <row r="14" spans="2:16" x14ac:dyDescent="0.35">
      <c r="B14" s="2" t="s">
        <v>140</v>
      </c>
      <c r="F14" s="69"/>
      <c r="G14" s="69"/>
      <c r="H14" s="69"/>
      <c r="I14" s="69"/>
      <c r="J14" s="69"/>
      <c r="K14" s="69"/>
      <c r="L14" s="69"/>
      <c r="M14" s="69"/>
      <c r="N14" s="69"/>
      <c r="O14" s="69"/>
      <c r="P14" s="69"/>
    </row>
    <row r="15" spans="2:16" x14ac:dyDescent="0.35">
      <c r="B15" s="1" t="s">
        <v>32</v>
      </c>
      <c r="C15" s="39" t="s">
        <v>24</v>
      </c>
      <c r="F15" s="73">
        <f>'Input Sheet'!F52*'Input Sheet'!F53+'Input Sheet'!F54*'Input Sheet'!F55+'Input Sheet'!F56*'Input Sheet'!F57+SUM('Input Sheet'!F58:F62)</f>
        <v>0</v>
      </c>
      <c r="G15" s="73">
        <f>'Input Sheet'!G52*'Input Sheet'!G53+'Input Sheet'!G54*'Input Sheet'!G55+'Input Sheet'!G56*'Input Sheet'!G57+SUM('Input Sheet'!G58:G62)</f>
        <v>615000</v>
      </c>
      <c r="H15" s="73">
        <f>'Input Sheet'!H52*'Input Sheet'!H53+'Input Sheet'!H54*'Input Sheet'!H55+'Input Sheet'!H56*'Input Sheet'!H57+SUM('Input Sheet'!H58:H62)</f>
        <v>90000</v>
      </c>
      <c r="I15" s="73">
        <f>'Input Sheet'!I52*'Input Sheet'!I53+'Input Sheet'!I54*'Input Sheet'!I55+'Input Sheet'!I56*'Input Sheet'!I57+SUM('Input Sheet'!I58:I62)</f>
        <v>0</v>
      </c>
      <c r="J15" s="73">
        <f>'Input Sheet'!J52*'Input Sheet'!J53+'Input Sheet'!J54*'Input Sheet'!J55+'Input Sheet'!J56*'Input Sheet'!J57+SUM('Input Sheet'!J58:J62)</f>
        <v>0</v>
      </c>
      <c r="K15" s="73">
        <f>'Input Sheet'!K52*'Input Sheet'!K53+'Input Sheet'!K54*'Input Sheet'!K55+'Input Sheet'!K56*'Input Sheet'!K57+SUM('Input Sheet'!K58:K62)</f>
        <v>0</v>
      </c>
      <c r="L15" s="73">
        <f>'Input Sheet'!L52*'Input Sheet'!L53+'Input Sheet'!L54*'Input Sheet'!L55+'Input Sheet'!L56*'Input Sheet'!L57+SUM('Input Sheet'!L58:L62)</f>
        <v>0</v>
      </c>
      <c r="M15" s="73">
        <f>'Input Sheet'!M52*'Input Sheet'!M53+'Input Sheet'!M54*'Input Sheet'!M55+'Input Sheet'!M56*'Input Sheet'!M57+SUM('Input Sheet'!M58:M62)</f>
        <v>0</v>
      </c>
      <c r="N15" s="73">
        <f>'Input Sheet'!N52*'Input Sheet'!N53+'Input Sheet'!N54*'Input Sheet'!N55+'Input Sheet'!N56*'Input Sheet'!N57+SUM('Input Sheet'!N58:N62)</f>
        <v>0</v>
      </c>
      <c r="O15" s="73">
        <f>'Input Sheet'!O52*'Input Sheet'!O53+'Input Sheet'!O54*'Input Sheet'!O55+'Input Sheet'!O56*'Input Sheet'!O57+SUM('Input Sheet'!O58:O62)</f>
        <v>0</v>
      </c>
      <c r="P15" s="73">
        <f>'Input Sheet'!P52*'Input Sheet'!P53+'Input Sheet'!P54*'Input Sheet'!P55+'Input Sheet'!P56*'Input Sheet'!P57+SUM('Input Sheet'!P58:P62)</f>
        <v>0</v>
      </c>
    </row>
    <row r="16" spans="2:16" x14ac:dyDescent="0.35">
      <c r="B16" s="1" t="s">
        <v>37</v>
      </c>
      <c r="C16" s="39" t="s">
        <v>24</v>
      </c>
      <c r="F16" s="73">
        <f>SUM('Input Sheet'!F65:F69)</f>
        <v>0</v>
      </c>
      <c r="G16" s="73">
        <f>SUM('Input Sheet'!G65:G69)</f>
        <v>330000</v>
      </c>
      <c r="H16" s="73">
        <f>SUM('Input Sheet'!H65:H69)</f>
        <v>35000</v>
      </c>
      <c r="I16" s="73">
        <f>SUM('Input Sheet'!I65:I69)</f>
        <v>0</v>
      </c>
      <c r="J16" s="73">
        <f>SUM('Input Sheet'!J65:J69)</f>
        <v>0</v>
      </c>
      <c r="K16" s="73">
        <f>SUM('Input Sheet'!K65:K69)</f>
        <v>0</v>
      </c>
      <c r="L16" s="73">
        <f>SUM('Input Sheet'!L65:L69)</f>
        <v>0</v>
      </c>
      <c r="M16" s="73">
        <f>SUM('Input Sheet'!M65:M69)</f>
        <v>0</v>
      </c>
      <c r="N16" s="73">
        <f>SUM('Input Sheet'!N65:N69)</f>
        <v>0</v>
      </c>
      <c r="O16" s="73">
        <f>SUM('Input Sheet'!O65:O69)</f>
        <v>0</v>
      </c>
      <c r="P16" s="73">
        <f>SUM('Input Sheet'!P65:P69)</f>
        <v>0</v>
      </c>
    </row>
    <row r="17" spans="2:16" x14ac:dyDescent="0.35">
      <c r="B17" s="1" t="s">
        <v>101</v>
      </c>
      <c r="C17" s="39" t="s">
        <v>24</v>
      </c>
      <c r="F17" s="73">
        <f>'Input Sheet'!F73*'Input Sheet'!F74+'Input Sheet'!F75*'Input Sheet'!F76+SUM('Input Sheet'!F77:F79)</f>
        <v>0</v>
      </c>
      <c r="G17" s="73">
        <f>'Input Sheet'!G73*'Input Sheet'!G74+'Input Sheet'!G75*'Input Sheet'!G76+SUM('Input Sheet'!G77:G79)</f>
        <v>264000</v>
      </c>
      <c r="H17" s="73">
        <f>'Input Sheet'!H73*'Input Sheet'!H74+'Input Sheet'!H75*'Input Sheet'!H76+SUM('Input Sheet'!H77:H79)</f>
        <v>39900</v>
      </c>
      <c r="I17" s="73">
        <f>'Input Sheet'!I73*'Input Sheet'!I74+'Input Sheet'!I75*'Input Sheet'!I76+SUM('Input Sheet'!I77:I79)</f>
        <v>0</v>
      </c>
      <c r="J17" s="73">
        <f>'Input Sheet'!J73*'Input Sheet'!J74+'Input Sheet'!J75*'Input Sheet'!J76+SUM('Input Sheet'!J77:J79)</f>
        <v>0</v>
      </c>
      <c r="K17" s="73">
        <f>'Input Sheet'!K73*'Input Sheet'!K74+'Input Sheet'!K75*'Input Sheet'!K76+SUM('Input Sheet'!K77:K79)</f>
        <v>0</v>
      </c>
      <c r="L17" s="73">
        <f>'Input Sheet'!L73*'Input Sheet'!L74+'Input Sheet'!L75*'Input Sheet'!L76+SUM('Input Sheet'!L77:L79)</f>
        <v>0</v>
      </c>
      <c r="M17" s="73">
        <f>'Input Sheet'!M73*'Input Sheet'!M74+'Input Sheet'!M75*'Input Sheet'!M76+SUM('Input Sheet'!M77:M79)</f>
        <v>0</v>
      </c>
      <c r="N17" s="73">
        <f>'Input Sheet'!N73*'Input Sheet'!N74+'Input Sheet'!N75*'Input Sheet'!N76+SUM('Input Sheet'!N77:N79)</f>
        <v>0</v>
      </c>
      <c r="O17" s="73">
        <f>'Input Sheet'!O73*'Input Sheet'!O74+'Input Sheet'!O75*'Input Sheet'!O76+SUM('Input Sheet'!O77:O79)</f>
        <v>0</v>
      </c>
      <c r="P17" s="73">
        <f>'Input Sheet'!P73*'Input Sheet'!P74+'Input Sheet'!P75*'Input Sheet'!P76+SUM('Input Sheet'!P77:P79)</f>
        <v>0</v>
      </c>
    </row>
    <row r="18" spans="2:16" x14ac:dyDescent="0.35">
      <c r="B18" s="1" t="s">
        <v>77</v>
      </c>
      <c r="C18" s="39" t="s">
        <v>24</v>
      </c>
      <c r="F18" s="73">
        <f>'Input Sheet'!F82*'Input Sheet'!F83+SUM('Input Sheet'!F84:F85)</f>
        <v>0</v>
      </c>
      <c r="G18" s="73">
        <f>'Input Sheet'!G82*'Input Sheet'!G83+SUM('Input Sheet'!G84:G85)</f>
        <v>85000</v>
      </c>
      <c r="H18" s="73">
        <f>'Input Sheet'!H82*'Input Sheet'!H83+SUM('Input Sheet'!H84:H85)</f>
        <v>0</v>
      </c>
      <c r="I18" s="73">
        <f>'Input Sheet'!I82*'Input Sheet'!I83+SUM('Input Sheet'!I84:I85)</f>
        <v>0</v>
      </c>
      <c r="J18" s="73">
        <f>'Input Sheet'!J82*'Input Sheet'!J83+SUM('Input Sheet'!J84:J85)</f>
        <v>0</v>
      </c>
      <c r="K18" s="73">
        <f>'Input Sheet'!K82*'Input Sheet'!K83+SUM('Input Sheet'!K84:K85)</f>
        <v>0</v>
      </c>
      <c r="L18" s="73">
        <f>'Input Sheet'!L82*'Input Sheet'!L83+SUM('Input Sheet'!L84:L85)</f>
        <v>0</v>
      </c>
      <c r="M18" s="73">
        <f>'Input Sheet'!M82*'Input Sheet'!M83+SUM('Input Sheet'!M84:M85)</f>
        <v>0</v>
      </c>
      <c r="N18" s="73">
        <f>'Input Sheet'!N82*'Input Sheet'!N83+SUM('Input Sheet'!N84:N85)</f>
        <v>0</v>
      </c>
      <c r="O18" s="73">
        <f>'Input Sheet'!O82*'Input Sheet'!O83+SUM('Input Sheet'!O84:O85)</f>
        <v>0</v>
      </c>
      <c r="P18" s="73">
        <f>'Input Sheet'!P82*'Input Sheet'!P83+SUM('Input Sheet'!P84:P85)</f>
        <v>0</v>
      </c>
    </row>
    <row r="19" spans="2:16" x14ac:dyDescent="0.35">
      <c r="B19" s="1" t="s">
        <v>38</v>
      </c>
      <c r="C19" s="39" t="s">
        <v>24</v>
      </c>
      <c r="F19" s="73">
        <f>'Input Sheet'!F89*'Input Sheet'!F90+'Input Sheet'!F91*'Input Sheet'!F92+'Input Sheet'!F93*'Input Sheet'!F94+'Input Sheet'!F95*'Input Sheet'!F96+'Input Sheet'!F97*'Input Sheet'!F98+'Input Sheet'!F99*'Input Sheet'!F100+'Input Sheet'!F101</f>
        <v>0</v>
      </c>
      <c r="G19" s="73">
        <f>'Input Sheet'!G89*'Input Sheet'!G90+'Input Sheet'!G91*'Input Sheet'!G92+'Input Sheet'!G93*'Input Sheet'!G94+'Input Sheet'!G95*'Input Sheet'!G96+'Input Sheet'!G97*'Input Sheet'!G98+'Input Sheet'!G99*'Input Sheet'!G100+'Input Sheet'!G101</f>
        <v>2040000</v>
      </c>
      <c r="H19" s="73">
        <f>'Input Sheet'!H89*'Input Sheet'!H90+'Input Sheet'!H91*'Input Sheet'!H92+'Input Sheet'!H93*'Input Sheet'!H94+'Input Sheet'!H95*'Input Sheet'!H96+'Input Sheet'!H97*'Input Sheet'!H98+'Input Sheet'!H99*'Input Sheet'!H100+'Input Sheet'!H101</f>
        <v>1540000</v>
      </c>
      <c r="I19" s="73">
        <f>'Input Sheet'!I89*'Input Sheet'!I90+'Input Sheet'!I91*'Input Sheet'!I92+'Input Sheet'!I93*'Input Sheet'!I94+'Input Sheet'!I95*'Input Sheet'!I96+'Input Sheet'!I97*'Input Sheet'!I98+'Input Sheet'!I99*'Input Sheet'!I100+'Input Sheet'!I101</f>
        <v>0</v>
      </c>
      <c r="J19" s="73">
        <f>'Input Sheet'!J89*'Input Sheet'!J90+'Input Sheet'!J91*'Input Sheet'!J92+'Input Sheet'!J93*'Input Sheet'!J94+'Input Sheet'!J95*'Input Sheet'!J96+'Input Sheet'!J97*'Input Sheet'!J98+'Input Sheet'!J99*'Input Sheet'!J100+'Input Sheet'!J101</f>
        <v>0</v>
      </c>
      <c r="K19" s="73">
        <f>'Input Sheet'!K89*'Input Sheet'!K90+'Input Sheet'!K91*'Input Sheet'!K92+'Input Sheet'!K93*'Input Sheet'!K94+'Input Sheet'!K95*'Input Sheet'!K96+'Input Sheet'!K97*'Input Sheet'!K98+'Input Sheet'!K99*'Input Sheet'!K100+'Input Sheet'!K101</f>
        <v>0</v>
      </c>
      <c r="L19" s="73">
        <f>'Input Sheet'!L89*'Input Sheet'!L90+'Input Sheet'!L91*'Input Sheet'!L92+'Input Sheet'!L93*'Input Sheet'!L94+'Input Sheet'!L95*'Input Sheet'!L96+'Input Sheet'!L97*'Input Sheet'!L98+'Input Sheet'!L99*'Input Sheet'!L100+'Input Sheet'!L101</f>
        <v>0</v>
      </c>
      <c r="M19" s="73">
        <f>'Input Sheet'!M89*'Input Sheet'!M90+'Input Sheet'!M91*'Input Sheet'!M92+'Input Sheet'!M93*'Input Sheet'!M94+'Input Sheet'!M95*'Input Sheet'!M96+'Input Sheet'!M97*'Input Sheet'!M98+'Input Sheet'!M99*'Input Sheet'!M100+'Input Sheet'!M101</f>
        <v>0</v>
      </c>
      <c r="N19" s="73">
        <f>'Input Sheet'!N89*'Input Sheet'!N90+'Input Sheet'!N91*'Input Sheet'!N92+'Input Sheet'!N93*'Input Sheet'!N94+'Input Sheet'!N95*'Input Sheet'!N96+'Input Sheet'!N97*'Input Sheet'!N98+'Input Sheet'!N99*'Input Sheet'!N100+'Input Sheet'!N101</f>
        <v>0</v>
      </c>
      <c r="O19" s="73">
        <f>'Input Sheet'!O89*'Input Sheet'!O90+'Input Sheet'!O91*'Input Sheet'!O92+'Input Sheet'!O93*'Input Sheet'!O94+'Input Sheet'!O95*'Input Sheet'!O96+'Input Sheet'!O97*'Input Sheet'!O98+'Input Sheet'!O99*'Input Sheet'!O100+'Input Sheet'!O101</f>
        <v>0</v>
      </c>
      <c r="P19" s="73">
        <f>'Input Sheet'!P89*'Input Sheet'!P90+'Input Sheet'!P91*'Input Sheet'!P92+'Input Sheet'!P93*'Input Sheet'!P94+'Input Sheet'!P95*'Input Sheet'!P96+'Input Sheet'!P97*'Input Sheet'!P98+'Input Sheet'!P99*'Input Sheet'!P100+'Input Sheet'!P101</f>
        <v>0</v>
      </c>
    </row>
    <row r="20" spans="2:16" x14ac:dyDescent="0.35">
      <c r="B20" s="1" t="s">
        <v>54</v>
      </c>
      <c r="C20" s="39" t="s">
        <v>24</v>
      </c>
      <c r="F20" s="73">
        <f>SUM('Input Sheet'!F104:F108)</f>
        <v>0</v>
      </c>
      <c r="G20" s="73">
        <f>SUM('Input Sheet'!G104:G108)</f>
        <v>800000</v>
      </c>
      <c r="H20" s="73">
        <f>SUM('Input Sheet'!H104:H108)</f>
        <v>0</v>
      </c>
      <c r="I20" s="73">
        <f>SUM('Input Sheet'!I104:I108)</f>
        <v>0</v>
      </c>
      <c r="J20" s="73">
        <f>SUM('Input Sheet'!J104:J108)</f>
        <v>0</v>
      </c>
      <c r="K20" s="73">
        <f>SUM('Input Sheet'!K104:K108)</f>
        <v>0</v>
      </c>
      <c r="L20" s="73">
        <f>SUM('Input Sheet'!L104:L108)</f>
        <v>0</v>
      </c>
      <c r="M20" s="73">
        <f>SUM('Input Sheet'!M104:M108)</f>
        <v>0</v>
      </c>
      <c r="N20" s="73">
        <f>SUM('Input Sheet'!N104:N108)</f>
        <v>0</v>
      </c>
      <c r="O20" s="73">
        <f>SUM('Input Sheet'!O104:O108)</f>
        <v>0</v>
      </c>
      <c r="P20" s="73">
        <f>SUM('Input Sheet'!P104:P108)</f>
        <v>0</v>
      </c>
    </row>
    <row r="21" spans="2:16" x14ac:dyDescent="0.35">
      <c r="B21" s="1" t="s">
        <v>48</v>
      </c>
      <c r="C21" s="39" t="s">
        <v>24</v>
      </c>
      <c r="F21" s="73">
        <f>'Input Sheet'!F111*'Input Sheet'!F112+'Input Sheet'!F113*'Input Sheet'!F114+'Input Sheet'!F115*'Input Sheet'!F116+'Input Sheet'!F117*'Input Sheet'!F118+SUM('Input Sheet'!F119:F120)</f>
        <v>0</v>
      </c>
      <c r="G21" s="73">
        <f>'Input Sheet'!G111*'Input Sheet'!G112+'Input Sheet'!G113*'Input Sheet'!G114+'Input Sheet'!G115*'Input Sheet'!G116+'Input Sheet'!G117*'Input Sheet'!G118+SUM('Input Sheet'!G119:G120)</f>
        <v>175500</v>
      </c>
      <c r="H21" s="73">
        <f>'Input Sheet'!H111*'Input Sheet'!H112+'Input Sheet'!H113*'Input Sheet'!H114+'Input Sheet'!H115*'Input Sheet'!H116+'Input Sheet'!H117*'Input Sheet'!H118+SUM('Input Sheet'!H119:H120)</f>
        <v>0</v>
      </c>
      <c r="I21" s="73">
        <f>'Input Sheet'!I111*'Input Sheet'!I112+'Input Sheet'!I113*'Input Sheet'!I114+'Input Sheet'!I115*'Input Sheet'!I116+'Input Sheet'!I117*'Input Sheet'!I118+SUM('Input Sheet'!I119:I120)</f>
        <v>0</v>
      </c>
      <c r="J21" s="73">
        <f>'Input Sheet'!J111*'Input Sheet'!J112+'Input Sheet'!J113*'Input Sheet'!J114+'Input Sheet'!J115*'Input Sheet'!J116+'Input Sheet'!J117*'Input Sheet'!J118+SUM('Input Sheet'!J119:J120)</f>
        <v>0</v>
      </c>
      <c r="K21" s="73">
        <f>'Input Sheet'!K111*'Input Sheet'!K112+'Input Sheet'!K113*'Input Sheet'!K114+'Input Sheet'!K115*'Input Sheet'!K116+'Input Sheet'!K117*'Input Sheet'!K118+SUM('Input Sheet'!K119:K120)</f>
        <v>0</v>
      </c>
      <c r="L21" s="73">
        <f>'Input Sheet'!L111*'Input Sheet'!L112+'Input Sheet'!L113*'Input Sheet'!L114+'Input Sheet'!L115*'Input Sheet'!L116+'Input Sheet'!L117*'Input Sheet'!L118+SUM('Input Sheet'!L119:L120)</f>
        <v>0</v>
      </c>
      <c r="M21" s="73">
        <f>'Input Sheet'!M111*'Input Sheet'!M112+'Input Sheet'!M113*'Input Sheet'!M114+'Input Sheet'!M115*'Input Sheet'!M116+'Input Sheet'!M117*'Input Sheet'!M118+SUM('Input Sheet'!M119:M120)</f>
        <v>0</v>
      </c>
      <c r="N21" s="73">
        <f>'Input Sheet'!N111*'Input Sheet'!N112+'Input Sheet'!N113*'Input Sheet'!N114+'Input Sheet'!N115*'Input Sheet'!N116+'Input Sheet'!N117*'Input Sheet'!N118+SUM('Input Sheet'!N119:N120)</f>
        <v>0</v>
      </c>
      <c r="O21" s="73">
        <f>'Input Sheet'!O111*'Input Sheet'!O112+'Input Sheet'!O113*'Input Sheet'!O114+'Input Sheet'!O115*'Input Sheet'!O116+'Input Sheet'!O117*'Input Sheet'!O118+SUM('Input Sheet'!O119:O120)</f>
        <v>0</v>
      </c>
      <c r="P21" s="73">
        <f>'Input Sheet'!P111*'Input Sheet'!P112+'Input Sheet'!P113*'Input Sheet'!P114+'Input Sheet'!P115*'Input Sheet'!P116+'Input Sheet'!P117*'Input Sheet'!P118+SUM('Input Sheet'!P119:P120)</f>
        <v>0</v>
      </c>
    </row>
    <row r="22" spans="2:16" x14ac:dyDescent="0.35">
      <c r="B22" s="1" t="s">
        <v>17</v>
      </c>
      <c r="C22" s="39" t="s">
        <v>24</v>
      </c>
      <c r="F22" s="73">
        <f>SUM('Input Sheet'!F123:F125)</f>
        <v>0</v>
      </c>
      <c r="G22" s="73">
        <f>SUM('Input Sheet'!G123:G125)</f>
        <v>175000</v>
      </c>
      <c r="H22" s="73">
        <f>SUM('Input Sheet'!H123:H125)</f>
        <v>0</v>
      </c>
      <c r="I22" s="73">
        <f>SUM('Input Sheet'!I123:I125)</f>
        <v>0</v>
      </c>
      <c r="J22" s="73">
        <f>SUM('Input Sheet'!J123:J125)</f>
        <v>0</v>
      </c>
      <c r="K22" s="73">
        <f>SUM('Input Sheet'!K123:K125)</f>
        <v>0</v>
      </c>
      <c r="L22" s="73">
        <f>SUM('Input Sheet'!L123:L125)</f>
        <v>0</v>
      </c>
      <c r="M22" s="73">
        <f>SUM('Input Sheet'!M123:M125)</f>
        <v>0</v>
      </c>
      <c r="N22" s="73">
        <f>SUM('Input Sheet'!N123:N125)</f>
        <v>0</v>
      </c>
      <c r="O22" s="73">
        <f>SUM('Input Sheet'!O123:O125)</f>
        <v>0</v>
      </c>
      <c r="P22" s="73">
        <f>SUM('Input Sheet'!P123:P125)</f>
        <v>0</v>
      </c>
    </row>
    <row r="23" spans="2:16" x14ac:dyDescent="0.35">
      <c r="B23" s="2" t="s">
        <v>164</v>
      </c>
      <c r="C23" s="39"/>
      <c r="F23" s="74">
        <f>SUM(F15:F22)</f>
        <v>0</v>
      </c>
      <c r="G23" s="74">
        <f t="shared" ref="G23:O23" si="2">SUM(G15:G22)</f>
        <v>4484500</v>
      </c>
      <c r="H23" s="74">
        <f t="shared" si="2"/>
        <v>1704900</v>
      </c>
      <c r="I23" s="74">
        <f t="shared" si="2"/>
        <v>0</v>
      </c>
      <c r="J23" s="74">
        <f t="shared" si="2"/>
        <v>0</v>
      </c>
      <c r="K23" s="74">
        <f t="shared" si="2"/>
        <v>0</v>
      </c>
      <c r="L23" s="74">
        <f t="shared" si="2"/>
        <v>0</v>
      </c>
      <c r="M23" s="74">
        <f t="shared" si="2"/>
        <v>0</v>
      </c>
      <c r="N23" s="74">
        <f t="shared" si="2"/>
        <v>0</v>
      </c>
      <c r="O23" s="74">
        <f t="shared" si="2"/>
        <v>0</v>
      </c>
      <c r="P23" s="74">
        <f t="shared" ref="P23" si="3">SUM(P15:P22)</f>
        <v>0</v>
      </c>
    </row>
    <row r="24" spans="2:16" x14ac:dyDescent="0.35">
      <c r="B24" s="2"/>
      <c r="C24" s="39"/>
      <c r="F24" s="75"/>
      <c r="G24" s="75"/>
      <c r="H24" s="75"/>
      <c r="I24" s="75"/>
      <c r="J24" s="75"/>
      <c r="K24" s="75"/>
      <c r="L24" s="75"/>
      <c r="M24" s="75"/>
      <c r="N24" s="75"/>
      <c r="O24" s="75"/>
      <c r="P24" s="75"/>
    </row>
    <row r="25" spans="2:16" x14ac:dyDescent="0.35">
      <c r="B25" s="2" t="s">
        <v>163</v>
      </c>
      <c r="C25" s="39"/>
      <c r="F25" s="75"/>
      <c r="G25" s="75"/>
      <c r="H25" s="75"/>
      <c r="I25" s="75"/>
      <c r="J25" s="75"/>
      <c r="K25" s="75"/>
      <c r="L25" s="75"/>
      <c r="M25" s="75"/>
      <c r="N25" s="75"/>
      <c r="O25" s="75"/>
      <c r="P25" s="75"/>
    </row>
    <row r="26" spans="2:16" x14ac:dyDescent="0.35">
      <c r="B26" s="2" t="s">
        <v>172</v>
      </c>
      <c r="C26" s="39"/>
      <c r="F26" s="74">
        <f>SUM('Input Sheet'!F139:F140)</f>
        <v>0</v>
      </c>
      <c r="G26" s="74">
        <f>SUM('Input Sheet'!G139:G140)</f>
        <v>0</v>
      </c>
      <c r="H26" s="74">
        <f>SUM('Input Sheet'!H139:H140)</f>
        <v>612750.60000000009</v>
      </c>
      <c r="I26" s="74">
        <f>SUM('Input Sheet'!I139:I140)</f>
        <v>571900.56000000006</v>
      </c>
      <c r="J26" s="74">
        <f>SUM('Input Sheet'!J139:J140)</f>
        <v>531050.52</v>
      </c>
      <c r="K26" s="74">
        <f>SUM('Input Sheet'!K139:K140)</f>
        <v>490200.48000000004</v>
      </c>
      <c r="L26" s="74">
        <f>SUM('Input Sheet'!L139:L140)</f>
        <v>449350.44000000006</v>
      </c>
      <c r="M26" s="74">
        <f>SUM('Input Sheet'!M139:M140)</f>
        <v>0</v>
      </c>
      <c r="N26" s="74">
        <f>SUM('Input Sheet'!N139:N140)</f>
        <v>0</v>
      </c>
      <c r="O26" s="74">
        <f>SUM('Input Sheet'!O139:O140)</f>
        <v>0</v>
      </c>
      <c r="P26" s="74">
        <f>SUM('Input Sheet'!P139:P140)</f>
        <v>0</v>
      </c>
    </row>
    <row r="27" spans="2:16" x14ac:dyDescent="0.35">
      <c r="C27" s="39"/>
      <c r="F27" s="75"/>
      <c r="G27" s="75"/>
      <c r="H27" s="75"/>
      <c r="I27" s="75"/>
      <c r="J27" s="75"/>
      <c r="K27" s="75"/>
      <c r="L27" s="75"/>
      <c r="M27" s="75"/>
      <c r="N27" s="75"/>
      <c r="O27" s="75"/>
      <c r="P27" s="75"/>
    </row>
    <row r="28" spans="2:16" x14ac:dyDescent="0.35">
      <c r="B28" s="2" t="s">
        <v>85</v>
      </c>
      <c r="F28" s="69"/>
      <c r="G28" s="69"/>
      <c r="H28" s="69"/>
      <c r="I28" s="69"/>
      <c r="J28" s="69"/>
      <c r="K28" s="69"/>
      <c r="L28" s="69"/>
      <c r="M28" s="69"/>
      <c r="N28" s="69"/>
      <c r="O28" s="69"/>
      <c r="P28" s="69"/>
    </row>
    <row r="29" spans="2:16" x14ac:dyDescent="0.35">
      <c r="B29" s="1" t="s">
        <v>88</v>
      </c>
      <c r="C29" s="39" t="s">
        <v>24</v>
      </c>
      <c r="F29" s="73">
        <f>-SUM('Input Sheet'!F145:F156)</f>
        <v>0</v>
      </c>
      <c r="G29" s="73">
        <f>-SUM('Input Sheet'!G145:G156)</f>
        <v>-1105000</v>
      </c>
      <c r="H29" s="73">
        <f>-SUM('Input Sheet'!H145:H156)</f>
        <v>-785000</v>
      </c>
      <c r="I29" s="73">
        <f>-SUM('Input Sheet'!I145:I156)</f>
        <v>-655000</v>
      </c>
      <c r="J29" s="73">
        <f>-SUM('Input Sheet'!J145:J156)</f>
        <v>-375000</v>
      </c>
      <c r="K29" s="73">
        <f>-SUM('Input Sheet'!K145:K156)</f>
        <v>-375000</v>
      </c>
      <c r="L29" s="73">
        <f>-SUM('Input Sheet'!L145:L156)</f>
        <v>-375000</v>
      </c>
      <c r="M29" s="73">
        <f>-SUM('Input Sheet'!M145:M156)</f>
        <v>-375000</v>
      </c>
      <c r="N29" s="73">
        <f>-SUM('Input Sheet'!N145:N156)</f>
        <v>-375000</v>
      </c>
      <c r="O29" s="73">
        <f>-SUM('Input Sheet'!O145:O156)</f>
        <v>-375000</v>
      </c>
      <c r="P29" s="73">
        <f>-SUM('Input Sheet'!P145:P156)</f>
        <v>-375000</v>
      </c>
    </row>
    <row r="30" spans="2:16" x14ac:dyDescent="0.35">
      <c r="B30" s="1" t="s">
        <v>89</v>
      </c>
      <c r="C30" s="39" t="s">
        <v>24</v>
      </c>
      <c r="F30" s="73">
        <f>'Input Sheet'!F159*'Input Sheet'!F160+'Input Sheet'!F161*'Input Sheet'!F162</f>
        <v>0</v>
      </c>
      <c r="G30" s="73">
        <f>'Input Sheet'!G159*'Input Sheet'!G160+'Input Sheet'!G161*'Input Sheet'!G162</f>
        <v>0</v>
      </c>
      <c r="H30" s="73">
        <f>'Input Sheet'!H159*'Input Sheet'!H160+'Input Sheet'!H161*'Input Sheet'!H162</f>
        <v>934663.88333333342</v>
      </c>
      <c r="I30" s="73">
        <f>'Input Sheet'!I159*'Input Sheet'!I160+'Input Sheet'!I161*'Input Sheet'!I162</f>
        <v>982070.66581000003</v>
      </c>
      <c r="J30" s="73">
        <f>'Input Sheet'!J159*'Input Sheet'!J160+'Input Sheet'!J161*'Input Sheet'!J162</f>
        <v>1032046.8958969021</v>
      </c>
      <c r="K30" s="73">
        <f>'Input Sheet'!K159*'Input Sheet'!K160+'Input Sheet'!K161*'Input Sheet'!K162</f>
        <v>1084731.8376545142</v>
      </c>
      <c r="L30" s="73">
        <f>'Input Sheet'!L159*'Input Sheet'!L160+'Input Sheet'!L161*'Input Sheet'!L162</f>
        <v>1140272.303255389</v>
      </c>
      <c r="M30" s="73">
        <f>'Input Sheet'!M159*'Input Sheet'!M160+'Input Sheet'!M161*'Input Sheet'!M162</f>
        <v>1198823.0620918311</v>
      </c>
      <c r="N30" s="73">
        <f>'Input Sheet'!N159*'Input Sheet'!N160+'Input Sheet'!N161*'Input Sheet'!N162</f>
        <v>1260547.2720572082</v>
      </c>
      <c r="O30" s="73">
        <f>'Input Sheet'!O159*'Input Sheet'!O160+'Input Sheet'!O161*'Input Sheet'!O162</f>
        <v>1325616.934202709</v>
      </c>
      <c r="P30" s="73">
        <f>'Input Sheet'!P159*'Input Sheet'!P160+'Input Sheet'!P161*'Input Sheet'!P162</f>
        <v>1394213.3720364959</v>
      </c>
    </row>
    <row r="31" spans="2:16" x14ac:dyDescent="0.35">
      <c r="B31" s="1" t="s">
        <v>96</v>
      </c>
      <c r="C31" s="39" t="s">
        <v>24</v>
      </c>
      <c r="F31" s="73">
        <f>'Input Sheet'!F165*'Input Sheet'!F166</f>
        <v>0</v>
      </c>
      <c r="G31" s="73">
        <f>'Input Sheet'!G165*'Input Sheet'!G166</f>
        <v>0</v>
      </c>
      <c r="H31" s="73">
        <f>'Input Sheet'!H165*'Input Sheet'!H166</f>
        <v>500000</v>
      </c>
      <c r="I31" s="73">
        <f>'Input Sheet'!I165*'Input Sheet'!I166</f>
        <v>750000</v>
      </c>
      <c r="J31" s="73">
        <f>'Input Sheet'!J165*'Input Sheet'!J166</f>
        <v>750000</v>
      </c>
      <c r="K31" s="73">
        <f>'Input Sheet'!K165*'Input Sheet'!K166</f>
        <v>750000</v>
      </c>
      <c r="L31" s="73">
        <f>'Input Sheet'!L165*'Input Sheet'!L166</f>
        <v>750000</v>
      </c>
      <c r="M31" s="73">
        <f>'Input Sheet'!M165*'Input Sheet'!M166</f>
        <v>750000</v>
      </c>
      <c r="N31" s="73">
        <f>'Input Sheet'!N165*'Input Sheet'!N166</f>
        <v>750000</v>
      </c>
      <c r="O31" s="73">
        <f>'Input Sheet'!O165*'Input Sheet'!O166</f>
        <v>750000</v>
      </c>
      <c r="P31" s="73">
        <f>'Input Sheet'!P165*'Input Sheet'!P166</f>
        <v>750000</v>
      </c>
    </row>
    <row r="32" spans="2:16" x14ac:dyDescent="0.35">
      <c r="B32" s="2" t="s">
        <v>102</v>
      </c>
      <c r="F32" s="74">
        <f>SUM(F29:F31)</f>
        <v>0</v>
      </c>
      <c r="G32" s="74">
        <f t="shared" ref="G32:O32" si="4">SUM(G29:G31)</f>
        <v>-1105000</v>
      </c>
      <c r="H32" s="74">
        <f t="shared" si="4"/>
        <v>649663.88333333342</v>
      </c>
      <c r="I32" s="74">
        <f t="shared" si="4"/>
        <v>1077070.6658100002</v>
      </c>
      <c r="J32" s="74">
        <f t="shared" si="4"/>
        <v>1407046.8958969021</v>
      </c>
      <c r="K32" s="74">
        <f t="shared" si="4"/>
        <v>1459731.8376545142</v>
      </c>
      <c r="L32" s="74">
        <f t="shared" si="4"/>
        <v>1515272.303255389</v>
      </c>
      <c r="M32" s="74">
        <f t="shared" si="4"/>
        <v>1573823.0620918311</v>
      </c>
      <c r="N32" s="74">
        <f t="shared" si="4"/>
        <v>1635547.2720572082</v>
      </c>
      <c r="O32" s="74">
        <f t="shared" si="4"/>
        <v>1700616.934202709</v>
      </c>
      <c r="P32" s="74">
        <f t="shared" ref="P32" si="5">SUM(P29:P31)</f>
        <v>1769213.3720364959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zoomScale="70" zoomScaleNormal="70" workbookViewId="0">
      <pane xSplit="4" ySplit="6" topLeftCell="E28" activePane="bottomRight" state="frozen"/>
      <selection pane="topRight" activeCell="E1" sqref="E1"/>
      <selection pane="bottomLeft" activeCell="A7" sqref="A7"/>
      <selection pane="bottomRight" activeCell="D26" sqref="D26"/>
    </sheetView>
  </sheetViews>
  <sheetFormatPr defaultColWidth="9.1796875" defaultRowHeight="14.5" x14ac:dyDescent="0.35"/>
  <cols>
    <col min="1" max="1" width="21.453125" style="1" customWidth="1"/>
    <col min="2" max="2" width="14.453125" style="1" customWidth="1"/>
    <col min="3" max="3" width="23.1796875" style="51" customWidth="1"/>
    <col min="4" max="11" width="18" style="1" customWidth="1"/>
    <col min="12" max="12" width="18" style="51" customWidth="1"/>
    <col min="13" max="13" width="18" style="1" customWidth="1"/>
    <col min="14" max="14" width="15.1796875" style="1" customWidth="1"/>
    <col min="15" max="15" width="14.54296875" style="1" bestFit="1" customWidth="1"/>
    <col min="16" max="16384" width="9.1796875" style="1"/>
  </cols>
  <sheetData>
    <row r="1" spans="1:13" ht="15" thickBot="1" x14ac:dyDescent="0.4">
      <c r="A1" s="2"/>
      <c r="B1" s="2"/>
      <c r="C1" s="21"/>
    </row>
    <row r="2" spans="1:13" x14ac:dyDescent="0.35">
      <c r="A2" s="6" t="s">
        <v>176</v>
      </c>
      <c r="B2" s="24" t="s">
        <v>182</v>
      </c>
      <c r="C2" s="25" t="s">
        <v>183</v>
      </c>
      <c r="D2" s="26" t="s">
        <v>184</v>
      </c>
    </row>
    <row r="3" spans="1:13" x14ac:dyDescent="0.35">
      <c r="A3" s="27" t="s">
        <v>177</v>
      </c>
      <c r="B3" s="28">
        <f>100%-B4</f>
        <v>0.7</v>
      </c>
      <c r="C3" s="77">
        <f>$D$20*B3</f>
        <v>4332580</v>
      </c>
      <c r="D3" s="29">
        <v>0.05</v>
      </c>
      <c r="E3" s="1" t="s">
        <v>171</v>
      </c>
    </row>
    <row r="4" spans="1:13" x14ac:dyDescent="0.35">
      <c r="A4" s="27" t="s">
        <v>178</v>
      </c>
      <c r="B4" s="28">
        <f>'Input Sheet'!C130</f>
        <v>0.3</v>
      </c>
      <c r="C4" s="77">
        <f>$D$20*B4</f>
        <v>1856820</v>
      </c>
      <c r="D4" s="30">
        <f>'Input Sheet'!C133</f>
        <v>0.1</v>
      </c>
    </row>
    <row r="5" spans="1:13" x14ac:dyDescent="0.35">
      <c r="A5" s="27" t="s">
        <v>181</v>
      </c>
      <c r="B5" s="78"/>
      <c r="C5" s="22"/>
      <c r="D5" s="79">
        <f>(B3*D3)+(B4*D4)</f>
        <v>6.5000000000000002E-2</v>
      </c>
    </row>
    <row r="6" spans="1:13" ht="15" thickBot="1" x14ac:dyDescent="0.4">
      <c r="A6" s="7" t="s">
        <v>168</v>
      </c>
      <c r="B6" s="80">
        <v>10</v>
      </c>
      <c r="C6" s="81"/>
      <c r="D6" s="82"/>
      <c r="E6" s="2"/>
    </row>
    <row r="8" spans="1:13" s="2" customFormat="1" x14ac:dyDescent="0.35">
      <c r="C8" s="2" t="s">
        <v>174</v>
      </c>
      <c r="D8" s="114" t="s">
        <v>117</v>
      </c>
      <c r="E8" s="114"/>
      <c r="F8" s="114"/>
      <c r="G8" s="114"/>
      <c r="I8" s="114" t="s">
        <v>112</v>
      </c>
      <c r="J8" s="114"/>
      <c r="K8" s="114"/>
      <c r="L8" s="83"/>
      <c r="M8" s="13" t="s">
        <v>110</v>
      </c>
    </row>
    <row r="9" spans="1:13" s="2" customFormat="1" x14ac:dyDescent="0.35">
      <c r="D9" s="2" t="s">
        <v>106</v>
      </c>
      <c r="E9" s="84"/>
      <c r="F9" s="2" t="s">
        <v>107</v>
      </c>
      <c r="G9" s="2" t="s">
        <v>173</v>
      </c>
      <c r="I9" s="2" t="s">
        <v>108</v>
      </c>
      <c r="J9" s="2" t="s">
        <v>109</v>
      </c>
      <c r="K9" s="2" t="s">
        <v>173</v>
      </c>
      <c r="L9" s="21"/>
    </row>
    <row r="10" spans="1:13" x14ac:dyDescent="0.35">
      <c r="B10" s="3"/>
      <c r="C10" s="3" t="s">
        <v>1</v>
      </c>
      <c r="D10" s="57">
        <f>'Output Calc'!G$23</f>
        <v>4484500</v>
      </c>
      <c r="E10" s="58"/>
      <c r="F10" s="57">
        <f>-'Output Calc'!G29</f>
        <v>1105000</v>
      </c>
      <c r="G10" s="57">
        <f t="shared" ref="G10:G19" si="0">SUM(D10:F10)</f>
        <v>5589500</v>
      </c>
      <c r="H10" s="85"/>
      <c r="I10" s="57">
        <f>'Output Calc'!G30</f>
        <v>0</v>
      </c>
      <c r="J10" s="57">
        <f>'Output Calc'!G31</f>
        <v>0</v>
      </c>
      <c r="K10" s="57">
        <f>SUM(I10:J10)</f>
        <v>0</v>
      </c>
      <c r="L10" s="58"/>
      <c r="M10" s="57">
        <f t="shared" ref="M10:M19" si="1">K10-G10</f>
        <v>-5589500</v>
      </c>
    </row>
    <row r="11" spans="1:13" x14ac:dyDescent="0.35">
      <c r="B11" s="3"/>
      <c r="C11" s="3" t="s">
        <v>2</v>
      </c>
      <c r="D11" s="57">
        <f>'Output Calc'!H23</f>
        <v>1704900</v>
      </c>
      <c r="E11" s="58"/>
      <c r="F11" s="57">
        <f>-'Output Calc'!H29</f>
        <v>785000</v>
      </c>
      <c r="G11" s="57">
        <f t="shared" si="0"/>
        <v>2489900</v>
      </c>
      <c r="H11" s="85"/>
      <c r="I11" s="57">
        <f>'Output Calc'!H30</f>
        <v>934663.88333333342</v>
      </c>
      <c r="J11" s="57">
        <f>'Output Calc'!H31</f>
        <v>500000</v>
      </c>
      <c r="K11" s="57">
        <f t="shared" ref="K11:K19" si="2">SUM(I11:J11)</f>
        <v>1434663.8833333333</v>
      </c>
      <c r="L11" s="58"/>
      <c r="M11" s="57">
        <f t="shared" si="1"/>
        <v>-1055236.1166666667</v>
      </c>
    </row>
    <row r="12" spans="1:13" x14ac:dyDescent="0.35">
      <c r="B12" s="3"/>
      <c r="C12" s="3" t="s">
        <v>3</v>
      </c>
      <c r="D12" s="57">
        <f>'Output Calc'!I23</f>
        <v>0</v>
      </c>
      <c r="E12" s="58"/>
      <c r="F12" s="57">
        <f>-'Output Calc'!I29</f>
        <v>655000</v>
      </c>
      <c r="G12" s="57">
        <f t="shared" si="0"/>
        <v>655000</v>
      </c>
      <c r="H12" s="85"/>
      <c r="I12" s="57">
        <f>'Output Calc'!I30</f>
        <v>982070.66581000003</v>
      </c>
      <c r="J12" s="57">
        <f>'Output Calc'!I31</f>
        <v>750000</v>
      </c>
      <c r="K12" s="57">
        <f t="shared" si="2"/>
        <v>1732070.6658100002</v>
      </c>
      <c r="L12" s="58"/>
      <c r="M12" s="57">
        <f t="shared" si="1"/>
        <v>1077070.6658100002</v>
      </c>
    </row>
    <row r="13" spans="1:13" x14ac:dyDescent="0.35">
      <c r="B13" s="3"/>
      <c r="C13" s="3" t="s">
        <v>4</v>
      </c>
      <c r="D13" s="57">
        <f>'Output Calc'!J23</f>
        <v>0</v>
      </c>
      <c r="E13" s="58"/>
      <c r="F13" s="57">
        <f>-'Output Calc'!J29</f>
        <v>375000</v>
      </c>
      <c r="G13" s="57">
        <f t="shared" si="0"/>
        <v>375000</v>
      </c>
      <c r="H13" s="85"/>
      <c r="I13" s="57">
        <f>'Output Calc'!J30</f>
        <v>1032046.8958969021</v>
      </c>
      <c r="J13" s="57">
        <f>'Output Calc'!J31</f>
        <v>750000</v>
      </c>
      <c r="K13" s="57">
        <f t="shared" si="2"/>
        <v>1782046.8958969021</v>
      </c>
      <c r="L13" s="58"/>
      <c r="M13" s="57">
        <f t="shared" si="1"/>
        <v>1407046.8958969021</v>
      </c>
    </row>
    <row r="14" spans="1:13" x14ac:dyDescent="0.35">
      <c r="B14" s="3"/>
      <c r="C14" s="3" t="s">
        <v>5</v>
      </c>
      <c r="D14" s="57">
        <f>'Output Calc'!K23</f>
        <v>0</v>
      </c>
      <c r="E14" s="58"/>
      <c r="F14" s="57">
        <f>-'Output Calc'!K29</f>
        <v>375000</v>
      </c>
      <c r="G14" s="57">
        <f t="shared" si="0"/>
        <v>375000</v>
      </c>
      <c r="H14" s="85"/>
      <c r="I14" s="57">
        <f>'Output Calc'!K30</f>
        <v>1084731.8376545142</v>
      </c>
      <c r="J14" s="57">
        <f>'Output Calc'!K31</f>
        <v>750000</v>
      </c>
      <c r="K14" s="57">
        <f t="shared" si="2"/>
        <v>1834731.8376545142</v>
      </c>
      <c r="L14" s="58"/>
      <c r="M14" s="57">
        <f t="shared" si="1"/>
        <v>1459731.8376545142</v>
      </c>
    </row>
    <row r="15" spans="1:13" x14ac:dyDescent="0.35">
      <c r="B15" s="3"/>
      <c r="C15" s="3" t="s">
        <v>6</v>
      </c>
      <c r="D15" s="57">
        <f>'Output Calc'!L23</f>
        <v>0</v>
      </c>
      <c r="E15" s="58"/>
      <c r="F15" s="57">
        <f>-'Output Calc'!L29</f>
        <v>375000</v>
      </c>
      <c r="G15" s="57">
        <f t="shared" si="0"/>
        <v>375000</v>
      </c>
      <c r="H15" s="85"/>
      <c r="I15" s="57">
        <f>'Output Calc'!L30</f>
        <v>1140272.303255389</v>
      </c>
      <c r="J15" s="57">
        <f>'Output Calc'!L31</f>
        <v>750000</v>
      </c>
      <c r="K15" s="57">
        <f t="shared" si="2"/>
        <v>1890272.303255389</v>
      </c>
      <c r="L15" s="58"/>
      <c r="M15" s="57">
        <f t="shared" si="1"/>
        <v>1515272.303255389</v>
      </c>
    </row>
    <row r="16" spans="1:13" x14ac:dyDescent="0.35">
      <c r="B16" s="3"/>
      <c r="C16" s="3" t="s">
        <v>7</v>
      </c>
      <c r="D16" s="57">
        <f>'Output Calc'!M23</f>
        <v>0</v>
      </c>
      <c r="E16" s="58"/>
      <c r="F16" s="57">
        <f>-'Output Calc'!M29</f>
        <v>375000</v>
      </c>
      <c r="G16" s="57">
        <f t="shared" si="0"/>
        <v>375000</v>
      </c>
      <c r="H16" s="85"/>
      <c r="I16" s="57">
        <f>'Output Calc'!M30</f>
        <v>1198823.0620918311</v>
      </c>
      <c r="J16" s="57">
        <f>'Output Calc'!M31</f>
        <v>750000</v>
      </c>
      <c r="K16" s="57">
        <f t="shared" si="2"/>
        <v>1948823.0620918311</v>
      </c>
      <c r="L16" s="58"/>
      <c r="M16" s="57">
        <f t="shared" si="1"/>
        <v>1573823.0620918311</v>
      </c>
    </row>
    <row r="17" spans="1:13" x14ac:dyDescent="0.35">
      <c r="B17" s="3"/>
      <c r="C17" s="3" t="s">
        <v>8</v>
      </c>
      <c r="D17" s="57">
        <f>'Output Calc'!N23</f>
        <v>0</v>
      </c>
      <c r="E17" s="58"/>
      <c r="F17" s="57">
        <f>-'Output Calc'!N29</f>
        <v>375000</v>
      </c>
      <c r="G17" s="57">
        <f t="shared" si="0"/>
        <v>375000</v>
      </c>
      <c r="H17" s="85"/>
      <c r="I17" s="57">
        <f>'Output Calc'!N30</f>
        <v>1260547.2720572082</v>
      </c>
      <c r="J17" s="57">
        <f>'Output Calc'!N31</f>
        <v>750000</v>
      </c>
      <c r="K17" s="57">
        <f t="shared" si="2"/>
        <v>2010547.2720572082</v>
      </c>
      <c r="L17" s="58"/>
      <c r="M17" s="57">
        <f t="shared" si="1"/>
        <v>1635547.2720572082</v>
      </c>
    </row>
    <row r="18" spans="1:13" x14ac:dyDescent="0.35">
      <c r="B18" s="3"/>
      <c r="C18" s="3" t="s">
        <v>9</v>
      </c>
      <c r="D18" s="57">
        <f>'Output Calc'!O23</f>
        <v>0</v>
      </c>
      <c r="E18" s="58"/>
      <c r="F18" s="57">
        <f>-'Output Calc'!O29</f>
        <v>375000</v>
      </c>
      <c r="G18" s="57">
        <f t="shared" si="0"/>
        <v>375000</v>
      </c>
      <c r="H18" s="85"/>
      <c r="I18" s="57">
        <f>'Output Calc'!O30</f>
        <v>1325616.934202709</v>
      </c>
      <c r="J18" s="57">
        <f>'Output Calc'!O31</f>
        <v>750000</v>
      </c>
      <c r="K18" s="57">
        <f t="shared" si="2"/>
        <v>2075616.934202709</v>
      </c>
      <c r="L18" s="58"/>
      <c r="M18" s="57">
        <f t="shared" si="1"/>
        <v>1700616.934202709</v>
      </c>
    </row>
    <row r="19" spans="1:13" x14ac:dyDescent="0.35">
      <c r="B19" s="3"/>
      <c r="C19" s="3" t="s">
        <v>10</v>
      </c>
      <c r="D19" s="57">
        <f>'Output Calc'!P23</f>
        <v>0</v>
      </c>
      <c r="E19" s="58"/>
      <c r="F19" s="57">
        <f>-'Output Calc'!P29</f>
        <v>375000</v>
      </c>
      <c r="G19" s="57">
        <f t="shared" si="0"/>
        <v>375000</v>
      </c>
      <c r="H19" s="85"/>
      <c r="I19" s="57">
        <f>'Output Calc'!P30</f>
        <v>1394213.3720364959</v>
      </c>
      <c r="J19" s="57">
        <f>'Output Calc'!P31</f>
        <v>750000</v>
      </c>
      <c r="K19" s="57">
        <f t="shared" si="2"/>
        <v>2144213.3720364962</v>
      </c>
      <c r="L19" s="58"/>
      <c r="M19" s="57">
        <f t="shared" si="1"/>
        <v>1769213.3720364962</v>
      </c>
    </row>
    <row r="20" spans="1:13" x14ac:dyDescent="0.35">
      <c r="D20" s="76">
        <f>SUM(D10:D19)</f>
        <v>6189400</v>
      </c>
      <c r="E20" s="85"/>
      <c r="F20" s="85"/>
      <c r="G20" s="85"/>
      <c r="H20" s="85"/>
      <c r="I20" s="85"/>
      <c r="J20" s="85"/>
      <c r="K20" s="85"/>
      <c r="L20" s="58"/>
      <c r="M20" s="85"/>
    </row>
    <row r="21" spans="1:13" x14ac:dyDescent="0.35">
      <c r="D21" s="85"/>
      <c r="E21" s="85"/>
      <c r="F21" s="76" t="s">
        <v>166</v>
      </c>
      <c r="G21" s="57">
        <f>SUM(G10:G19)</f>
        <v>11359400</v>
      </c>
      <c r="H21" s="85"/>
      <c r="I21" s="85"/>
      <c r="J21" s="76" t="s">
        <v>167</v>
      </c>
      <c r="K21" s="57">
        <f>SUM(K10:K19)</f>
        <v>16852986.226338379</v>
      </c>
      <c r="L21" s="58"/>
      <c r="M21" s="85"/>
    </row>
    <row r="22" spans="1:13" s="2" customFormat="1" x14ac:dyDescent="0.35">
      <c r="C22" s="21"/>
      <c r="D22" s="76"/>
      <c r="E22" s="76"/>
      <c r="F22" s="76" t="s">
        <v>113</v>
      </c>
      <c r="G22" s="57">
        <f>NPV($D$5, G10:G19)</f>
        <v>9688474.4278262891</v>
      </c>
      <c r="H22" s="76"/>
      <c r="I22" s="76"/>
      <c r="J22" s="76" t="s">
        <v>114</v>
      </c>
      <c r="K22" s="57">
        <f>NPV($D$5, K10:K19)</f>
        <v>11507409.145383766</v>
      </c>
      <c r="L22" s="86"/>
      <c r="M22" s="76"/>
    </row>
    <row r="23" spans="1:13" s="2" customFormat="1" ht="15" thickBot="1" x14ac:dyDescent="0.4">
      <c r="C23" s="21"/>
      <c r="D23" s="76"/>
      <c r="E23" s="76"/>
      <c r="F23" s="76"/>
      <c r="G23" s="76"/>
      <c r="H23" s="76"/>
      <c r="I23" s="76"/>
      <c r="J23" s="76"/>
      <c r="K23" s="76"/>
      <c r="L23" s="86"/>
      <c r="M23" s="76"/>
    </row>
    <row r="24" spans="1:13" s="2" customFormat="1" x14ac:dyDescent="0.35">
      <c r="A24" s="6" t="s">
        <v>111</v>
      </c>
      <c r="B24" s="87">
        <f>NPV($D$5,M10:M19)</f>
        <v>1818934.717557482</v>
      </c>
      <c r="C24" s="88"/>
      <c r="D24" s="76"/>
      <c r="E24" s="76"/>
      <c r="F24" s="76"/>
      <c r="G24" s="76"/>
      <c r="H24" s="76"/>
      <c r="I24" s="76"/>
      <c r="J24" s="76"/>
      <c r="K24" s="76"/>
      <c r="L24" s="86"/>
      <c r="M24" s="76"/>
    </row>
    <row r="25" spans="1:13" x14ac:dyDescent="0.35">
      <c r="A25" s="27" t="s">
        <v>116</v>
      </c>
      <c r="B25" s="89">
        <f>$K$22/$G$22</f>
        <v>1.1877421188555042</v>
      </c>
      <c r="C25" s="23"/>
      <c r="D25" s="85"/>
      <c r="E25" s="85"/>
      <c r="F25" s="85"/>
      <c r="G25" s="85"/>
      <c r="H25" s="85"/>
      <c r="I25" s="85"/>
      <c r="J25" s="85"/>
      <c r="K25" s="85"/>
      <c r="L25" s="58"/>
      <c r="M25" s="85"/>
    </row>
    <row r="26" spans="1:13" x14ac:dyDescent="0.35">
      <c r="A26" s="27" t="s">
        <v>115</v>
      </c>
      <c r="B26" s="15">
        <f>IRR(M10:M19)</f>
        <v>0.11925464758731974</v>
      </c>
      <c r="C26" s="22"/>
      <c r="D26" s="85"/>
      <c r="E26" s="85"/>
      <c r="F26" s="85"/>
      <c r="G26" s="85"/>
      <c r="H26" s="85"/>
      <c r="I26" s="85"/>
      <c r="J26" s="85"/>
      <c r="K26" s="85"/>
      <c r="L26" s="58"/>
      <c r="M26" s="85"/>
    </row>
    <row r="27" spans="1:13" ht="15" thickBot="1" x14ac:dyDescent="0.4">
      <c r="A27" s="54" t="s">
        <v>169</v>
      </c>
      <c r="B27" s="16">
        <f>$G$22/($K$22/$B$6)</f>
        <v>8.4193360168416813</v>
      </c>
      <c r="C27" s="23"/>
      <c r="D27" s="85"/>
      <c r="E27" s="85"/>
      <c r="F27" s="85"/>
      <c r="G27" s="85"/>
      <c r="H27" s="85"/>
      <c r="I27" s="85"/>
      <c r="J27" s="85"/>
      <c r="K27" s="85"/>
      <c r="L27" s="58"/>
      <c r="M27" s="85"/>
    </row>
    <row r="28" spans="1:13" x14ac:dyDescent="0.35">
      <c r="D28" s="85"/>
      <c r="E28" s="85"/>
      <c r="F28" s="85"/>
      <c r="G28" s="85"/>
      <c r="H28" s="85"/>
      <c r="I28" s="85"/>
      <c r="J28" s="85"/>
      <c r="K28" s="85"/>
      <c r="L28" s="58"/>
      <c r="M28" s="85"/>
    </row>
    <row r="29" spans="1:13" x14ac:dyDescent="0.35">
      <c r="D29" s="85"/>
      <c r="E29" s="85"/>
      <c r="F29" s="85"/>
      <c r="G29" s="85"/>
      <c r="H29" s="85"/>
      <c r="I29" s="85"/>
      <c r="J29" s="85"/>
      <c r="K29" s="85"/>
      <c r="L29" s="58"/>
      <c r="M29" s="85"/>
    </row>
    <row r="30" spans="1:13" x14ac:dyDescent="0.35">
      <c r="B30" s="2"/>
      <c r="C30" s="2" t="s">
        <v>175</v>
      </c>
      <c r="D30" s="115" t="s">
        <v>117</v>
      </c>
      <c r="E30" s="115"/>
      <c r="F30" s="115"/>
      <c r="G30" s="115"/>
      <c r="H30" s="76"/>
      <c r="I30" s="115" t="s">
        <v>112</v>
      </c>
      <c r="J30" s="115"/>
      <c r="K30" s="115"/>
      <c r="L30" s="90"/>
      <c r="M30" s="91" t="s">
        <v>110</v>
      </c>
    </row>
    <row r="31" spans="1:13" x14ac:dyDescent="0.35">
      <c r="B31" s="2"/>
      <c r="C31" s="2"/>
      <c r="D31" s="76" t="s">
        <v>185</v>
      </c>
      <c r="E31" s="92" t="s">
        <v>165</v>
      </c>
      <c r="F31" s="76" t="s">
        <v>107</v>
      </c>
      <c r="G31" s="76" t="s">
        <v>173</v>
      </c>
      <c r="H31" s="76"/>
      <c r="I31" s="76" t="s">
        <v>108</v>
      </c>
      <c r="J31" s="76" t="s">
        <v>109</v>
      </c>
      <c r="K31" s="76" t="s">
        <v>173</v>
      </c>
      <c r="L31" s="86"/>
      <c r="M31" s="76"/>
    </row>
    <row r="32" spans="1:13" x14ac:dyDescent="0.35">
      <c r="B32" s="3"/>
      <c r="C32" s="3" t="s">
        <v>1</v>
      </c>
      <c r="D32" s="57">
        <f>'Output Calc'!G$23*$B$3</f>
        <v>3139150</v>
      </c>
      <c r="E32" s="57">
        <f>'Output Calc'!G$26</f>
        <v>0</v>
      </c>
      <c r="F32" s="57">
        <f>-'Output Calc'!G29</f>
        <v>1105000</v>
      </c>
      <c r="G32" s="57">
        <f t="shared" ref="G32:G41" si="3">SUM(D32:F32)</f>
        <v>4244150</v>
      </c>
      <c r="H32" s="85"/>
      <c r="I32" s="57">
        <f>'Output Calc'!G30</f>
        <v>0</v>
      </c>
      <c r="J32" s="57">
        <f>'Output Calc'!G31</f>
        <v>0</v>
      </c>
      <c r="K32" s="57">
        <f>SUM(I32:J32)</f>
        <v>0</v>
      </c>
      <c r="L32" s="58"/>
      <c r="M32" s="57">
        <f t="shared" ref="M32:M41" si="4">K32-G32</f>
        <v>-4244150</v>
      </c>
    </row>
    <row r="33" spans="1:13" x14ac:dyDescent="0.35">
      <c r="B33" s="3"/>
      <c r="C33" s="3" t="s">
        <v>2</v>
      </c>
      <c r="D33" s="57">
        <f>'Output Calc'!H23*B3</f>
        <v>1193430</v>
      </c>
      <c r="E33" s="57">
        <f>'Output Calc'!H26</f>
        <v>612750.60000000009</v>
      </c>
      <c r="F33" s="57">
        <f>-'Output Calc'!H29</f>
        <v>785000</v>
      </c>
      <c r="G33" s="57">
        <f t="shared" si="3"/>
        <v>2591180.6</v>
      </c>
      <c r="H33" s="85"/>
      <c r="I33" s="57">
        <f>'Output Calc'!H30</f>
        <v>934663.88333333342</v>
      </c>
      <c r="J33" s="57">
        <f>'Output Calc'!H31</f>
        <v>500000</v>
      </c>
      <c r="K33" s="57">
        <f t="shared" ref="K33:K41" si="5">SUM(I33:J33)</f>
        <v>1434663.8833333333</v>
      </c>
      <c r="L33" s="58"/>
      <c r="M33" s="57">
        <f t="shared" si="4"/>
        <v>-1156516.7166666668</v>
      </c>
    </row>
    <row r="34" spans="1:13" x14ac:dyDescent="0.35">
      <c r="B34" s="3"/>
      <c r="C34" s="3" t="s">
        <v>3</v>
      </c>
      <c r="D34" s="57">
        <f>'Output Calc'!I23*B3</f>
        <v>0</v>
      </c>
      <c r="E34" s="57">
        <f>'Output Calc'!I26</f>
        <v>571900.56000000006</v>
      </c>
      <c r="F34" s="57">
        <f>-'Output Calc'!I29</f>
        <v>655000</v>
      </c>
      <c r="G34" s="57">
        <f t="shared" si="3"/>
        <v>1226900.56</v>
      </c>
      <c r="H34" s="85"/>
      <c r="I34" s="57">
        <f>'Output Calc'!I30</f>
        <v>982070.66581000003</v>
      </c>
      <c r="J34" s="57">
        <f>'Output Calc'!I31</f>
        <v>750000</v>
      </c>
      <c r="K34" s="57">
        <f t="shared" si="5"/>
        <v>1732070.6658100002</v>
      </c>
      <c r="L34" s="58"/>
      <c r="M34" s="57">
        <f t="shared" si="4"/>
        <v>505170.1058100001</v>
      </c>
    </row>
    <row r="35" spans="1:13" x14ac:dyDescent="0.35">
      <c r="B35" s="3"/>
      <c r="C35" s="3" t="s">
        <v>4</v>
      </c>
      <c r="D35" s="57">
        <f>'Output Calc'!J23*B3</f>
        <v>0</v>
      </c>
      <c r="E35" s="57">
        <f>'Output Calc'!J26</f>
        <v>531050.52</v>
      </c>
      <c r="F35" s="57">
        <f>-'Output Calc'!J29</f>
        <v>375000</v>
      </c>
      <c r="G35" s="57">
        <f t="shared" si="3"/>
        <v>906050.52</v>
      </c>
      <c r="H35" s="85"/>
      <c r="I35" s="57">
        <f>'Output Calc'!J30</f>
        <v>1032046.8958969021</v>
      </c>
      <c r="J35" s="57">
        <f>'Output Calc'!J31</f>
        <v>750000</v>
      </c>
      <c r="K35" s="57">
        <f t="shared" si="5"/>
        <v>1782046.8958969021</v>
      </c>
      <c r="L35" s="58"/>
      <c r="M35" s="57">
        <f t="shared" si="4"/>
        <v>875996.37589690206</v>
      </c>
    </row>
    <row r="36" spans="1:13" x14ac:dyDescent="0.35">
      <c r="B36" s="3"/>
      <c r="C36" s="3" t="s">
        <v>5</v>
      </c>
      <c r="D36" s="57">
        <f>'Output Calc'!K23*B3</f>
        <v>0</v>
      </c>
      <c r="E36" s="57">
        <f>'Output Calc'!K26</f>
        <v>490200.48000000004</v>
      </c>
      <c r="F36" s="57">
        <f>-'Output Calc'!K29</f>
        <v>375000</v>
      </c>
      <c r="G36" s="57">
        <f t="shared" si="3"/>
        <v>865200.48</v>
      </c>
      <c r="H36" s="85"/>
      <c r="I36" s="57">
        <f>'Output Calc'!K30</f>
        <v>1084731.8376545142</v>
      </c>
      <c r="J36" s="57">
        <f>'Output Calc'!K31</f>
        <v>750000</v>
      </c>
      <c r="K36" s="57">
        <f t="shared" si="5"/>
        <v>1834731.8376545142</v>
      </c>
      <c r="L36" s="58"/>
      <c r="M36" s="57">
        <f t="shared" si="4"/>
        <v>969531.35765451426</v>
      </c>
    </row>
    <row r="37" spans="1:13" x14ac:dyDescent="0.35">
      <c r="B37" s="3"/>
      <c r="C37" s="3" t="s">
        <v>6</v>
      </c>
      <c r="D37" s="57">
        <f>'Output Calc'!L23*B3</f>
        <v>0</v>
      </c>
      <c r="E37" s="57">
        <f>'Output Calc'!L26</f>
        <v>449350.44000000006</v>
      </c>
      <c r="F37" s="57">
        <f>-'Output Calc'!L29</f>
        <v>375000</v>
      </c>
      <c r="G37" s="57">
        <f t="shared" si="3"/>
        <v>824350.44000000006</v>
      </c>
      <c r="H37" s="85"/>
      <c r="I37" s="57">
        <f>'Output Calc'!L30</f>
        <v>1140272.303255389</v>
      </c>
      <c r="J37" s="57">
        <f>'Output Calc'!L31</f>
        <v>750000</v>
      </c>
      <c r="K37" s="57">
        <f t="shared" si="5"/>
        <v>1890272.303255389</v>
      </c>
      <c r="L37" s="58"/>
      <c r="M37" s="57">
        <f t="shared" si="4"/>
        <v>1065921.863255389</v>
      </c>
    </row>
    <row r="38" spans="1:13" x14ac:dyDescent="0.35">
      <c r="B38" s="3"/>
      <c r="C38" s="3" t="s">
        <v>7</v>
      </c>
      <c r="D38" s="57">
        <f>'Output Calc'!M23*B3</f>
        <v>0</v>
      </c>
      <c r="E38" s="57">
        <f>'Output Calc'!M26</f>
        <v>0</v>
      </c>
      <c r="F38" s="57">
        <f>-'Output Calc'!M29</f>
        <v>375000</v>
      </c>
      <c r="G38" s="57">
        <f t="shared" si="3"/>
        <v>375000</v>
      </c>
      <c r="H38" s="85"/>
      <c r="I38" s="57">
        <f>'Output Calc'!M30</f>
        <v>1198823.0620918311</v>
      </c>
      <c r="J38" s="57">
        <f>'Output Calc'!M31</f>
        <v>750000</v>
      </c>
      <c r="K38" s="57">
        <f t="shared" si="5"/>
        <v>1948823.0620918311</v>
      </c>
      <c r="L38" s="58"/>
      <c r="M38" s="57">
        <f t="shared" si="4"/>
        <v>1573823.0620918311</v>
      </c>
    </row>
    <row r="39" spans="1:13" x14ac:dyDescent="0.35">
      <c r="B39" s="3"/>
      <c r="C39" s="3" t="s">
        <v>8</v>
      </c>
      <c r="D39" s="57">
        <f>'Output Calc'!N23*B3</f>
        <v>0</v>
      </c>
      <c r="E39" s="57">
        <f>'Output Calc'!N26</f>
        <v>0</v>
      </c>
      <c r="F39" s="57">
        <f>-'Output Calc'!N29</f>
        <v>375000</v>
      </c>
      <c r="G39" s="57">
        <f t="shared" si="3"/>
        <v>375000</v>
      </c>
      <c r="H39" s="85"/>
      <c r="I39" s="57">
        <f>'Output Calc'!N30</f>
        <v>1260547.2720572082</v>
      </c>
      <c r="J39" s="57">
        <f>'Output Calc'!N31</f>
        <v>750000</v>
      </c>
      <c r="K39" s="57">
        <f t="shared" si="5"/>
        <v>2010547.2720572082</v>
      </c>
      <c r="L39" s="58"/>
      <c r="M39" s="57">
        <f t="shared" si="4"/>
        <v>1635547.2720572082</v>
      </c>
    </row>
    <row r="40" spans="1:13" x14ac:dyDescent="0.35">
      <c r="B40" s="3"/>
      <c r="C40" s="3" t="s">
        <v>9</v>
      </c>
      <c r="D40" s="57">
        <f>'Output Calc'!O23*B3</f>
        <v>0</v>
      </c>
      <c r="E40" s="57">
        <f>'Output Calc'!O26</f>
        <v>0</v>
      </c>
      <c r="F40" s="57">
        <f>-'Output Calc'!O29</f>
        <v>375000</v>
      </c>
      <c r="G40" s="57">
        <f t="shared" si="3"/>
        <v>375000</v>
      </c>
      <c r="H40" s="85"/>
      <c r="I40" s="57">
        <f>'Output Calc'!O30</f>
        <v>1325616.934202709</v>
      </c>
      <c r="J40" s="57">
        <f>'Output Calc'!O31</f>
        <v>750000</v>
      </c>
      <c r="K40" s="57">
        <f t="shared" si="5"/>
        <v>2075616.934202709</v>
      </c>
      <c r="L40" s="58"/>
      <c r="M40" s="57">
        <f t="shared" si="4"/>
        <v>1700616.934202709</v>
      </c>
    </row>
    <row r="41" spans="1:13" x14ac:dyDescent="0.35">
      <c r="B41" s="3"/>
      <c r="C41" s="3" t="s">
        <v>10</v>
      </c>
      <c r="D41" s="57">
        <f>'Output Calc'!P23*B3</f>
        <v>0</v>
      </c>
      <c r="E41" s="57">
        <f>'Output Calc'!P26</f>
        <v>0</v>
      </c>
      <c r="F41" s="57">
        <f>-'Output Calc'!P29</f>
        <v>375000</v>
      </c>
      <c r="G41" s="57">
        <f t="shared" si="3"/>
        <v>375000</v>
      </c>
      <c r="H41" s="85"/>
      <c r="I41" s="57">
        <f>'Output Calc'!P30</f>
        <v>1394213.3720364959</v>
      </c>
      <c r="J41" s="57">
        <f>'Output Calc'!P31</f>
        <v>750000</v>
      </c>
      <c r="K41" s="57">
        <f t="shared" si="5"/>
        <v>2144213.3720364962</v>
      </c>
      <c r="L41" s="58"/>
      <c r="M41" s="57">
        <f t="shared" si="4"/>
        <v>1769213.3720364962</v>
      </c>
    </row>
    <row r="42" spans="1:13" ht="15" thickBot="1" x14ac:dyDescent="0.4"/>
    <row r="43" spans="1:13" ht="15" thickBot="1" x14ac:dyDescent="0.4">
      <c r="A43" s="4" t="s">
        <v>186</v>
      </c>
      <c r="B43" s="31">
        <f>IRR(M32:M41,10%)</f>
        <v>0.11352647876650024</v>
      </c>
    </row>
  </sheetData>
  <mergeCells count="4">
    <mergeCell ref="D8:G8"/>
    <mergeCell ref="I8:K8"/>
    <mergeCell ref="D30:G30"/>
    <mergeCell ref="I30:K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vt:lpstr>
      <vt:lpstr>Guidelines</vt:lpstr>
      <vt:lpstr>Schematic</vt:lpstr>
      <vt:lpstr>Input Sheet</vt:lpstr>
      <vt:lpstr>Output Calc</vt:lpstr>
      <vt:lpstr>Finance &amp; CBA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2017-12-20T19:26:54Z</dcterms:modified>
</cp:coreProperties>
</file>