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Users\James\Dropbox\PERCY ELLIS\Percy Ellis ED JB shared\8 De Grassi St\Project Economics\"/>
    </mc:Choice>
  </mc:AlternateContent>
  <bookViews>
    <workbookView xWindow="0" yWindow="0" windowWidth="19200" windowHeight="7037" tabRatio="500" firstSheet="3" activeTab="12"/>
  </bookViews>
  <sheets>
    <sheet name="Financing" sheetId="16" r:id="rId1"/>
    <sheet name="Budget" sheetId="1" r:id="rId2"/>
    <sheet name="Dev charges" sheetId="15" r:id="rId3"/>
    <sheet name="Budget Detail" sheetId="5" r:id="rId4"/>
    <sheet name="Building SQFT" sheetId="4" r:id="rId5"/>
    <sheet name="Units" sheetId="2" r:id="rId6"/>
    <sheet name="Profitability" sheetId="8" r:id="rId7"/>
    <sheet name="Proforma" sheetId="3" r:id="rId8"/>
    <sheet name="Req. Equity" sheetId="12" r:id="rId9"/>
    <sheet name="Project IRR" sheetId="11" r:id="rId10"/>
    <sheet name="Ph1 IRR" sheetId="19" r:id="rId11"/>
    <sheet name="Ph2 IRR" sheetId="20" r:id="rId12"/>
    <sheet name="Ph1&amp;Ph2 IRR" sheetId="21" r:id="rId13"/>
  </sheets>
  <calcPr calcId="171027"/>
</workbook>
</file>

<file path=xl/calcChain.xml><?xml version="1.0" encoding="utf-8"?>
<calcChain xmlns="http://schemas.openxmlformats.org/spreadsheetml/2006/main">
  <c r="L25" i="11" l="1"/>
  <c r="L23" i="11"/>
  <c r="K26" i="20"/>
  <c r="K20" i="20"/>
  <c r="K19" i="20"/>
  <c r="I17" i="12"/>
  <c r="J22" i="11" l="1"/>
  <c r="H14" i="12" l="1"/>
  <c r="C24" i="4" l="1"/>
  <c r="A20" i="4"/>
  <c r="E63" i="3" l="1"/>
  <c r="D63" i="3"/>
  <c r="C63" i="3"/>
  <c r="E67" i="3"/>
  <c r="E66" i="3"/>
  <c r="E65" i="3"/>
  <c r="E64" i="3"/>
  <c r="C11" i="21"/>
  <c r="D11" i="21" s="1"/>
  <c r="D38" i="21" s="1"/>
  <c r="F37" i="21"/>
  <c r="D37" i="21"/>
  <c r="F36" i="21"/>
  <c r="D36" i="21"/>
  <c r="F35" i="21"/>
  <c r="D35" i="21"/>
  <c r="F34" i="21"/>
  <c r="D34" i="21"/>
  <c r="F33" i="21"/>
  <c r="D33" i="21"/>
  <c r="F32" i="21"/>
  <c r="D32" i="21"/>
  <c r="F31" i="21"/>
  <c r="D31" i="21"/>
  <c r="F30" i="21"/>
  <c r="D30" i="21"/>
  <c r="F29" i="21"/>
  <c r="D29" i="21"/>
  <c r="F28" i="21"/>
  <c r="C28" i="21"/>
  <c r="D28" i="21" s="1"/>
  <c r="F27" i="21"/>
  <c r="D27" i="21"/>
  <c r="F26" i="21"/>
  <c r="D26" i="21"/>
  <c r="F25" i="21"/>
  <c r="D25" i="21"/>
  <c r="D24" i="21"/>
  <c r="C24" i="21"/>
  <c r="F24" i="21" s="1"/>
  <c r="F23" i="21"/>
  <c r="D23" i="21"/>
  <c r="F22" i="21"/>
  <c r="D22" i="21"/>
  <c r="F21" i="21"/>
  <c r="D21" i="21"/>
  <c r="F20" i="21"/>
  <c r="D20" i="21"/>
  <c r="F19" i="21"/>
  <c r="D19" i="21"/>
  <c r="F18" i="21"/>
  <c r="D18" i="21"/>
  <c r="F17" i="21"/>
  <c r="D17" i="21"/>
  <c r="F16" i="21"/>
  <c r="D16" i="21"/>
  <c r="F15" i="21"/>
  <c r="D15" i="21"/>
  <c r="F14" i="21"/>
  <c r="D14" i="21"/>
  <c r="F13" i="21"/>
  <c r="D13" i="21"/>
  <c r="F12" i="21"/>
  <c r="D12" i="21"/>
  <c r="B12" i="21"/>
  <c r="A12" i="21"/>
  <c r="A13" i="21" s="1"/>
  <c r="B11" i="21"/>
  <c r="N18" i="11"/>
  <c r="D38" i="20"/>
  <c r="L18" i="11"/>
  <c r="D38" i="19"/>
  <c r="N24" i="11"/>
  <c r="L24" i="11"/>
  <c r="L22" i="11"/>
  <c r="D7" i="21" l="1"/>
  <c r="F11" i="21"/>
  <c r="A14" i="21"/>
  <c r="B13" i="21"/>
  <c r="A15" i="21" l="1"/>
  <c r="B14" i="21"/>
  <c r="A16" i="21" l="1"/>
  <c r="B15" i="21"/>
  <c r="D7" i="20"/>
  <c r="D7" i="19"/>
  <c r="D12" i="19"/>
  <c r="D13" i="19"/>
  <c r="D14" i="19"/>
  <c r="D15" i="19"/>
  <c r="D16" i="19"/>
  <c r="D17" i="19"/>
  <c r="D18" i="19"/>
  <c r="D19" i="19"/>
  <c r="D20" i="19"/>
  <c r="D21" i="19"/>
  <c r="D22" i="19"/>
  <c r="D23" i="19"/>
  <c r="D24" i="19"/>
  <c r="D25" i="19"/>
  <c r="D26" i="19"/>
  <c r="D27" i="19"/>
  <c r="D29" i="19"/>
  <c r="D30" i="19"/>
  <c r="D31" i="19"/>
  <c r="D32" i="19"/>
  <c r="D33" i="19"/>
  <c r="D34" i="19"/>
  <c r="D35" i="19"/>
  <c r="D36" i="19"/>
  <c r="D37" i="19"/>
  <c r="N20" i="11"/>
  <c r="L20" i="11"/>
  <c r="C24" i="20"/>
  <c r="F24" i="20" s="1"/>
  <c r="F37" i="20"/>
  <c r="D37" i="20"/>
  <c r="F36" i="20"/>
  <c r="D36" i="20"/>
  <c r="F35" i="20"/>
  <c r="D35" i="20"/>
  <c r="F34" i="20"/>
  <c r="D34" i="20"/>
  <c r="F33" i="20"/>
  <c r="D33" i="20"/>
  <c r="F32" i="20"/>
  <c r="D32" i="20"/>
  <c r="F31" i="20"/>
  <c r="D31" i="20"/>
  <c r="F30" i="20"/>
  <c r="D30" i="20"/>
  <c r="F29" i="20"/>
  <c r="D29" i="20"/>
  <c r="C28" i="20"/>
  <c r="F28" i="20" s="1"/>
  <c r="F27" i="20"/>
  <c r="D27" i="20"/>
  <c r="F26" i="20"/>
  <c r="D26" i="20"/>
  <c r="F25" i="20"/>
  <c r="D25" i="20"/>
  <c r="F23" i="20"/>
  <c r="D23" i="20"/>
  <c r="F22" i="20"/>
  <c r="D22" i="20"/>
  <c r="F21" i="20"/>
  <c r="D21" i="20"/>
  <c r="F20" i="20"/>
  <c r="D20" i="20"/>
  <c r="F19" i="20"/>
  <c r="D19" i="20"/>
  <c r="F18" i="20"/>
  <c r="D18" i="20"/>
  <c r="F17" i="20"/>
  <c r="D17" i="20"/>
  <c r="F16" i="20"/>
  <c r="D16" i="20"/>
  <c r="F15" i="20"/>
  <c r="D15" i="20"/>
  <c r="F14" i="20"/>
  <c r="D14" i="20"/>
  <c r="F13" i="20"/>
  <c r="D13" i="20"/>
  <c r="F12" i="20"/>
  <c r="D12" i="20"/>
  <c r="A12" i="20"/>
  <c r="A13" i="20" s="1"/>
  <c r="F11" i="20"/>
  <c r="B11" i="20"/>
  <c r="B11" i="11"/>
  <c r="L19" i="11"/>
  <c r="F37" i="19"/>
  <c r="F36" i="19"/>
  <c r="F35" i="19"/>
  <c r="F34" i="19"/>
  <c r="F33" i="19"/>
  <c r="F32" i="19"/>
  <c r="F31" i="19"/>
  <c r="F30" i="19"/>
  <c r="F29" i="19"/>
  <c r="C28" i="19"/>
  <c r="F28" i="19" s="1"/>
  <c r="F27" i="19"/>
  <c r="F26" i="19"/>
  <c r="F25" i="19"/>
  <c r="F24" i="19"/>
  <c r="F23" i="19"/>
  <c r="F22" i="19"/>
  <c r="F21" i="19"/>
  <c r="F20" i="19"/>
  <c r="F19" i="19"/>
  <c r="F18" i="19"/>
  <c r="F17" i="19"/>
  <c r="F16" i="19"/>
  <c r="F15" i="19"/>
  <c r="F14" i="19"/>
  <c r="F13" i="19"/>
  <c r="F12" i="19"/>
  <c r="A12" i="19"/>
  <c r="A13" i="19" s="1"/>
  <c r="C11" i="19"/>
  <c r="F11" i="19" s="1"/>
  <c r="B11" i="19"/>
  <c r="G4" i="2"/>
  <c r="G3" i="8"/>
  <c r="F29" i="1"/>
  <c r="E22" i="2"/>
  <c r="C51" i="3"/>
  <c r="L52" i="3" s="1"/>
  <c r="L41" i="3"/>
  <c r="D7" i="12"/>
  <c r="A17" i="21" l="1"/>
  <c r="B16" i="21"/>
  <c r="J18" i="11"/>
  <c r="D28" i="19"/>
  <c r="D11" i="19"/>
  <c r="B12" i="19"/>
  <c r="B12" i="20"/>
  <c r="D24" i="20"/>
  <c r="A14" i="20"/>
  <c r="B13" i="20"/>
  <c r="D11" i="20"/>
  <c r="D28" i="20"/>
  <c r="N19" i="11"/>
  <c r="B13" i="19"/>
  <c r="A14" i="19"/>
  <c r="E11" i="2"/>
  <c r="E8" i="2"/>
  <c r="E23" i="2"/>
  <c r="E9" i="2"/>
  <c r="E13" i="2"/>
  <c r="E17" i="2"/>
  <c r="E21" i="2"/>
  <c r="E15" i="2"/>
  <c r="E19" i="2"/>
  <c r="E7" i="2"/>
  <c r="E12" i="2"/>
  <c r="E16" i="2"/>
  <c r="E20" i="2"/>
  <c r="E10" i="2"/>
  <c r="E14" i="2"/>
  <c r="E18" i="2"/>
  <c r="A18" i="21" l="1"/>
  <c r="B17" i="21"/>
  <c r="L21" i="11"/>
  <c r="A15" i="20"/>
  <c r="B14" i="20"/>
  <c r="B14" i="19"/>
  <c r="A15" i="19"/>
  <c r="A19" i="21" l="1"/>
  <c r="B18" i="21"/>
  <c r="A16" i="20"/>
  <c r="B15" i="20"/>
  <c r="A16" i="19"/>
  <c r="B15" i="19"/>
  <c r="A20" i="21" l="1"/>
  <c r="B19" i="21"/>
  <c r="A17" i="20"/>
  <c r="B16" i="20"/>
  <c r="B16" i="19"/>
  <c r="A17" i="19"/>
  <c r="A21" i="21" l="1"/>
  <c r="B20" i="21"/>
  <c r="A18" i="20"/>
  <c r="B17" i="20"/>
  <c r="A18" i="19"/>
  <c r="B17" i="19"/>
  <c r="A22" i="21" l="1"/>
  <c r="B21" i="21"/>
  <c r="A19" i="20"/>
  <c r="B18" i="20"/>
  <c r="A19" i="19"/>
  <c r="B18" i="19"/>
  <c r="A23" i="21" l="1"/>
  <c r="B22" i="21"/>
  <c r="A20" i="20"/>
  <c r="B19" i="20"/>
  <c r="A20" i="19"/>
  <c r="B19" i="19"/>
  <c r="A24" i="21" l="1"/>
  <c r="B23" i="21"/>
  <c r="A21" i="20"/>
  <c r="B20" i="20"/>
  <c r="B20" i="19"/>
  <c r="A21" i="19"/>
  <c r="A25" i="21" l="1"/>
  <c r="B24" i="21"/>
  <c r="A22" i="20"/>
  <c r="B21" i="20"/>
  <c r="A22" i="19"/>
  <c r="B21" i="19"/>
  <c r="B25" i="21" l="1"/>
  <c r="A26" i="21"/>
  <c r="A23" i="20"/>
  <c r="B22" i="20"/>
  <c r="A23" i="19"/>
  <c r="B22" i="19"/>
  <c r="B26" i="21" l="1"/>
  <c r="A27" i="21"/>
  <c r="A24" i="20"/>
  <c r="B23" i="20"/>
  <c r="A24" i="19"/>
  <c r="B23" i="19"/>
  <c r="B27" i="21" l="1"/>
  <c r="A28" i="21"/>
  <c r="A25" i="20"/>
  <c r="B24" i="20"/>
  <c r="A25" i="19"/>
  <c r="B24" i="19"/>
  <c r="A29" i="21" l="1"/>
  <c r="B28" i="21"/>
  <c r="A26" i="20"/>
  <c r="B25" i="20"/>
  <c r="A26" i="19"/>
  <c r="B25" i="19"/>
  <c r="B29" i="21" l="1"/>
  <c r="A30" i="21"/>
  <c r="A27" i="20"/>
  <c r="B26" i="20"/>
  <c r="B26" i="19"/>
  <c r="A27" i="19"/>
  <c r="B30" i="21" l="1"/>
  <c r="A31" i="21"/>
  <c r="A28" i="20"/>
  <c r="B27" i="20"/>
  <c r="A28" i="19"/>
  <c r="B27" i="19"/>
  <c r="B31" i="21" l="1"/>
  <c r="A32" i="21"/>
  <c r="B28" i="20"/>
  <c r="A29" i="20"/>
  <c r="A29" i="19"/>
  <c r="B28" i="19"/>
  <c r="B32" i="21" l="1"/>
  <c r="A33" i="21"/>
  <c r="A30" i="20"/>
  <c r="B29" i="20"/>
  <c r="A30" i="19"/>
  <c r="B29" i="19"/>
  <c r="B33" i="21" l="1"/>
  <c r="A34" i="21"/>
  <c r="B30" i="20"/>
  <c r="A31" i="20"/>
  <c r="A31" i="19"/>
  <c r="B30" i="19"/>
  <c r="B34" i="21" l="1"/>
  <c r="A35" i="21"/>
  <c r="A32" i="20"/>
  <c r="B31" i="20"/>
  <c r="A32" i="19"/>
  <c r="B31" i="19"/>
  <c r="B35" i="21" l="1"/>
  <c r="A36" i="21"/>
  <c r="B32" i="20"/>
  <c r="A33" i="20"/>
  <c r="A33" i="19"/>
  <c r="B32" i="19"/>
  <c r="B36" i="21" l="1"/>
  <c r="A37" i="21"/>
  <c r="A34" i="20"/>
  <c r="B33" i="20"/>
  <c r="A34" i="19"/>
  <c r="B33" i="19"/>
  <c r="B37" i="21" l="1"/>
  <c r="A38" i="21"/>
  <c r="B38" i="21" s="1"/>
  <c r="B34" i="20"/>
  <c r="A35" i="20"/>
  <c r="B34" i="19"/>
  <c r="A35" i="19"/>
  <c r="A36" i="20" l="1"/>
  <c r="B35" i="20"/>
  <c r="A36" i="19"/>
  <c r="B35" i="19"/>
  <c r="B36" i="20" l="1"/>
  <c r="A37" i="20"/>
  <c r="A37" i="19"/>
  <c r="B36" i="19"/>
  <c r="B37" i="20" l="1"/>
  <c r="A38" i="20"/>
  <c r="B38" i="20" s="1"/>
  <c r="B37" i="19"/>
  <c r="A38" i="19"/>
  <c r="B38" i="19" s="1"/>
  <c r="F79" i="1" l="1"/>
  <c r="F53" i="1"/>
  <c r="I33" i="1"/>
  <c r="D8" i="12"/>
  <c r="P76" i="1"/>
  <c r="P77" i="1"/>
  <c r="P78" i="1"/>
  <c r="P79" i="1"/>
  <c r="P80" i="1"/>
  <c r="F80" i="1"/>
  <c r="A61" i="1"/>
  <c r="F47" i="1"/>
  <c r="N47" i="1" s="1"/>
  <c r="O48" i="1"/>
  <c r="O49" i="1"/>
  <c r="O46" i="1"/>
  <c r="O40" i="1"/>
  <c r="O41" i="1"/>
  <c r="O42" i="1"/>
  <c r="O38" i="1"/>
  <c r="F24" i="1"/>
  <c r="A78" i="1"/>
  <c r="A79" i="1" s="1"/>
  <c r="A80" i="1" s="1"/>
  <c r="D47" i="16"/>
  <c r="D50" i="16" s="1"/>
  <c r="D32" i="16"/>
  <c r="D35" i="16" s="1"/>
  <c r="D20" i="16"/>
  <c r="D24" i="16" s="1"/>
  <c r="D9" i="16"/>
  <c r="D23" i="16"/>
  <c r="D13" i="16"/>
  <c r="D12" i="16"/>
  <c r="D54" i="16" l="1"/>
  <c r="F76" i="1" s="1"/>
  <c r="I76" i="1" s="1"/>
  <c r="D18" i="12"/>
  <c r="D36" i="16"/>
  <c r="D39" i="16" s="1"/>
  <c r="F75" i="1" s="1"/>
  <c r="D38" i="16"/>
  <c r="F74" i="1" s="1"/>
  <c r="I74" i="1" s="1"/>
  <c r="D55" i="16"/>
  <c r="I75" i="1" l="1"/>
  <c r="N75" i="1"/>
  <c r="P75" i="1" s="1"/>
  <c r="O74" i="1"/>
  <c r="P74" i="1" s="1"/>
  <c r="D56" i="16"/>
  <c r="F77" i="1"/>
  <c r="I77" i="1" s="1"/>
  <c r="D40" i="16"/>
  <c r="D59" i="16" l="1"/>
  <c r="D5" i="3" l="1"/>
  <c r="D4" i="3"/>
  <c r="C5" i="3"/>
  <c r="C4" i="3"/>
  <c r="B4" i="15"/>
  <c r="I53" i="1"/>
  <c r="P53" i="1"/>
  <c r="D5" i="4"/>
  <c r="D4" i="4" s="1"/>
  <c r="D11" i="4"/>
  <c r="D6" i="4" l="1"/>
  <c r="D9" i="4" s="1"/>
  <c r="D12" i="4" s="1"/>
  <c r="D8" i="4" l="1"/>
  <c r="H19" i="1" l="1"/>
  <c r="D16" i="4"/>
  <c r="I46" i="1"/>
  <c r="A47" i="1"/>
  <c r="A48" i="1" s="1"/>
  <c r="A49" i="1" s="1"/>
  <c r="I47" i="1"/>
  <c r="F50" i="1"/>
  <c r="I48" i="1"/>
  <c r="I49" i="1"/>
  <c r="I56" i="1"/>
  <c r="I60" i="1"/>
  <c r="A62" i="1"/>
  <c r="A63" i="1" s="1"/>
  <c r="A64" i="1" s="1"/>
  <c r="I62" i="1"/>
  <c r="I63" i="1"/>
  <c r="I70" i="1"/>
  <c r="I78" i="1"/>
  <c r="I79" i="1"/>
  <c r="I89" i="1"/>
  <c r="I90" i="1"/>
  <c r="I93" i="1"/>
  <c r="H33" i="1" l="1"/>
  <c r="H74" i="1"/>
  <c r="H53" i="1"/>
  <c r="H77" i="1"/>
  <c r="H76" i="1"/>
  <c r="H75" i="1"/>
  <c r="I50" i="1"/>
  <c r="I80" i="1"/>
  <c r="E37" i="11" l="1"/>
  <c r="E36" i="11"/>
  <c r="E35" i="11"/>
  <c r="E34" i="11"/>
  <c r="E33" i="11"/>
  <c r="E32" i="11"/>
  <c r="E31" i="11"/>
  <c r="E30" i="11"/>
  <c r="E29" i="11"/>
  <c r="C28" i="11"/>
  <c r="E28" i="11" s="1"/>
  <c r="E27" i="11"/>
  <c r="E26" i="11"/>
  <c r="E25" i="11"/>
  <c r="E23" i="11"/>
  <c r="E22" i="11"/>
  <c r="E21" i="11"/>
  <c r="E20" i="11"/>
  <c r="E19" i="11"/>
  <c r="E18" i="11"/>
  <c r="E17" i="11"/>
  <c r="E16" i="11"/>
  <c r="E15" i="11"/>
  <c r="E14" i="11"/>
  <c r="E13" i="11"/>
  <c r="E12" i="11"/>
  <c r="A12" i="11"/>
  <c r="A13" i="11" l="1"/>
  <c r="B13" i="11" s="1"/>
  <c r="B12" i="11"/>
  <c r="A14" i="11" l="1"/>
  <c r="B14" i="11" s="1"/>
  <c r="A15" i="11"/>
  <c r="B15" i="11" s="1"/>
  <c r="D17" i="12"/>
  <c r="D19" i="12" l="1"/>
  <c r="C43" i="3" s="1"/>
  <c r="M41" i="3" s="1"/>
  <c r="A16" i="11"/>
  <c r="B16" i="11" s="1"/>
  <c r="A17" i="11" l="1"/>
  <c r="B17" i="11" s="1"/>
  <c r="B38" i="3"/>
  <c r="A18" i="11" l="1"/>
  <c r="B18" i="11" s="1"/>
  <c r="F7" i="3"/>
  <c r="G7" i="3" s="1"/>
  <c r="F8" i="3"/>
  <c r="G8" i="3" s="1"/>
  <c r="A19" i="11" l="1"/>
  <c r="B19" i="11" s="1"/>
  <c r="A20" i="11" l="1"/>
  <c r="B20" i="11" s="1"/>
  <c r="G4" i="8"/>
  <c r="B29" i="3"/>
  <c r="D6" i="12"/>
  <c r="D10" i="12" s="1"/>
  <c r="D64" i="3"/>
  <c r="D65" i="3"/>
  <c r="D66" i="3"/>
  <c r="D67" i="3"/>
  <c r="D24" i="2"/>
  <c r="F26" i="1"/>
  <c r="F5" i="1" s="1"/>
  <c r="B3" i="2"/>
  <c r="G19" i="1" s="1"/>
  <c r="G33" i="1" s="1"/>
  <c r="G21" i="2"/>
  <c r="G19" i="2"/>
  <c r="G18" i="2"/>
  <c r="G17" i="2"/>
  <c r="G13" i="2"/>
  <c r="E25" i="2"/>
  <c r="D6" i="3" s="1"/>
  <c r="O80" i="1"/>
  <c r="P84" i="1"/>
  <c r="P85" i="1" s="1"/>
  <c r="P38" i="1"/>
  <c r="P40" i="1"/>
  <c r="P41" i="1"/>
  <c r="P42" i="1"/>
  <c r="P24" i="1"/>
  <c r="P49" i="1"/>
  <c r="P56" i="1"/>
  <c r="P60" i="1"/>
  <c r="P63" i="1"/>
  <c r="P68" i="1"/>
  <c r="P69" i="1"/>
  <c r="P70" i="1"/>
  <c r="P88" i="1"/>
  <c r="P90" i="1"/>
  <c r="P64" i="1"/>
  <c r="P62" i="1"/>
  <c r="P61" i="1"/>
  <c r="P55" i="1"/>
  <c r="P54" i="1"/>
  <c r="P48" i="1"/>
  <c r="P47" i="1"/>
  <c r="P46" i="1"/>
  <c r="P34" i="1"/>
  <c r="P32" i="1"/>
  <c r="P31" i="1"/>
  <c r="P30" i="1"/>
  <c r="P29" i="1"/>
  <c r="O26" i="1"/>
  <c r="O35" i="1"/>
  <c r="O50" i="1"/>
  <c r="O65" i="1"/>
  <c r="O71" i="1"/>
  <c r="O85" i="1"/>
  <c r="O91" i="1"/>
  <c r="N71" i="1"/>
  <c r="N85" i="1"/>
  <c r="N91" i="1"/>
  <c r="N65" i="1"/>
  <c r="N57" i="1"/>
  <c r="N50" i="1"/>
  <c r="N43" i="1"/>
  <c r="N35" i="1"/>
  <c r="N25" i="1"/>
  <c r="P25" i="1" s="1"/>
  <c r="N23" i="1"/>
  <c r="P23" i="1" s="1"/>
  <c r="E24" i="2"/>
  <c r="F61" i="1" s="1"/>
  <c r="G9" i="2"/>
  <c r="G10" i="2"/>
  <c r="G11" i="2"/>
  <c r="G12" i="2"/>
  <c r="G16" i="2"/>
  <c r="G20" i="2"/>
  <c r="G22" i="2"/>
  <c r="B6" i="1"/>
  <c r="B7" i="1"/>
  <c r="B8" i="1"/>
  <c r="B9" i="1"/>
  <c r="B10" i="1"/>
  <c r="B11" i="1"/>
  <c r="B12" i="1"/>
  <c r="B13" i="1"/>
  <c r="B14" i="1"/>
  <c r="A14" i="1"/>
  <c r="A13" i="1"/>
  <c r="A12" i="1"/>
  <c r="A11" i="1"/>
  <c r="A10" i="1"/>
  <c r="A9" i="1"/>
  <c r="A8" i="1"/>
  <c r="A7" i="1"/>
  <c r="A6" i="1"/>
  <c r="B5" i="1"/>
  <c r="A5" i="1"/>
  <c r="F23" i="2"/>
  <c r="F22" i="2"/>
  <c r="F21" i="2"/>
  <c r="F20" i="2"/>
  <c r="F19" i="2"/>
  <c r="F18" i="2"/>
  <c r="F17" i="2"/>
  <c r="F16" i="2"/>
  <c r="F15" i="2"/>
  <c r="F14" i="2"/>
  <c r="F13" i="2"/>
  <c r="F12" i="2"/>
  <c r="F11" i="2"/>
  <c r="F10" i="2"/>
  <c r="F9" i="2"/>
  <c r="F8" i="2"/>
  <c r="F7" i="2"/>
  <c r="G76" i="1" l="1"/>
  <c r="G75" i="1"/>
  <c r="G77" i="1"/>
  <c r="G74" i="1"/>
  <c r="E4" i="3"/>
  <c r="B4" i="3"/>
  <c r="B6" i="15"/>
  <c r="B8" i="15"/>
  <c r="G53" i="1"/>
  <c r="F54" i="1"/>
  <c r="P91" i="1"/>
  <c r="P71" i="1"/>
  <c r="H25" i="1"/>
  <c r="H46" i="1"/>
  <c r="H56" i="1"/>
  <c r="H62" i="1"/>
  <c r="H47" i="1"/>
  <c r="H90" i="1"/>
  <c r="H49" i="1"/>
  <c r="H70" i="1"/>
  <c r="H78" i="1"/>
  <c r="H89" i="1"/>
  <c r="H93" i="1"/>
  <c r="H48" i="1"/>
  <c r="H60" i="1"/>
  <c r="H63" i="1"/>
  <c r="H79" i="1"/>
  <c r="H80" i="1"/>
  <c r="H50" i="1"/>
  <c r="H29" i="1"/>
  <c r="G25" i="1"/>
  <c r="G46" i="1"/>
  <c r="G47" i="1"/>
  <c r="G49" i="1"/>
  <c r="G80" i="1"/>
  <c r="G90" i="1"/>
  <c r="G48" i="1"/>
  <c r="G60" i="1"/>
  <c r="G89" i="1"/>
  <c r="G78" i="1"/>
  <c r="G56" i="1"/>
  <c r="G62" i="1"/>
  <c r="G63" i="1"/>
  <c r="G70" i="1"/>
  <c r="G93" i="1"/>
  <c r="G50" i="1"/>
  <c r="G79" i="1"/>
  <c r="A21" i="11"/>
  <c r="B21" i="11" s="1"/>
  <c r="G23" i="1"/>
  <c r="G14" i="2"/>
  <c r="C25" i="2"/>
  <c r="C6" i="3" s="1"/>
  <c r="G7" i="2"/>
  <c r="B4" i="2"/>
  <c r="F25" i="2"/>
  <c r="C24" i="2"/>
  <c r="I22" i="2" s="1"/>
  <c r="G15" i="2"/>
  <c r="G23" i="2"/>
  <c r="G8" i="2"/>
  <c r="H42" i="1"/>
  <c r="H23" i="1"/>
  <c r="N26" i="1"/>
  <c r="P26" i="1"/>
  <c r="H32" i="1"/>
  <c r="H38" i="1"/>
  <c r="H31" i="1"/>
  <c r="H30" i="1"/>
  <c r="H24" i="1"/>
  <c r="G24" i="1"/>
  <c r="G38" i="1"/>
  <c r="G42" i="1"/>
  <c r="G30" i="1"/>
  <c r="G32" i="1"/>
  <c r="G31" i="1"/>
  <c r="P65" i="1"/>
  <c r="P35" i="1"/>
  <c r="P50" i="1"/>
  <c r="P57" i="1"/>
  <c r="F8" i="1"/>
  <c r="G5" i="1"/>
  <c r="H5" i="1"/>
  <c r="G26" i="1"/>
  <c r="O57" i="1"/>
  <c r="H26" i="1"/>
  <c r="F4" i="3" l="1"/>
  <c r="G4" i="3" s="1"/>
  <c r="B9" i="15"/>
  <c r="F55" i="1" s="1"/>
  <c r="E5" i="3"/>
  <c r="I15" i="2"/>
  <c r="J15" i="2" s="1"/>
  <c r="I8" i="2"/>
  <c r="J8" i="2" s="1"/>
  <c r="I23" i="2"/>
  <c r="K23" i="2" s="1"/>
  <c r="I7" i="2"/>
  <c r="J7" i="2" s="1"/>
  <c r="G54" i="1"/>
  <c r="I54" i="1"/>
  <c r="F57" i="1"/>
  <c r="H54" i="1"/>
  <c r="G25" i="2"/>
  <c r="E6" i="3" s="1"/>
  <c r="C11" i="11"/>
  <c r="A22" i="11"/>
  <c r="B22" i="11" s="1"/>
  <c r="B6" i="3"/>
  <c r="F5" i="3"/>
  <c r="J22" i="2"/>
  <c r="K22" i="2"/>
  <c r="I17" i="2"/>
  <c r="I21" i="2"/>
  <c r="I9" i="2"/>
  <c r="I20" i="2"/>
  <c r="I16" i="2"/>
  <c r="I13" i="2"/>
  <c r="I12" i="2"/>
  <c r="I10" i="2"/>
  <c r="I19" i="2"/>
  <c r="I11" i="2"/>
  <c r="I18" i="2"/>
  <c r="I14" i="2"/>
  <c r="F34" i="1"/>
  <c r="G29" i="1"/>
  <c r="H8" i="1"/>
  <c r="G8" i="1"/>
  <c r="D21" i="12"/>
  <c r="D18" i="3" l="1"/>
  <c r="D15" i="3"/>
  <c r="B15" i="3" s="1"/>
  <c r="D17" i="3"/>
  <c r="B17" i="3" s="1"/>
  <c r="D16" i="3"/>
  <c r="B16" i="3" s="1"/>
  <c r="K8" i="2"/>
  <c r="K15" i="2"/>
  <c r="L15" i="2" s="1"/>
  <c r="M15" i="2" s="1"/>
  <c r="I55" i="1"/>
  <c r="H55" i="1"/>
  <c r="G55" i="1"/>
  <c r="L8" i="2"/>
  <c r="M8" i="2" s="1"/>
  <c r="J23" i="2"/>
  <c r="L23" i="2" s="1"/>
  <c r="M23" i="2" s="1"/>
  <c r="F81" i="1"/>
  <c r="K7" i="2"/>
  <c r="L7" i="2" s="1"/>
  <c r="I57" i="1"/>
  <c r="H57" i="1"/>
  <c r="G57" i="1"/>
  <c r="C24" i="11"/>
  <c r="E24" i="11" s="1"/>
  <c r="E11" i="11"/>
  <c r="A23" i="11"/>
  <c r="B23" i="11" s="1"/>
  <c r="B18" i="3"/>
  <c r="J18" i="2"/>
  <c r="K18" i="2"/>
  <c r="K12" i="2"/>
  <c r="J12" i="2"/>
  <c r="J20" i="2"/>
  <c r="K20" i="2"/>
  <c r="J9" i="2"/>
  <c r="K9" i="2"/>
  <c r="L22" i="2"/>
  <c r="M22" i="2" s="1"/>
  <c r="I24" i="2"/>
  <c r="G5" i="3"/>
  <c r="G6" i="3" s="1"/>
  <c r="F6" i="3"/>
  <c r="J14" i="2"/>
  <c r="K14" i="2"/>
  <c r="J10" i="2"/>
  <c r="K10" i="2"/>
  <c r="J13" i="2"/>
  <c r="K13" i="2"/>
  <c r="J21" i="2"/>
  <c r="K21" i="2"/>
  <c r="J11" i="2"/>
  <c r="K11" i="2"/>
  <c r="J16" i="2"/>
  <c r="K16" i="2"/>
  <c r="K19" i="2"/>
  <c r="J19" i="2"/>
  <c r="K17" i="2"/>
  <c r="J17" i="2"/>
  <c r="F9" i="1"/>
  <c r="F35" i="1"/>
  <c r="O39" i="1" s="1"/>
  <c r="G34" i="1"/>
  <c r="H34" i="1"/>
  <c r="G41" i="1"/>
  <c r="H41" i="1"/>
  <c r="G40" i="1"/>
  <c r="H40" i="1"/>
  <c r="N81" i="1"/>
  <c r="N93" i="1" s="1"/>
  <c r="O81" i="1"/>
  <c r="C40" i="11" l="1"/>
  <c r="G39" i="1"/>
  <c r="F12" i="1"/>
  <c r="H12" i="1" s="1"/>
  <c r="O43" i="1"/>
  <c r="O93" i="1" s="1"/>
  <c r="P39" i="1"/>
  <c r="P43" i="1" s="1"/>
  <c r="F43" i="1"/>
  <c r="F68" i="1" s="1"/>
  <c r="H39" i="1"/>
  <c r="L19" i="2"/>
  <c r="M19" i="2" s="1"/>
  <c r="L17" i="2"/>
  <c r="M17" i="2" s="1"/>
  <c r="P81" i="1"/>
  <c r="I81" i="1"/>
  <c r="H81" i="1"/>
  <c r="G81" i="1"/>
  <c r="F88" i="1"/>
  <c r="A24" i="11"/>
  <c r="B24" i="11" s="1"/>
  <c r="L9" i="2"/>
  <c r="M9" i="2" s="1"/>
  <c r="G9" i="3"/>
  <c r="G10" i="3" s="1"/>
  <c r="G11" i="3" s="1"/>
  <c r="L16" i="2"/>
  <c r="M16" i="2" s="1"/>
  <c r="L10" i="2"/>
  <c r="M10" i="2" s="1"/>
  <c r="L20" i="2"/>
  <c r="M20" i="2" s="1"/>
  <c r="L12" i="2"/>
  <c r="M12" i="2" s="1"/>
  <c r="M7" i="2"/>
  <c r="L11" i="2"/>
  <c r="M11" i="2" s="1"/>
  <c r="L21" i="2"/>
  <c r="M21" i="2" s="1"/>
  <c r="L13" i="2"/>
  <c r="M13" i="2" s="1"/>
  <c r="L14" i="2"/>
  <c r="M14" i="2" s="1"/>
  <c r="L18" i="2"/>
  <c r="M18" i="2" s="1"/>
  <c r="G9" i="1"/>
  <c r="H9" i="1"/>
  <c r="H35" i="1"/>
  <c r="F6" i="1"/>
  <c r="G35" i="1"/>
  <c r="D20" i="3" l="1"/>
  <c r="B20" i="3" s="1"/>
  <c r="D19" i="3"/>
  <c r="J43" i="1"/>
  <c r="T43" i="1" s="1"/>
  <c r="G43" i="1"/>
  <c r="G12" i="1"/>
  <c r="P93" i="1"/>
  <c r="Q93" i="1" s="1"/>
  <c r="H43" i="1"/>
  <c r="F7" i="1"/>
  <c r="H7" i="1" s="1"/>
  <c r="I68" i="1"/>
  <c r="H68" i="1"/>
  <c r="F69" i="1"/>
  <c r="F71" i="1" s="1"/>
  <c r="G68" i="1"/>
  <c r="H61" i="1"/>
  <c r="I61" i="1"/>
  <c r="G61" i="1"/>
  <c r="H88" i="1"/>
  <c r="F91" i="1"/>
  <c r="G88" i="1"/>
  <c r="I88" i="1"/>
  <c r="G66" i="3"/>
  <c r="G67" i="3"/>
  <c r="G64" i="3"/>
  <c r="G65" i="3"/>
  <c r="G40" i="3"/>
  <c r="G63" i="3" s="1"/>
  <c r="G51" i="3"/>
  <c r="A25" i="11"/>
  <c r="B25" i="11" s="1"/>
  <c r="G71" i="3"/>
  <c r="C20" i="3"/>
  <c r="C17" i="3"/>
  <c r="G73" i="3"/>
  <c r="C18" i="3"/>
  <c r="G75" i="3"/>
  <c r="C15" i="3"/>
  <c r="C16" i="3"/>
  <c r="D14" i="3"/>
  <c r="C14" i="3" s="1"/>
  <c r="G72" i="3"/>
  <c r="G74" i="3"/>
  <c r="L24" i="2"/>
  <c r="M24" i="2" s="1"/>
  <c r="G6" i="1"/>
  <c r="H6" i="1"/>
  <c r="G7" i="1" l="1"/>
  <c r="H71" i="1"/>
  <c r="I71" i="1"/>
  <c r="G71" i="1"/>
  <c r="I69" i="1"/>
  <c r="H69" i="1"/>
  <c r="G69" i="1"/>
  <c r="G91" i="1"/>
  <c r="H91" i="1"/>
  <c r="I91" i="1"/>
  <c r="A26" i="11"/>
  <c r="B26" i="11" s="1"/>
  <c r="B14" i="3"/>
  <c r="G21" i="3"/>
  <c r="F64" i="1" s="1"/>
  <c r="B19" i="3"/>
  <c r="C19" i="3"/>
  <c r="C21" i="3" s="1"/>
  <c r="C48" i="3" s="1"/>
  <c r="B51" i="3" s="1"/>
  <c r="F14" i="1"/>
  <c r="G64" i="1" l="1"/>
  <c r="I64" i="1"/>
  <c r="H64" i="1"/>
  <c r="F65" i="1"/>
  <c r="F84" i="1" s="1"/>
  <c r="A27" i="11"/>
  <c r="B27" i="11" s="1"/>
  <c r="B21" i="3"/>
  <c r="G23" i="3"/>
  <c r="H14" i="1"/>
  <c r="G14" i="1"/>
  <c r="F11" i="1"/>
  <c r="G65" i="1" l="1"/>
  <c r="H65" i="1"/>
  <c r="I65" i="1"/>
  <c r="F10" i="1"/>
  <c r="G10" i="1" s="1"/>
  <c r="A28" i="11"/>
  <c r="C38" i="3"/>
  <c r="B40" i="3" s="1"/>
  <c r="B63" i="3" s="1"/>
  <c r="B64" i="3" s="1"/>
  <c r="B65" i="3" s="1"/>
  <c r="B66" i="3" s="1"/>
  <c r="B67" i="3" s="1"/>
  <c r="C29" i="3"/>
  <c r="D29" i="3" s="1"/>
  <c r="C31" i="3"/>
  <c r="C32" i="3"/>
  <c r="C27" i="3"/>
  <c r="D27" i="3" s="1"/>
  <c r="C28" i="3"/>
  <c r="D28" i="3" s="1"/>
  <c r="H11" i="1"/>
  <c r="G11" i="1"/>
  <c r="A29" i="11" l="1"/>
  <c r="B28" i="11"/>
  <c r="H84" i="1"/>
  <c r="F85" i="1"/>
  <c r="F13" i="1" s="1"/>
  <c r="G84" i="1"/>
  <c r="I84" i="1"/>
  <c r="H10" i="1"/>
  <c r="D32" i="3"/>
  <c r="C67" i="3"/>
  <c r="C75" i="3" s="1"/>
  <c r="D31" i="3"/>
  <c r="C66" i="3"/>
  <c r="C74" i="3" s="1"/>
  <c r="C65" i="3"/>
  <c r="C73" i="3" s="1"/>
  <c r="C64" i="3"/>
  <c r="C72" i="3" s="1"/>
  <c r="D48" i="3"/>
  <c r="C3" i="8"/>
  <c r="C5" i="8" s="1"/>
  <c r="D38" i="3"/>
  <c r="A30" i="11" l="1"/>
  <c r="B29" i="11"/>
  <c r="H85" i="1"/>
  <c r="I85" i="1"/>
  <c r="I13" i="1" s="1"/>
  <c r="G85" i="1"/>
  <c r="F67" i="3"/>
  <c r="I67" i="3" s="1"/>
  <c r="F66" i="3"/>
  <c r="F65" i="3"/>
  <c r="F64" i="3"/>
  <c r="F51" i="3"/>
  <c r="F40" i="3"/>
  <c r="C71" i="3"/>
  <c r="C4" i="8"/>
  <c r="C6" i="8" s="1"/>
  <c r="B43" i="3"/>
  <c r="I31" i="1"/>
  <c r="I15" i="1"/>
  <c r="I8" i="1"/>
  <c r="I30" i="1"/>
  <c r="I32" i="1"/>
  <c r="I42" i="1"/>
  <c r="I24" i="1"/>
  <c r="I9" i="1"/>
  <c r="I29" i="1"/>
  <c r="I23" i="1"/>
  <c r="I12" i="1"/>
  <c r="I38" i="1"/>
  <c r="I41" i="1"/>
  <c r="I40" i="1"/>
  <c r="I26" i="1"/>
  <c r="I5" i="1" s="1"/>
  <c r="L5" i="1" s="1"/>
  <c r="I11" i="1"/>
  <c r="I39" i="1"/>
  <c r="I43" i="1"/>
  <c r="I7" i="1" s="1"/>
  <c r="I34" i="1"/>
  <c r="I35" i="1"/>
  <c r="I6" i="1" s="1"/>
  <c r="L6" i="1" s="1"/>
  <c r="I25" i="1"/>
  <c r="I14" i="1"/>
  <c r="E29" i="3"/>
  <c r="E28" i="3"/>
  <c r="E27" i="3"/>
  <c r="E32" i="3"/>
  <c r="E31" i="3"/>
  <c r="I10" i="1"/>
  <c r="H13" i="1"/>
  <c r="H15" i="1" s="1"/>
  <c r="G13" i="1"/>
  <c r="G15" i="1" s="1"/>
  <c r="F15" i="1"/>
  <c r="H40" i="3" l="1"/>
  <c r="H63" i="3" s="1"/>
  <c r="F63" i="3"/>
  <c r="A31" i="11"/>
  <c r="B30" i="11"/>
  <c r="M43" i="3"/>
  <c r="E43" i="3"/>
  <c r="H67" i="3"/>
  <c r="H75" i="3" s="1"/>
  <c r="I66" i="3"/>
  <c r="H66" i="3"/>
  <c r="H74" i="3" s="1"/>
  <c r="H65" i="3"/>
  <c r="H73" i="3" s="1"/>
  <c r="I64" i="3"/>
  <c r="H64" i="3"/>
  <c r="H72" i="3" s="1"/>
  <c r="I51" i="3"/>
  <c r="H51" i="3"/>
  <c r="I40" i="3"/>
  <c r="I63" i="3" s="1"/>
  <c r="I65" i="3"/>
  <c r="C54" i="3"/>
  <c r="N8" i="1"/>
  <c r="L7" i="1"/>
  <c r="B74" i="3"/>
  <c r="D74" i="3" s="1"/>
  <c r="B71" i="3"/>
  <c r="D71" i="3" s="1"/>
  <c r="B72" i="3"/>
  <c r="D72" i="3" s="1"/>
  <c r="E72" i="3" s="1"/>
  <c r="B73" i="3"/>
  <c r="D73" i="3" s="1"/>
  <c r="E73" i="3" s="1"/>
  <c r="B75" i="3"/>
  <c r="D75" i="3" s="1"/>
  <c r="E75" i="3" s="1"/>
  <c r="G6" i="8"/>
  <c r="D43" i="3" l="1"/>
  <c r="A32" i="11"/>
  <c r="B31" i="11"/>
  <c r="E54" i="3"/>
  <c r="M54" i="3"/>
  <c r="M52" i="3"/>
  <c r="B54" i="3"/>
  <c r="F43" i="3"/>
  <c r="I43" i="3" s="1"/>
  <c r="D38" i="11"/>
  <c r="D40" i="11" s="1"/>
  <c r="D54" i="3"/>
  <c r="H71" i="3"/>
  <c r="I72" i="3"/>
  <c r="I73" i="3"/>
  <c r="G5" i="8"/>
  <c r="C7" i="8"/>
  <c r="E71" i="3"/>
  <c r="E74" i="3"/>
  <c r="A33" i="11" l="1"/>
  <c r="B32" i="11"/>
  <c r="F54" i="3"/>
  <c r="G54" i="3" s="1"/>
  <c r="G43" i="3"/>
  <c r="E38" i="11"/>
  <c r="E40" i="11" s="1"/>
  <c r="I74" i="3"/>
  <c r="I71" i="3"/>
  <c r="A34" i="11" l="1"/>
  <c r="B33" i="11"/>
  <c r="I54" i="3"/>
  <c r="A35" i="11" l="1"/>
  <c r="B34" i="11"/>
  <c r="A36" i="11" l="1"/>
  <c r="B35" i="11"/>
  <c r="A37" i="11" l="1"/>
  <c r="B36" i="11"/>
  <c r="A38" i="11" l="1"/>
  <c r="B38" i="11" s="1"/>
  <c r="B37" i="11"/>
  <c r="B7" i="11" s="1"/>
  <c r="G7" i="8" s="1"/>
  <c r="J19" i="11"/>
  <c r="J23" i="11" s="1"/>
  <c r="J21" i="11" l="1"/>
  <c r="N25" i="11" l="1"/>
  <c r="E38" i="20" s="1"/>
  <c r="F38" i="20" s="1"/>
  <c r="E38" i="19" l="1"/>
  <c r="F38" i="19" s="1"/>
  <c r="F39" i="19" s="1"/>
  <c r="F40" i="19" s="1"/>
  <c r="C8" i="8" s="1"/>
  <c r="E38" i="21"/>
  <c r="F38" i="21" s="1"/>
  <c r="B7" i="20"/>
  <c r="F39" i="20"/>
  <c r="F40" i="20" s="1"/>
  <c r="B7" i="19"/>
  <c r="G8" i="8" s="1"/>
  <c r="B7" i="21" l="1"/>
  <c r="F39" i="21"/>
  <c r="F40" i="21" s="1"/>
</calcChain>
</file>

<file path=xl/sharedStrings.xml><?xml version="1.0" encoding="utf-8"?>
<sst xmlns="http://schemas.openxmlformats.org/spreadsheetml/2006/main" count="487" uniqueCount="381">
  <si>
    <t>Land Cost</t>
  </si>
  <si>
    <t>Realty Taxes</t>
  </si>
  <si>
    <t>LAND SUBTOTAL</t>
  </si>
  <si>
    <t>HARD COSTS</t>
  </si>
  <si>
    <t>Underground Parking</t>
  </si>
  <si>
    <t>Site Servicing</t>
  </si>
  <si>
    <t>Construction Contingency</t>
  </si>
  <si>
    <t>ARCHITECTS &amp; ENGINEERS</t>
  </si>
  <si>
    <t>Architect</t>
  </si>
  <si>
    <t>Structural Engineers</t>
  </si>
  <si>
    <t>Mechanical Engineers</t>
  </si>
  <si>
    <t>Electrical Engineers</t>
  </si>
  <si>
    <t>Civil Engineers/ Traffic Study</t>
  </si>
  <si>
    <t>OTHER CONSULTANTS COSTS</t>
  </si>
  <si>
    <t>Geotechnical Consultant</t>
  </si>
  <si>
    <t>Planning and Zoning</t>
  </si>
  <si>
    <t>Shoring Consultant</t>
  </si>
  <si>
    <t>FEES &amp; PERMITS</t>
  </si>
  <si>
    <t>Project Management Fees</t>
  </si>
  <si>
    <t>Building Permit</t>
  </si>
  <si>
    <t>Site Plan Approval/ Zoning Fees/ Other Municipal</t>
  </si>
  <si>
    <t>MARKETING, LEGAL &amp; ADMINISTRATION</t>
  </si>
  <si>
    <t>Insurance - General Liability &amp; Builders Risk</t>
  </si>
  <si>
    <t>Appraisal</t>
  </si>
  <si>
    <t>Operating Expenses</t>
  </si>
  <si>
    <t xml:space="preserve">LAND </t>
  </si>
  <si>
    <t>A</t>
  </si>
  <si>
    <t>B</t>
  </si>
  <si>
    <t>FINANCING COSTS</t>
  </si>
  <si>
    <t>Construction Loan Interest</t>
  </si>
  <si>
    <t>Project Monitor</t>
  </si>
  <si>
    <t>Draw Fee's</t>
  </si>
  <si>
    <t>Soft Costs Contingency</t>
  </si>
  <si>
    <t>Furniture Fixtures and Equipment</t>
  </si>
  <si>
    <t>Development Charges Recoveries</t>
  </si>
  <si>
    <t xml:space="preserve">GOVERNMENT TAXES </t>
  </si>
  <si>
    <t>C</t>
  </si>
  <si>
    <t>D</t>
  </si>
  <si>
    <t>E</t>
  </si>
  <si>
    <t>F</t>
  </si>
  <si>
    <t>G</t>
  </si>
  <si>
    <t>H</t>
  </si>
  <si>
    <t>I</t>
  </si>
  <si>
    <t>J</t>
  </si>
  <si>
    <t>TOTAL PROJECT COSTS</t>
  </si>
  <si>
    <t>PROJECT BUDGET</t>
  </si>
  <si>
    <t>BUDGET</t>
  </si>
  <si>
    <t>COST PER UNIT</t>
  </si>
  <si>
    <t>COST PER SQFT</t>
  </si>
  <si>
    <t>COMMENTS</t>
  </si>
  <si>
    <t>COUNT</t>
  </si>
  <si>
    <t>NO.</t>
  </si>
  <si>
    <t>SQFT</t>
  </si>
  <si>
    <t>BEDROOMS</t>
  </si>
  <si>
    <t>RENT</t>
  </si>
  <si>
    <t>Unit Count</t>
  </si>
  <si>
    <t>GLA</t>
  </si>
  <si>
    <t>UNIT COUNT</t>
  </si>
  <si>
    <t>TOTAL GFA SQFT</t>
  </si>
  <si>
    <t xml:space="preserve">Construction Costs </t>
  </si>
  <si>
    <t>Total Land</t>
  </si>
  <si>
    <t>Total Hard Costs</t>
  </si>
  <si>
    <t>HST Self Assessment</t>
  </si>
  <si>
    <t>HST Input Tax Credits</t>
  </si>
  <si>
    <t>HST Monthly Payables</t>
  </si>
  <si>
    <t>Occupancy Income</t>
  </si>
  <si>
    <t>Building SQFT</t>
  </si>
  <si>
    <t>Site area</t>
  </si>
  <si>
    <t>Indoor Amenity</t>
  </si>
  <si>
    <t>UNIT BREAKDOWN</t>
  </si>
  <si>
    <t>INCOME PROFOMA</t>
  </si>
  <si>
    <t>SUITE TYPE</t>
  </si>
  <si>
    <t>NO. UNITS</t>
  </si>
  <si>
    <t>AVERAGE SQFT</t>
  </si>
  <si>
    <t>AVERAGE RENT / SQFT</t>
  </si>
  <si>
    <t>AVERAGE RENTS</t>
  </si>
  <si>
    <t>ANNUAL INCOME</t>
  </si>
  <si>
    <t>TOTAL UNIT REVENUE</t>
  </si>
  <si>
    <t>GROSS POTENTIAL INCOME</t>
  </si>
  <si>
    <t>Less: Vacancy Allowance</t>
  </si>
  <si>
    <t>EFFECTIVE GROSS INCOME</t>
  </si>
  <si>
    <t>@</t>
  </si>
  <si>
    <t>stalls @</t>
  </si>
  <si>
    <t>RENT / BED</t>
  </si>
  <si>
    <t>RENT / SQFT</t>
  </si>
  <si>
    <t>OPERATING EXPENSES</t>
  </si>
  <si>
    <t>Management</t>
  </si>
  <si>
    <t>Repairs &amp; Maintenance</t>
  </si>
  <si>
    <t>Insurance</t>
  </si>
  <si>
    <t>TOTAL OPERATING EXPENSES</t>
  </si>
  <si>
    <t>PER UNIT</t>
  </si>
  <si>
    <t>%EGI</t>
  </si>
  <si>
    <t>EXPENSE</t>
  </si>
  <si>
    <t>NET OPERATING INCOME</t>
  </si>
  <si>
    <t>VALUE</t>
  </si>
  <si>
    <t>CAP RATE</t>
  </si>
  <si>
    <t>AMORT</t>
  </si>
  <si>
    <t>Wages</t>
  </si>
  <si>
    <t>Utilities</t>
  </si>
  <si>
    <t>BUDGET DETAIL</t>
  </si>
  <si>
    <t>Environmental Remediation</t>
  </si>
  <si>
    <t>Environmental Reports</t>
  </si>
  <si>
    <t>Development Charges / Park / Education</t>
  </si>
  <si>
    <t>Lease up Commission</t>
  </si>
  <si>
    <t>Efficency</t>
  </si>
  <si>
    <t>Total Interest</t>
  </si>
  <si>
    <t>Budget</t>
  </si>
  <si>
    <t>Rate</t>
  </si>
  <si>
    <t>Legal</t>
  </si>
  <si>
    <t>Lender Legal Fees</t>
  </si>
  <si>
    <t>SUMMARY</t>
  </si>
  <si>
    <t>SOFT CONTINGENCY</t>
  </si>
  <si>
    <t>%</t>
  </si>
  <si>
    <t>Land</t>
  </si>
  <si>
    <t>Hard</t>
  </si>
  <si>
    <t>Soft</t>
  </si>
  <si>
    <t>Benchmarks</t>
  </si>
  <si>
    <t xml:space="preserve">Overall % for Prime Consultant at </t>
  </si>
  <si>
    <t>Cost to Date plus allowance for one minor report</t>
  </si>
  <si>
    <t>See Budget Detail. Based on 16 months construction plus 5 months lease up</t>
  </si>
  <si>
    <t>Assumed None</t>
  </si>
  <si>
    <t>Fine</t>
  </si>
  <si>
    <t>good</t>
  </si>
  <si>
    <t>Administrative/Sundry</t>
  </si>
  <si>
    <t>PMT</t>
  </si>
  <si>
    <t>B1</t>
  </si>
  <si>
    <t>B2</t>
  </si>
  <si>
    <t>B3</t>
  </si>
  <si>
    <t>Soft excluding fees and financing</t>
  </si>
  <si>
    <t>5% due to small building</t>
  </si>
  <si>
    <t>Includes snow removal &amp; landscaping</t>
  </si>
  <si>
    <t>MONTHLY INCOME</t>
  </si>
  <si>
    <t>Tenant utilities are separately metered</t>
  </si>
  <si>
    <t>HST SELF ASSESSMENT</t>
  </si>
  <si>
    <t>NET GST</t>
  </si>
  <si>
    <t>NET PST</t>
  </si>
  <si>
    <t>NET HST</t>
  </si>
  <si>
    <t>CRA Value</t>
  </si>
  <si>
    <t>Unit / leasable area</t>
  </si>
  <si>
    <t>Circulation</t>
  </si>
  <si>
    <t>Per APS</t>
  </si>
  <si>
    <t>High end estimate per Phase 2 report</t>
  </si>
  <si>
    <t>No underground parking</t>
  </si>
  <si>
    <t>of Total Hard Costs</t>
  </si>
  <si>
    <t>PROFITABILITY</t>
  </si>
  <si>
    <t>Proforma Valuation</t>
  </si>
  <si>
    <t>Profit</t>
  </si>
  <si>
    <t>Loan</t>
  </si>
  <si>
    <t>PERIOD</t>
  </si>
  <si>
    <t>DATE</t>
  </si>
  <si>
    <t>Close</t>
  </si>
  <si>
    <t>CASH CALL</t>
  </si>
  <si>
    <t>DISPOSITION</t>
  </si>
  <si>
    <t>CASHFLOW</t>
  </si>
  <si>
    <t>Land/Predevelopment Loan Interest</t>
  </si>
  <si>
    <t>TOTAL</t>
  </si>
  <si>
    <t>AVERAGE</t>
  </si>
  <si>
    <t>EQUITY</t>
  </si>
  <si>
    <t xml:space="preserve">COSTS AT </t>
  </si>
  <si>
    <t>LAND CLOSE</t>
  </si>
  <si>
    <t>COSTS</t>
  </si>
  <si>
    <t>CLOSE-CONSTRUCTION</t>
  </si>
  <si>
    <t>PRECONSTRUCTION</t>
  </si>
  <si>
    <t>Financing assumption</t>
  </si>
  <si>
    <t>Predevelopment costs</t>
  </si>
  <si>
    <t>Required Equity</t>
  </si>
  <si>
    <t>Total Budget</t>
  </si>
  <si>
    <t>Additional Equity</t>
  </si>
  <si>
    <t>Municipal Approvals</t>
  </si>
  <si>
    <t>Start Construction</t>
  </si>
  <si>
    <t>Occupancy</t>
  </si>
  <si>
    <t>Stabalization</t>
  </si>
  <si>
    <t>ROUNDED</t>
  </si>
  <si>
    <t>Substantial Completion</t>
  </si>
  <si>
    <t xml:space="preserve">Required Equity </t>
  </si>
  <si>
    <t>Project IRR</t>
  </si>
  <si>
    <t>Project Cash Return Multiple</t>
  </si>
  <si>
    <t>OFFSETTING INCOME</t>
  </si>
  <si>
    <t>HIGH</t>
  </si>
  <si>
    <t>PROJECTED</t>
  </si>
  <si>
    <t>LOW</t>
  </si>
  <si>
    <t>LEVERAGE</t>
  </si>
  <si>
    <t>LOAN</t>
  </si>
  <si>
    <t>RATE*</t>
  </si>
  <si>
    <t>EQUITY TAKE OUT</t>
  </si>
  <si>
    <t>TAKE OUT LOAN</t>
  </si>
  <si>
    <t>EQUITY LEFT IN PROJECT</t>
  </si>
  <si>
    <t>ANNUAL NET CF</t>
  </si>
  <si>
    <t>GP ASSET MNGT FEE</t>
  </si>
  <si>
    <t>Low-end Proforma</t>
  </si>
  <si>
    <t>High-end Proforma</t>
  </si>
  <si>
    <t>LOSS</t>
  </si>
  <si>
    <t>Loss Proforma</t>
  </si>
  <si>
    <t>Grand Slam Proforma</t>
  </si>
  <si>
    <t xml:space="preserve">Note: Assumption is made that only cap rate varies and effects value. In reality many other factors including but not limited to success of construction, actual rents, actual expenses, market conditions, economic market conditions will effect the stabilized value of the property. </t>
  </si>
  <si>
    <t>BUILT IN EQUITY</t>
  </si>
  <si>
    <t>Projected</t>
  </si>
  <si>
    <t>Low-end</t>
  </si>
  <si>
    <t>High-end</t>
  </si>
  <si>
    <t>Loss</t>
  </si>
  <si>
    <t>GP ASSET MNGT FEE % OF EGI*</t>
  </si>
  <si>
    <t>n/a</t>
  </si>
  <si>
    <t xml:space="preserve">IRR </t>
  </si>
  <si>
    <t>Bank Value</t>
  </si>
  <si>
    <t>CONSTRUCTION LOAN</t>
  </si>
  <si>
    <t>*GP receives 1.5% of EGI as asset management fee in both long term hold options</t>
  </si>
  <si>
    <t>Profit (% of Budget)</t>
  </si>
  <si>
    <t>Storage Locker Revenue</t>
  </si>
  <si>
    <t>lockers @</t>
  </si>
  <si>
    <t>Bicycle Parking Revenue</t>
  </si>
  <si>
    <t>Bank 1st Mortgage (at bank value)</t>
  </si>
  <si>
    <t>Wyse Meter Solutions Incentives</t>
  </si>
  <si>
    <t>3/4 of one month rent</t>
  </si>
  <si>
    <t>Development Yield (Cap on cost)</t>
  </si>
  <si>
    <t>CMHC Value</t>
  </si>
  <si>
    <t>CMHC 1st Mortgage (at CMHC value)</t>
  </si>
  <si>
    <t>Equity Take Out</t>
  </si>
  <si>
    <t>IRR (8% pref)</t>
  </si>
  <si>
    <t>PREF (8%)</t>
  </si>
  <si>
    <t>IRR PROJECT</t>
  </si>
  <si>
    <t>Return on Equity</t>
  </si>
  <si>
    <t>Long Term Hold Performance</t>
  </si>
  <si>
    <t>CMHC Premium % added to loan</t>
  </si>
  <si>
    <t>Long Term Hold Performace</t>
  </si>
  <si>
    <t>Equity Remaining</t>
  </si>
  <si>
    <t xml:space="preserve">Annual Cash on Cash </t>
  </si>
  <si>
    <t>Water and hydro upgrade costs</t>
  </si>
  <si>
    <t>See Budget Detail</t>
  </si>
  <si>
    <t>Check principle paydown</t>
  </si>
  <si>
    <t>Formula:</t>
  </si>
  <si>
    <t>ANNUAL CASH ON CASH</t>
  </si>
  <si>
    <t>GP ASSET MNGT FEE**</t>
  </si>
  <si>
    <t>CONVENTIONAL BANK FINANCING SENSITIVITY ANALYSIS</t>
  </si>
  <si>
    <t>NET CASH FLOW</t>
  </si>
  <si>
    <t>DSC RATIO</t>
  </si>
  <si>
    <r>
      <t>CAP RATE</t>
    </r>
    <r>
      <rPr>
        <b/>
        <vertAlign val="superscript"/>
        <sz val="11"/>
        <color theme="1"/>
        <rFont val="Calibri"/>
        <family val="2"/>
        <scheme val="minor"/>
      </rPr>
      <t>(1)</t>
    </r>
  </si>
  <si>
    <r>
      <t>VALUE</t>
    </r>
    <r>
      <rPr>
        <b/>
        <vertAlign val="superscript"/>
        <sz val="11"/>
        <color theme="1"/>
        <rFont val="Calibri"/>
        <family val="2"/>
        <scheme val="minor"/>
      </rPr>
      <t>(2)</t>
    </r>
  </si>
  <si>
    <r>
      <t>RATE</t>
    </r>
    <r>
      <rPr>
        <b/>
        <vertAlign val="superscript"/>
        <sz val="11"/>
        <color theme="1"/>
        <rFont val="Calibri"/>
        <family val="2"/>
        <scheme val="minor"/>
      </rPr>
      <t>(3)</t>
    </r>
  </si>
  <si>
    <r>
      <t>GP ASSET MNGT FEE</t>
    </r>
    <r>
      <rPr>
        <b/>
        <vertAlign val="superscript"/>
        <sz val="11"/>
        <color theme="1"/>
        <rFont val="Calibri"/>
        <family val="2"/>
        <scheme val="minor"/>
      </rPr>
      <t>(4)</t>
    </r>
  </si>
  <si>
    <r>
      <t>NET CASH FLOW</t>
    </r>
    <r>
      <rPr>
        <b/>
        <vertAlign val="superscript"/>
        <sz val="11"/>
        <color theme="1"/>
        <rFont val="Calibri"/>
        <family val="2"/>
        <scheme val="minor"/>
      </rPr>
      <t>(5)</t>
    </r>
  </si>
  <si>
    <t>approximately 1% hards</t>
  </si>
  <si>
    <t>Land Purchase Price</t>
  </si>
  <si>
    <t>Closing</t>
  </si>
  <si>
    <t>Loan at Close</t>
  </si>
  <si>
    <t>LTV on Land</t>
  </si>
  <si>
    <t>Predevelopment Cost</t>
  </si>
  <si>
    <t>Draws</t>
  </si>
  <si>
    <t>LTV on Predevelopment Costs</t>
  </si>
  <si>
    <t>Loan for Predevelopment Costs</t>
  </si>
  <si>
    <t>Predevelopment</t>
  </si>
  <si>
    <t>Total budget</t>
  </si>
  <si>
    <t>LTV on Total budget</t>
  </si>
  <si>
    <t>Fee</t>
  </si>
  <si>
    <t>some equity recovery from land/predevelopment occurs here</t>
  </si>
  <si>
    <t>Very High</t>
  </si>
  <si>
    <t>VERY HIGH</t>
  </si>
  <si>
    <t>Property Tax**</t>
  </si>
  <si>
    <t>LONG TERM ESTIMATED PROFORMA (CONVENTIONAL BANK FINANCING)</t>
  </si>
  <si>
    <t>LONG TERM ESTIMATED PROFORMA (CMHC BANK FINANCING)</t>
  </si>
  <si>
    <t>Return on Amortization</t>
  </si>
  <si>
    <t>Total Return on Equity</t>
  </si>
  <si>
    <t>% to LP until full return of LP Capital</t>
  </si>
  <si>
    <t>Approx. LP ROE for Project</t>
  </si>
  <si>
    <t>Total Return on Equity (ROE)</t>
  </si>
  <si>
    <t>Land Transfer Tax</t>
  </si>
  <si>
    <t>Realty taxes throughout entire development</t>
  </si>
  <si>
    <t>Foot plate (floors 2-4)</t>
  </si>
  <si>
    <t xml:space="preserve">Sq Ft </t>
  </si>
  <si>
    <t>Sq M</t>
  </si>
  <si>
    <t>Mez</t>
  </si>
  <si>
    <t>Foot plate (Ground, basement)</t>
  </si>
  <si>
    <t>Total building envelope (less basement)</t>
  </si>
  <si>
    <t>less open to above below area of mezzanine</t>
  </si>
  <si>
    <t>Total building envelope  (incl. basement)</t>
  </si>
  <si>
    <t>Soft Cost Reasonability Check</t>
  </si>
  <si>
    <t>Park Levies % of all costs</t>
  </si>
  <si>
    <t>Total Park Levies</t>
  </si>
  <si>
    <t>DC's per unit as of Feb 15, 2016</t>
  </si>
  <si>
    <t>Total DCs</t>
  </si>
  <si>
    <t>Education Levies per unit</t>
  </si>
  <si>
    <t>Total Education Levies</t>
  </si>
  <si>
    <t>Total Park, DC, Education Levies</t>
  </si>
  <si>
    <t>Bachelor Units</t>
  </si>
  <si>
    <t>Commercial Unit</t>
  </si>
  <si>
    <t>** Realty Taxes are assessed by MPAC based on applying a gross income multiplier of 13.0 times (this is a number I received from Altus) the projected gross residential revenue (including parking and storage) and multiplying the estimate by the 2015 multi-residential tax rate of 0.7056037%.</t>
  </si>
  <si>
    <t>Predevelopment time line (months)</t>
  </si>
  <si>
    <t>Land 1st mortgage</t>
  </si>
  <si>
    <t>LTV on Land 1st mortgage</t>
  </si>
  <si>
    <t>100% utilization</t>
  </si>
  <si>
    <t>Total Fees</t>
  </si>
  <si>
    <t>one time fee</t>
  </si>
  <si>
    <t>Land 2nd mortgage</t>
  </si>
  <si>
    <t>50% utilization</t>
  </si>
  <si>
    <t>TOTAL PREDEV FINANCING COSTS</t>
  </si>
  <si>
    <t>Development &amp; Lease-up timeline (months)</t>
  </si>
  <si>
    <t>Construction Loan (will take-out Land and Predevelopment Loan)</t>
  </si>
  <si>
    <t>Loan for Development</t>
  </si>
  <si>
    <t>TOTAL DEV FINANCING COSTS</t>
  </si>
  <si>
    <t>TOTAL PROJECT FINANCING COSTS</t>
  </si>
  <si>
    <t>8 De Grassi St - Financing Request</t>
  </si>
  <si>
    <t>Mortgage amount %</t>
  </si>
  <si>
    <t>Approx. May 1, 2016 - March 1, 2017</t>
  </si>
  <si>
    <t>Approx. Apr 1, 2017 - July 1, 2018</t>
  </si>
  <si>
    <t>Land/Predevelopment Loan commitment fees</t>
  </si>
  <si>
    <t>Construction Loan commitment fees</t>
  </si>
  <si>
    <t>Ph 1/2 paid</t>
  </si>
  <si>
    <t>Prelim $4,500 and 6 reports at $1,800</t>
  </si>
  <si>
    <t>see dev charges tab</t>
  </si>
  <si>
    <t>calculated based on sq ft</t>
  </si>
  <si>
    <t>$350 per 9 draws</t>
  </si>
  <si>
    <t>closing and pre-dev costs over and above LAND COST</t>
  </si>
  <si>
    <t>Sales Costs</t>
  </si>
  <si>
    <t>PREDEV</t>
  </si>
  <si>
    <t>Phase 1: Land</t>
  </si>
  <si>
    <t>75% LTV of land 60% LTC predev costs</t>
  </si>
  <si>
    <t>from financing tab</t>
  </si>
  <si>
    <t>Equity buffer</t>
  </si>
  <si>
    <t>PLUG</t>
  </si>
  <si>
    <t>DEVELOPMENT</t>
  </si>
  <si>
    <t>Phase 2: Construction</t>
  </si>
  <si>
    <t xml:space="preserve">1% of total project costs </t>
  </si>
  <si>
    <t>16 res, 1 comm unit</t>
  </si>
  <si>
    <t>Sqm to sqf</t>
  </si>
  <si>
    <r>
      <t>LEVERAGE</t>
    </r>
    <r>
      <rPr>
        <b/>
        <vertAlign val="superscript"/>
        <sz val="11"/>
        <color theme="1"/>
        <rFont val="Calibri"/>
        <family val="2"/>
        <scheme val="minor"/>
      </rPr>
      <t>(3)</t>
    </r>
  </si>
  <si>
    <r>
      <t>RATE</t>
    </r>
    <r>
      <rPr>
        <b/>
        <vertAlign val="superscript"/>
        <sz val="11"/>
        <color theme="1"/>
        <rFont val="Calibri"/>
        <family val="2"/>
        <scheme val="minor"/>
      </rPr>
      <t>(4)</t>
    </r>
  </si>
  <si>
    <r>
      <t>GP ASSET MNGT FEE</t>
    </r>
    <r>
      <rPr>
        <b/>
        <vertAlign val="superscript"/>
        <sz val="11"/>
        <color theme="1"/>
        <rFont val="Calibri"/>
        <family val="2"/>
        <scheme val="minor"/>
      </rPr>
      <t>(5)</t>
    </r>
  </si>
  <si>
    <r>
      <t>NET CASH FLOW</t>
    </r>
    <r>
      <rPr>
        <b/>
        <vertAlign val="superscript"/>
        <sz val="11"/>
        <color theme="1"/>
        <rFont val="Calibri"/>
        <family val="2"/>
        <scheme val="minor"/>
      </rPr>
      <t>(6)</t>
    </r>
  </si>
  <si>
    <t>(1) A conservative cap rate estimated at 4.75% is used as set out in cap rate derivation section.
(2) Based on estimated proforma valuation of the completed project as set out in proforma valuation section.
(3) TD Bank current conventional financing rates are 2.61% on 5-year term, and 3.45% on 10-year term as at Jan 19, 2016. 3.75% is used as a conservative estimate. 
(4) General partner receives 1.5% of EGI as asset management fee in a Long-Term Hold scenario
(5) Based on estimated NOI as set out in NOI section.</t>
  </si>
  <si>
    <t>(1) CMHC cap rate estimated at 5.5% based on high end of TD Bank opinion of appropriate range for CMHC attributed cap rate for similar developments as-complete
(2) Based on estimated proforma valuation of the completed project using CMHC cap rate outlined above and adding additional 5% to expense ratio to account for CMHC's tendancy to underwrite expense ratios more conservatvely than actual expenses.
(3) Loan amount used in the leverage calculation does not include the CMHC fee
(4) TD Bank current CMHC financing rates are 1.82% on 5-year term, and 2.68% on 10-year term as at Jan 19, 2016. 2.75% is used as a conservative estimate. Up to 85% leverage is available. Up to 40 year amortization is available.  
(5) General partner receives 1.5% of EGI as asset management fee in a Long-Term Hold scenario
(6) Based on estimated NOI as set out in NOI section.</t>
  </si>
  <si>
    <t>Scotia online calc total pay:</t>
  </si>
  <si>
    <t>Scotia online calc principle pay:</t>
  </si>
  <si>
    <t>Registration, Mortgages (not lender's - see below), Agreements, misc, etc</t>
  </si>
  <si>
    <t>During lease-up phase (partially offset by leased units)</t>
  </si>
  <si>
    <t>Rent discount to be conservative</t>
  </si>
  <si>
    <t>Proforma Cap Rate</t>
  </si>
  <si>
    <t>Ph1 pref</t>
  </si>
  <si>
    <t>Ph2 pref</t>
  </si>
  <si>
    <t>Total LP pref</t>
  </si>
  <si>
    <t>Profit less pref</t>
  </si>
  <si>
    <t>Total Project Numbers</t>
  </si>
  <si>
    <t>LP carry profit %</t>
  </si>
  <si>
    <t>LP carry profit</t>
  </si>
  <si>
    <t>Ph2 total profit</t>
  </si>
  <si>
    <t>Ph1 total profit</t>
  </si>
  <si>
    <t>GP carry profit %</t>
  </si>
  <si>
    <t>GP carry profit</t>
  </si>
  <si>
    <t>Ph1 IRR</t>
  </si>
  <si>
    <t>Ph1 Project Numbers</t>
  </si>
  <si>
    <t>Ph2 Project Numbers</t>
  </si>
  <si>
    <t>Ph1 capital % of total</t>
  </si>
  <si>
    <t>Ph2 capital % of total</t>
  </si>
  <si>
    <t>Ph1 time % of total</t>
  </si>
  <si>
    <t>Ph2 time % of total</t>
  </si>
  <si>
    <t>Ph2 IRR</t>
  </si>
  <si>
    <t>Ph2 IRR LP (8% Pref plus 60/40 carry thereafter)</t>
  </si>
  <si>
    <t>Ph1 time profit factor vs Ph2</t>
  </si>
  <si>
    <t>Ph1 capital profit factor vs Ph2</t>
  </si>
  <si>
    <t>Ph1 overall profit factor</t>
  </si>
  <si>
    <t>Ph1 profit %</t>
  </si>
  <si>
    <t>Ph1 profit</t>
  </si>
  <si>
    <t>Ph2 profit %</t>
  </si>
  <si>
    <t>Ph2 profit</t>
  </si>
  <si>
    <t>Ph1 LP cash multiple</t>
  </si>
  <si>
    <t>Ph2 LP cash multiple</t>
  </si>
  <si>
    <t>Ph1&amp;Ph2 IRR LP (8% Pref plus 60/40 carry thereafter)</t>
  </si>
  <si>
    <t>Ph1 &amp;Ph2 IRR</t>
  </si>
  <si>
    <t>Ph1&amp;Ph2 pref</t>
  </si>
  <si>
    <t>Ph1&amp;Ph2 total profit</t>
  </si>
  <si>
    <t>Ph1&amp;Ph2 LP cash multiple</t>
  </si>
  <si>
    <t>Ph1 Limited Partner Cash Multiple</t>
  </si>
  <si>
    <t>Ph1 Limited Partner IRR</t>
  </si>
  <si>
    <r>
      <t>CONTINUED… ESTIMATED EQUITY TAKE OUT (</t>
    </r>
    <r>
      <rPr>
        <b/>
        <i/>
        <sz val="11"/>
        <color theme="0"/>
        <rFont val="Calibri"/>
        <family val="2"/>
        <scheme val="minor"/>
      </rPr>
      <t>AT PROJECTED VALUE</t>
    </r>
    <r>
      <rPr>
        <b/>
        <sz val="11"/>
        <color theme="0"/>
        <rFont val="Calibri"/>
        <family val="2"/>
        <scheme val="minor"/>
      </rPr>
      <t>)</t>
    </r>
  </si>
  <si>
    <t>Approx. carry, consult., &amp; pre-dev costs (see budget tab column P)</t>
  </si>
  <si>
    <t xml:space="preserve">Via Zoning research </t>
  </si>
  <si>
    <t>Ph1 Investor IRR (8% Pref plus 60/40 carry thereafter)</t>
  </si>
  <si>
    <t>PE</t>
  </si>
  <si>
    <t>JV</t>
  </si>
  <si>
    <t>Total</t>
  </si>
  <si>
    <t>Phase 1</t>
  </si>
  <si>
    <t xml:space="preserve">Phase 2 </t>
  </si>
  <si>
    <t xml:space="preserve">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</si>
</sst>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5" formatCode="&quot;$&quot;#,##0;\-&quot;$&quot;#,##0"/>
    <numFmt numFmtId="6" formatCode="&quot;$&quot;#,##0;[Red]\-&quot;$&quot;#,##0"/>
    <numFmt numFmtId="8" formatCode="&quot;$&quot;#,##0.00;[Red]\-&quot;$&quot;#,##0.00"/>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_-&quot;$&quot;* #,##0_-;\-&quot;$&quot;* #,##0_-;_-&quot;$&quot;* &quot;-&quot;??_-;_-@_-"/>
    <numFmt numFmtId="165" formatCode="_-* #,##0_-;\-* #,##0_-;_-* &quot;-&quot;??_-;_-@_-"/>
    <numFmt numFmtId="166" formatCode="0.0%"/>
    <numFmt numFmtId="167" formatCode="#,##0_ ;[Red]\-#,##0\ "/>
    <numFmt numFmtId="168" formatCode="_(* #,##0.00_);_(* \(#,##0.00\);_(* &quot;-&quot;??_);_(@_)"/>
    <numFmt numFmtId="169" formatCode="_(&quot;$&quot;* #,##0.00_);_(&quot;$&quot;* \(#,##0.00\);_(&quot;$&quot;* &quot;-&quot;??_);_(@_)"/>
    <numFmt numFmtId="170" formatCode="_(* #,##0_);_(* \(#,##0\);_(* &quot;-&quot;_);_(@_)"/>
    <numFmt numFmtId="171" formatCode="_(&quot;$&quot;* #,##0_);_(&quot;$&quot;* \(#,##0\);_(&quot;$&quot;* &quot;-&quot;_);_(@_)"/>
    <numFmt numFmtId="172" formatCode="&quot;$&quot;#,##0_);\(&quot;$&quot;#,##0\)"/>
    <numFmt numFmtId="173" formatCode="[$-1009]d/mmm/yy;@"/>
    <numFmt numFmtId="174" formatCode="_-&quot;$&quot;* #,##0.0_-;\-&quot;$&quot;* #,##0.0_-;_-&quot;$&quot;* &quot;-&quot;?_-;_-@_-"/>
    <numFmt numFmtId="175" formatCode="_-* #,##0.00_-\x;\-* #,##0.00_-;_-* &quot;-&quot;??_-;_-@_-"/>
    <numFmt numFmtId="176" formatCode="0.00\ \x"/>
    <numFmt numFmtId="177" formatCode="&quot;$&quot;#,##0"/>
  </numFmts>
  <fonts count="10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b/>
      <sz val="12"/>
      <color theme="0"/>
      <name val="Calibri"/>
      <family val="2"/>
      <scheme val="minor"/>
    </font>
    <font>
      <sz val="12"/>
      <color rgb="FFFF0000"/>
      <name val="Calibri"/>
      <family val="2"/>
      <scheme val="minor"/>
    </font>
    <font>
      <b/>
      <sz val="12"/>
      <color theme="1"/>
      <name val="Calibri"/>
      <family val="2"/>
      <scheme val="minor"/>
    </font>
    <font>
      <sz val="12"/>
      <color theme="0"/>
      <name val="Calibri"/>
      <family val="2"/>
      <scheme val="minor"/>
    </font>
    <font>
      <b/>
      <sz val="18"/>
      <color theme="0"/>
      <name val="Calibri"/>
      <family val="2"/>
      <scheme val="minor"/>
    </font>
    <font>
      <sz val="12"/>
      <color rgb="FFFFFFFF"/>
      <name val="Calibri"/>
      <family val="2"/>
      <scheme val="minor"/>
    </font>
    <font>
      <strike/>
      <sz val="12"/>
      <color theme="0"/>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sz val="10"/>
      <name val="Arial"/>
      <family val="2"/>
    </font>
    <font>
      <sz val="8"/>
      <color theme="1"/>
      <name val="Calibri"/>
      <family val="2"/>
    </font>
    <font>
      <sz val="11"/>
      <color indexed="8"/>
      <name val="Calibri"/>
      <family val="2"/>
    </font>
    <font>
      <sz val="11"/>
      <color theme="1"/>
      <name val="Calibri"/>
      <family val="2"/>
      <scheme val="minor"/>
    </font>
    <font>
      <sz val="11"/>
      <color indexed="9"/>
      <name val="Calibri"/>
      <family val="2"/>
    </font>
    <font>
      <sz val="11"/>
      <color indexed="20"/>
      <name val="Calibri"/>
      <family val="2"/>
    </font>
    <font>
      <sz val="11"/>
      <color rgb="FF9C0006"/>
      <name val="Calibri"/>
      <family val="2"/>
    </font>
    <font>
      <b/>
      <sz val="11"/>
      <color indexed="52"/>
      <name val="Calibri"/>
      <family val="2"/>
    </font>
    <font>
      <b/>
      <sz val="11"/>
      <color rgb="FFFA7D00"/>
      <name val="Calibri"/>
      <family val="2"/>
    </font>
    <font>
      <b/>
      <sz val="11"/>
      <color indexed="9"/>
      <name val="Calibri"/>
      <family val="2"/>
    </font>
    <font>
      <sz val="12"/>
      <name val="Times New Roman"/>
      <family val="1"/>
    </font>
    <font>
      <sz val="10"/>
      <name val="MS Sans Serif"/>
      <family val="2"/>
    </font>
    <font>
      <i/>
      <sz val="11"/>
      <color indexed="23"/>
      <name val="Calibri"/>
      <family val="2"/>
    </font>
    <font>
      <i/>
      <sz val="11"/>
      <color rgb="FF7F7F7F"/>
      <name val="Calibri"/>
      <family val="2"/>
    </font>
    <font>
      <sz val="11"/>
      <color indexed="17"/>
      <name val="Calibri"/>
      <family val="2"/>
    </font>
    <font>
      <sz val="11"/>
      <color rgb="FF006100"/>
      <name val="Calibri"/>
      <family val="2"/>
    </font>
    <font>
      <b/>
      <sz val="15"/>
      <color indexed="56"/>
      <name val="Calibri"/>
      <family val="2"/>
    </font>
    <font>
      <b/>
      <sz val="15"/>
      <color theme="3"/>
      <name val="Calibri"/>
      <family val="2"/>
    </font>
    <font>
      <b/>
      <sz val="13"/>
      <color indexed="56"/>
      <name val="Calibri"/>
      <family val="2"/>
    </font>
    <font>
      <b/>
      <sz val="13"/>
      <color theme="3"/>
      <name val="Calibri"/>
      <family val="2"/>
    </font>
    <font>
      <b/>
      <sz val="11"/>
      <color indexed="56"/>
      <name val="Calibri"/>
      <family val="2"/>
    </font>
    <font>
      <b/>
      <sz val="11"/>
      <color theme="3"/>
      <name val="Calibri"/>
      <family val="2"/>
    </font>
    <font>
      <b/>
      <sz val="24"/>
      <name val="Geneva"/>
    </font>
    <font>
      <sz val="11"/>
      <color indexed="62"/>
      <name val="Calibri"/>
      <family val="2"/>
    </font>
    <font>
      <sz val="11"/>
      <color rgb="FF3F3F76"/>
      <name val="Calibri"/>
      <family val="2"/>
    </font>
    <font>
      <sz val="11"/>
      <color indexed="52"/>
      <name val="Calibri"/>
      <family val="2"/>
    </font>
    <font>
      <sz val="11"/>
      <color rgb="FFFA7D00"/>
      <name val="Calibri"/>
      <family val="2"/>
    </font>
    <font>
      <sz val="11"/>
      <color indexed="60"/>
      <name val="Calibri"/>
      <family val="2"/>
    </font>
    <font>
      <sz val="11"/>
      <color rgb="FF9C6500"/>
      <name val="Calibri"/>
      <family val="2"/>
    </font>
    <font>
      <sz val="8"/>
      <color theme="1"/>
      <name val="Times New Roman"/>
      <family val="2"/>
    </font>
    <font>
      <sz val="11"/>
      <color theme="1"/>
      <name val="Times New Roman"/>
      <family val="2"/>
    </font>
    <font>
      <sz val="10"/>
      <name val="Times New Roman"/>
      <family val="1"/>
    </font>
    <font>
      <b/>
      <sz val="11"/>
      <color indexed="63"/>
      <name val="Calibri"/>
      <family val="2"/>
    </font>
    <font>
      <b/>
      <sz val="11"/>
      <color rgb="FF3F3F3F"/>
      <name val="Calibri"/>
      <family val="2"/>
    </font>
    <font>
      <b/>
      <sz val="10"/>
      <name val="Helv"/>
    </font>
    <font>
      <b/>
      <sz val="18"/>
      <color indexed="56"/>
      <name val="Cambria"/>
      <family val="2"/>
    </font>
    <font>
      <b/>
      <sz val="18"/>
      <color theme="3"/>
      <name val="Cambria"/>
      <family val="2"/>
    </font>
    <font>
      <b/>
      <sz val="11"/>
      <color indexed="8"/>
      <name val="Calibri"/>
      <family val="2"/>
    </font>
    <font>
      <sz val="11"/>
      <color indexed="10"/>
      <name val="Calibri"/>
      <family val="2"/>
    </font>
    <font>
      <b/>
      <sz val="11"/>
      <color theme="0"/>
      <name val="Calibri"/>
      <family val="2"/>
      <scheme val="minor"/>
    </font>
    <font>
      <sz val="11"/>
      <color theme="0"/>
      <name val="Calibri"/>
      <family val="2"/>
      <scheme val="minor"/>
    </font>
    <font>
      <b/>
      <sz val="11"/>
      <color theme="1"/>
      <name val="Calibri"/>
      <family val="2"/>
      <scheme val="minor"/>
    </font>
    <font>
      <i/>
      <sz val="11"/>
      <color theme="1"/>
      <name val="Calibri"/>
      <family val="2"/>
      <scheme val="minor"/>
    </font>
    <font>
      <b/>
      <sz val="18"/>
      <color theme="0"/>
      <name val="Calibri Light"/>
      <family val="2"/>
      <scheme val="major"/>
    </font>
    <font>
      <sz val="12"/>
      <color theme="0"/>
      <name val="Calibri Light"/>
      <family val="2"/>
      <scheme val="major"/>
    </font>
    <font>
      <sz val="12"/>
      <color theme="1"/>
      <name val="Calibri Light"/>
      <family val="2"/>
      <scheme val="major"/>
    </font>
    <font>
      <sz val="11"/>
      <color theme="1"/>
      <name val="Calibri Light"/>
      <family val="2"/>
      <scheme val="major"/>
    </font>
    <font>
      <b/>
      <sz val="11"/>
      <color theme="1"/>
      <name val="Calibri Light"/>
      <family val="2"/>
      <scheme val="major"/>
    </font>
    <font>
      <sz val="10"/>
      <color theme="1"/>
      <name val="Calibri"/>
      <family val="2"/>
      <scheme val="minor"/>
    </font>
    <font>
      <b/>
      <sz val="10"/>
      <color theme="1"/>
      <name val="Calibri"/>
      <family val="2"/>
      <scheme val="minor"/>
    </font>
    <font>
      <b/>
      <sz val="11"/>
      <color rgb="FFFF0000"/>
      <name val="Calibri Light"/>
      <family val="2"/>
      <scheme val="major"/>
    </font>
    <font>
      <b/>
      <sz val="11"/>
      <color theme="1"/>
      <name val="Calibri Light"/>
      <family val="2"/>
      <scheme val="major"/>
    </font>
    <font>
      <i/>
      <sz val="11"/>
      <color theme="1"/>
      <name val="Calibri Light"/>
      <family val="2"/>
      <scheme val="major"/>
    </font>
    <font>
      <i/>
      <sz val="9"/>
      <color theme="1"/>
      <name val="Calibri Light"/>
      <family val="2"/>
      <scheme val="major"/>
    </font>
    <font>
      <b/>
      <sz val="10"/>
      <color theme="1"/>
      <name val="Calibri Light"/>
      <family val="2"/>
      <scheme val="major"/>
    </font>
    <font>
      <i/>
      <sz val="10"/>
      <color theme="1"/>
      <name val="Calibri"/>
      <family val="2"/>
      <scheme val="minor"/>
    </font>
    <font>
      <b/>
      <sz val="10"/>
      <color theme="0"/>
      <name val="Calibri"/>
      <family val="2"/>
      <scheme val="minor"/>
    </font>
    <font>
      <sz val="10"/>
      <color theme="0"/>
      <name val="Calibri"/>
      <family val="2"/>
      <scheme val="minor"/>
    </font>
    <font>
      <b/>
      <sz val="16"/>
      <color theme="0"/>
      <name val="Calibri"/>
      <family val="2"/>
      <scheme val="minor"/>
    </font>
    <font>
      <b/>
      <sz val="10"/>
      <color rgb="FFFF0000"/>
      <name val="Calibri"/>
      <family val="2"/>
      <scheme val="minor"/>
    </font>
    <font>
      <b/>
      <vertAlign val="superscript"/>
      <sz val="11"/>
      <color theme="1"/>
      <name val="Calibri"/>
      <family val="2"/>
      <scheme val="minor"/>
    </font>
    <font>
      <b/>
      <u/>
      <sz val="12"/>
      <color theme="1"/>
      <name val="Calibri"/>
      <family val="2"/>
      <scheme val="minor"/>
    </font>
    <font>
      <b/>
      <u/>
      <sz val="16"/>
      <color theme="1"/>
      <name val="Calibri"/>
      <family val="2"/>
      <scheme val="minor"/>
    </font>
    <font>
      <b/>
      <i/>
      <sz val="12"/>
      <color theme="1"/>
      <name val="Calibri"/>
      <family val="2"/>
      <scheme val="minor"/>
    </font>
    <font>
      <sz val="9"/>
      <color theme="1"/>
      <name val="Calibri"/>
      <family val="2"/>
      <scheme val="minor"/>
    </font>
    <font>
      <b/>
      <sz val="11"/>
      <color rgb="FFC00000"/>
      <name val="Calibri"/>
      <family val="2"/>
      <scheme val="minor"/>
    </font>
    <font>
      <b/>
      <sz val="10"/>
      <color rgb="FFFF0000"/>
      <name val="Calibri Light"/>
      <family val="2"/>
      <scheme val="major"/>
    </font>
    <font>
      <sz val="12"/>
      <color theme="0" tint="-0.499984740745262"/>
      <name val="Calibri"/>
      <family val="2"/>
      <scheme val="minor"/>
    </font>
    <font>
      <i/>
      <sz val="12"/>
      <color theme="0" tint="-0.499984740745262"/>
      <name val="Calibri"/>
      <family val="2"/>
      <scheme val="minor"/>
    </font>
    <font>
      <i/>
      <u/>
      <sz val="11"/>
      <color theme="1"/>
      <name val="Calibri"/>
      <family val="2"/>
      <scheme val="minor"/>
    </font>
    <font>
      <b/>
      <i/>
      <u/>
      <sz val="11"/>
      <color theme="1"/>
      <name val="Calibri"/>
      <family val="2"/>
      <scheme val="minor"/>
    </font>
    <font>
      <b/>
      <u/>
      <sz val="11"/>
      <color theme="1"/>
      <name val="Calibri"/>
      <family val="2"/>
      <scheme val="minor"/>
    </font>
    <font>
      <i/>
      <sz val="18"/>
      <color theme="1"/>
      <name val="Calibri"/>
      <family val="2"/>
      <scheme val="minor"/>
    </font>
    <font>
      <b/>
      <u/>
      <sz val="10"/>
      <color theme="1"/>
      <name val="Calibri"/>
      <family val="2"/>
      <scheme val="minor"/>
    </font>
    <font>
      <b/>
      <i/>
      <sz val="11"/>
      <color theme="0"/>
      <name val="Calibri"/>
      <family val="2"/>
      <scheme val="minor"/>
    </font>
    <font>
      <sz val="12"/>
      <color rgb="FFC00000"/>
      <name val="Calibri"/>
      <family val="2"/>
      <scheme val="minor"/>
    </font>
    <font>
      <b/>
      <i/>
      <u/>
      <sz val="16"/>
      <color rgb="FFC00000"/>
      <name val="Calibri"/>
      <family val="2"/>
      <scheme val="minor"/>
    </font>
  </fonts>
  <fills count="76">
    <fill>
      <patternFill patternType="none"/>
    </fill>
    <fill>
      <patternFill patternType="gray125"/>
    </fill>
    <fill>
      <patternFill patternType="solid">
        <fgColor theme="9"/>
        <bgColor indexed="64"/>
      </patternFill>
    </fill>
    <fill>
      <patternFill patternType="solid">
        <fgColor theme="2" tint="-0.749992370372631"/>
        <bgColor indexed="64"/>
      </patternFill>
    </fill>
    <fill>
      <patternFill patternType="solid">
        <fgColor theme="9" tint="0.59999389629810485"/>
        <bgColor indexed="64"/>
      </patternFill>
    </fill>
    <fill>
      <patternFill patternType="solid">
        <fgColor theme="1"/>
        <bgColor indexed="64"/>
      </patternFill>
    </fill>
    <fill>
      <patternFill patternType="solid">
        <fgColor theme="0" tint="-0.1499984740745262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4" tint="0.79995117038483843"/>
        <bgColor indexed="64"/>
      </patternFill>
    </fill>
    <fill>
      <patternFill patternType="solid">
        <fgColor indexed="31"/>
      </patternFill>
    </fill>
    <fill>
      <patternFill patternType="solid">
        <fgColor theme="5" tint="0.79995117038483843"/>
        <bgColor indexed="64"/>
      </patternFill>
    </fill>
    <fill>
      <patternFill patternType="solid">
        <fgColor indexed="45"/>
      </patternFill>
    </fill>
    <fill>
      <patternFill patternType="solid">
        <fgColor theme="6" tint="0.79995117038483843"/>
        <bgColor indexed="64"/>
      </patternFill>
    </fill>
    <fill>
      <patternFill patternType="solid">
        <fgColor indexed="42"/>
      </patternFill>
    </fill>
    <fill>
      <patternFill patternType="solid">
        <fgColor theme="7" tint="0.79995117038483843"/>
        <bgColor indexed="64"/>
      </patternFill>
    </fill>
    <fill>
      <patternFill patternType="solid">
        <fgColor indexed="46"/>
      </patternFill>
    </fill>
    <fill>
      <patternFill patternType="solid">
        <fgColor theme="8" tint="0.79995117038483843"/>
        <bgColor indexed="64"/>
      </patternFill>
    </fill>
    <fill>
      <patternFill patternType="solid">
        <fgColor indexed="27"/>
      </patternFill>
    </fill>
    <fill>
      <patternFill patternType="solid">
        <fgColor theme="9" tint="0.79995117038483843"/>
        <bgColor indexed="64"/>
      </patternFill>
    </fill>
    <fill>
      <patternFill patternType="solid">
        <fgColor indexed="47"/>
      </patternFill>
    </fill>
    <fill>
      <patternFill patternType="solid">
        <fgColor theme="4" tint="0.59996337778862885"/>
        <bgColor indexed="64"/>
      </patternFill>
    </fill>
    <fill>
      <patternFill patternType="solid">
        <fgColor indexed="44"/>
      </patternFill>
    </fill>
    <fill>
      <patternFill patternType="solid">
        <fgColor theme="5" tint="0.59996337778862885"/>
        <bgColor indexed="64"/>
      </patternFill>
    </fill>
    <fill>
      <patternFill patternType="solid">
        <fgColor indexed="29"/>
      </patternFill>
    </fill>
    <fill>
      <patternFill patternType="solid">
        <fgColor theme="6" tint="0.59996337778862885"/>
        <bgColor indexed="64"/>
      </patternFill>
    </fill>
    <fill>
      <patternFill patternType="solid">
        <fgColor indexed="11"/>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indexed="51"/>
      </patternFill>
    </fill>
    <fill>
      <patternFill patternType="solid">
        <fgColor indexed="30"/>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36"/>
      </patternFill>
    </fill>
    <fill>
      <patternFill patternType="solid">
        <fgColor theme="7" tint="0.39997558519241921"/>
        <bgColor indexed="64"/>
      </patternFill>
    </fill>
    <fill>
      <patternFill patternType="solid">
        <fgColor indexed="49"/>
      </patternFill>
    </fill>
    <fill>
      <patternFill patternType="solid">
        <fgColor theme="8" tint="0.39997558519241921"/>
        <bgColor indexed="64"/>
      </patternFill>
    </fill>
    <fill>
      <patternFill patternType="solid">
        <fgColor indexed="52"/>
      </patternFill>
    </fill>
    <fill>
      <patternFill patternType="solid">
        <fgColor theme="9" tint="0.39997558519241921"/>
        <bgColor indexed="64"/>
      </patternFill>
    </fill>
    <fill>
      <patternFill patternType="solid">
        <fgColor indexed="62"/>
      </patternFill>
    </fill>
    <fill>
      <patternFill patternType="solid">
        <fgColor theme="4"/>
        <bgColor indexed="64"/>
      </patternFill>
    </fill>
    <fill>
      <patternFill patternType="solid">
        <fgColor indexed="10"/>
      </patternFill>
    </fill>
    <fill>
      <patternFill patternType="solid">
        <fgColor theme="5"/>
        <bgColor indexed="64"/>
      </patternFill>
    </fill>
    <fill>
      <patternFill patternType="solid">
        <fgColor indexed="57"/>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indexed="53"/>
      </patternFill>
    </fill>
    <fill>
      <patternFill patternType="solid">
        <fgColor rgb="FFFFC7CE"/>
        <bgColor indexed="64"/>
      </patternFill>
    </fill>
    <fill>
      <patternFill patternType="solid">
        <fgColor indexed="22"/>
      </patternFill>
    </fill>
    <fill>
      <patternFill patternType="solid">
        <fgColor rgb="FFF2F2F2"/>
        <bgColor indexed="64"/>
      </patternFill>
    </fill>
    <fill>
      <patternFill patternType="solid">
        <fgColor indexed="55"/>
      </patternFill>
    </fill>
    <fill>
      <patternFill patternType="solid">
        <fgColor rgb="FFA5A5A5"/>
        <bgColor indexed="64"/>
      </patternFill>
    </fill>
    <fill>
      <patternFill patternType="solid">
        <fgColor rgb="FFC6EFCE"/>
        <bgColor indexed="64"/>
      </patternFill>
    </fill>
    <fill>
      <patternFill patternType="solid">
        <fgColor indexed="47"/>
        <bgColor indexed="64"/>
      </patternFill>
    </fill>
    <fill>
      <patternFill patternType="solid">
        <fgColor indexed="43"/>
      </patternFill>
    </fill>
    <fill>
      <patternFill patternType="solid">
        <fgColor rgb="FFFFEB9C"/>
        <bgColor indexed="64"/>
      </patternFill>
    </fill>
    <fill>
      <patternFill patternType="solid">
        <fgColor indexed="26"/>
        <bgColor indexed="64"/>
      </patternFill>
    </fill>
    <fill>
      <patternFill patternType="solid">
        <fgColor indexed="26"/>
      </patternFill>
    </fill>
    <fill>
      <patternFill patternType="solid">
        <fgColor theme="1" tint="0.249977111117893"/>
        <bgColor indexed="64"/>
      </patternFill>
    </fill>
    <fill>
      <patternFill patternType="solid">
        <fgColor theme="0"/>
        <bgColor indexed="64"/>
      </patternFill>
    </fill>
    <fill>
      <patternFill patternType="solid">
        <fgColor theme="9" tint="0.79998168889431442"/>
        <bgColor indexed="64"/>
      </patternFill>
    </fill>
    <fill>
      <patternFill patternType="solid">
        <fgColor theme="2" tint="-9.9978637043366805E-2"/>
        <bgColor indexed="64"/>
      </patternFill>
    </fill>
  </fills>
  <borders count="36">
    <border>
      <left/>
      <right/>
      <top/>
      <bottom/>
      <diagonal/>
    </border>
    <border>
      <left/>
      <right/>
      <top style="thin">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style="thin">
        <color auto="1"/>
      </top>
      <bottom style="thin">
        <color auto="1"/>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theme="4" tint="0.49995422223578601"/>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s>
  <cellStyleXfs count="1416">
    <xf numFmtId="0" fontId="0" fillId="0" borderId="0"/>
    <xf numFmtId="43" fontId="14" fillId="0" borderId="0" applyFont="0" applyFill="0" applyBorder="0" applyAlignment="0" applyProtection="0"/>
    <xf numFmtId="44" fontId="14" fillId="0" borderId="0" applyFont="0" applyFill="0" applyBorder="0" applyAlignment="0" applyProtection="0"/>
    <xf numFmtId="9" fontId="14"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0"/>
    <xf numFmtId="168"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169" fontId="25" fillId="0" borderId="0" applyFont="0" applyFill="0" applyBorder="0" applyAlignment="0" applyProtection="0"/>
    <xf numFmtId="0" fontId="26" fillId="8" borderId="0" applyNumberFormat="0" applyBorder="0" applyAlignment="0" applyProtection="0"/>
    <xf numFmtId="0" fontId="26" fillId="8"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28" fillId="8"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8" fillId="10"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28" fillId="12"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8" fillId="14"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28" fillId="16"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7" fillId="30" borderId="0" applyNumberFormat="0" applyBorder="0" applyAlignment="0" applyProtection="0"/>
    <xf numFmtId="0" fontId="27" fillId="31" borderId="0" applyNumberFormat="0" applyBorder="0" applyAlignment="0" applyProtection="0"/>
    <xf numFmtId="0" fontId="28" fillId="1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7" fillId="32" borderId="0" applyNumberFormat="0" applyBorder="0" applyAlignment="0" applyProtection="0"/>
    <xf numFmtId="0" fontId="27" fillId="33" borderId="0" applyNumberFormat="0" applyBorder="0" applyAlignment="0" applyProtection="0"/>
    <xf numFmtId="0" fontId="28" fillId="9"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7" fillId="34" borderId="0" applyNumberFormat="0" applyBorder="0" applyAlignment="0" applyProtection="0"/>
    <xf numFmtId="0" fontId="27" fillId="35" borderId="0" applyNumberFormat="0" applyBorder="0" applyAlignment="0" applyProtection="0"/>
    <xf numFmtId="0" fontId="28" fillId="11"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7" fillId="36" borderId="0" applyNumberFormat="0" applyBorder="0" applyAlignment="0" applyProtection="0"/>
    <xf numFmtId="0" fontId="27" fillId="37" borderId="0" applyNumberFormat="0" applyBorder="0" applyAlignment="0" applyProtection="0"/>
    <xf numFmtId="0" fontId="28" fillId="13"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7" fillId="38" borderId="0" applyNumberFormat="0" applyBorder="0" applyAlignment="0" applyProtection="0"/>
    <xf numFmtId="0" fontId="27" fillId="27" borderId="0" applyNumberFormat="0" applyBorder="0" applyAlignment="0" applyProtection="0"/>
    <xf numFmtId="0" fontId="28" fillId="15"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7" fillId="39" borderId="0" applyNumberFormat="0" applyBorder="0" applyAlignment="0" applyProtection="0"/>
    <xf numFmtId="0" fontId="27" fillId="33" borderId="0" applyNumberFormat="0" applyBorder="0" applyAlignment="0" applyProtection="0"/>
    <xf numFmtId="0" fontId="28" fillId="17"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7" fillId="40" borderId="0" applyNumberFormat="0" applyBorder="0" applyAlignment="0" applyProtection="0"/>
    <xf numFmtId="0" fontId="27" fillId="41" borderId="0" applyNumberFormat="0" applyBorder="0" applyAlignment="0" applyProtection="0"/>
    <xf numFmtId="0" fontId="28" fillId="19" borderId="0" applyNumberFormat="0" applyBorder="0" applyAlignment="0" applyProtection="0"/>
    <xf numFmtId="0" fontId="29" fillId="42" borderId="0" applyNumberFormat="0" applyBorder="0" applyAlignment="0" applyProtection="0"/>
    <xf numFmtId="0" fontId="29" fillId="43" borderId="0" applyNumberFormat="0" applyBorder="0" applyAlignment="0" applyProtection="0"/>
    <xf numFmtId="0" fontId="29" fillId="35" borderId="0" applyNumberFormat="0" applyBorder="0" applyAlignment="0" applyProtection="0"/>
    <xf numFmtId="0" fontId="29" fillId="44" borderId="0" applyNumberFormat="0" applyBorder="0" applyAlignment="0" applyProtection="0"/>
    <xf numFmtId="0" fontId="29" fillId="37" borderId="0" applyNumberFormat="0" applyBorder="0" applyAlignment="0" applyProtection="0"/>
    <xf numFmtId="0" fontId="29" fillId="45" borderId="0" applyNumberFormat="0" applyBorder="0" applyAlignment="0" applyProtection="0"/>
    <xf numFmtId="0" fontId="29" fillId="46" borderId="0" applyNumberFormat="0" applyBorder="0" applyAlignment="0" applyProtection="0"/>
    <xf numFmtId="0" fontId="29" fillId="47" borderId="0" applyNumberFormat="0" applyBorder="0" applyAlignment="0" applyProtection="0"/>
    <xf numFmtId="0" fontId="29" fillId="48" borderId="0" applyNumberFormat="0" applyBorder="0" applyAlignment="0" applyProtection="0"/>
    <xf numFmtId="0" fontId="29" fillId="49" borderId="0" applyNumberFormat="0" applyBorder="0" applyAlignment="0" applyProtection="0"/>
    <xf numFmtId="0" fontId="29" fillId="50" borderId="0" applyNumberFormat="0" applyBorder="0" applyAlignment="0" applyProtection="0"/>
    <xf numFmtId="0" fontId="29" fillId="51" borderId="0" applyNumberFormat="0" applyBorder="0" applyAlignment="0" applyProtection="0"/>
    <xf numFmtId="0" fontId="29" fillId="52" borderId="0" applyNumberFormat="0" applyBorder="0" applyAlignment="0" applyProtection="0"/>
    <xf numFmtId="0" fontId="29" fillId="53" borderId="0" applyNumberFormat="0" applyBorder="0" applyAlignment="0" applyProtection="0"/>
    <xf numFmtId="0" fontId="29" fillId="54" borderId="0" applyNumberFormat="0" applyBorder="0" applyAlignment="0" applyProtection="0"/>
    <xf numFmtId="0" fontId="29" fillId="55" borderId="0" applyNumberFormat="0" applyBorder="0" applyAlignment="0" applyProtection="0"/>
    <xf numFmtId="0" fontId="29" fillId="56" borderId="0" applyNumberFormat="0" applyBorder="0" applyAlignment="0" applyProtection="0"/>
    <xf numFmtId="0" fontId="29" fillId="57" borderId="0" applyNumberFormat="0" applyBorder="0" applyAlignment="0" applyProtection="0"/>
    <xf numFmtId="0" fontId="29" fillId="46" borderId="0" applyNumberFormat="0" applyBorder="0" applyAlignment="0" applyProtection="0"/>
    <xf numFmtId="0" fontId="29" fillId="58" borderId="0" applyNumberFormat="0" applyBorder="0" applyAlignment="0" applyProtection="0"/>
    <xf numFmtId="0" fontId="29" fillId="48" borderId="0" applyNumberFormat="0" applyBorder="0" applyAlignment="0" applyProtection="0"/>
    <xf numFmtId="0" fontId="29" fillId="59" borderId="0" applyNumberFormat="0" applyBorder="0" applyAlignment="0" applyProtection="0"/>
    <xf numFmtId="0" fontId="29" fillId="60" borderId="0" applyNumberFormat="0" applyBorder="0" applyAlignment="0" applyProtection="0"/>
    <xf numFmtId="0" fontId="29" fillId="2" borderId="0" applyNumberFormat="0" applyBorder="0" applyAlignment="0" applyProtection="0"/>
    <xf numFmtId="0" fontId="30" fillId="23" borderId="0" applyNumberFormat="0" applyBorder="0" applyAlignment="0" applyProtection="0"/>
    <xf numFmtId="0" fontId="31" fillId="61" borderId="0" applyNumberFormat="0" applyBorder="0" applyAlignment="0" applyProtection="0"/>
    <xf numFmtId="0" fontId="32" fillId="62" borderId="23" applyNumberFormat="0" applyAlignment="0" applyProtection="0"/>
    <xf numFmtId="0" fontId="33" fillId="63" borderId="12" applyNumberFormat="0" applyAlignment="0" applyProtection="0"/>
    <xf numFmtId="0" fontId="34" fillId="64" borderId="24" applyNumberFormat="0" applyAlignment="0" applyProtection="0"/>
    <xf numFmtId="0" fontId="34" fillId="65" borderId="15" applyNumberFormat="0" applyAlignment="0" applyProtection="0"/>
    <xf numFmtId="170" fontId="25" fillId="0" borderId="0" applyFont="0" applyFill="0" applyBorder="0" applyAlignment="0" applyProtection="0"/>
    <xf numFmtId="170" fontId="25" fillId="0" borderId="0" applyFont="0" applyFill="0" applyBorder="0" applyAlignment="0" applyProtection="0"/>
    <xf numFmtId="170"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170"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8" fontId="28" fillId="0" borderId="0" applyFont="0" applyFill="0" applyBorder="0" applyAlignment="0" applyProtection="0"/>
    <xf numFmtId="168"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8" fontId="28" fillId="0" borderId="0" applyFont="0" applyFill="0" applyBorder="0" applyAlignment="0" applyProtection="0"/>
    <xf numFmtId="168"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8" fontId="28" fillId="0" borderId="0" applyFont="0" applyFill="0" applyBorder="0" applyAlignment="0" applyProtection="0"/>
    <xf numFmtId="168"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8" fontId="28" fillId="0" borderId="0" applyFont="0" applyFill="0" applyBorder="0" applyAlignment="0" applyProtection="0"/>
    <xf numFmtId="168"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8" fontId="28" fillId="0" borderId="0" applyFont="0" applyFill="0" applyBorder="0" applyAlignment="0" applyProtection="0"/>
    <xf numFmtId="168"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8" fontId="28" fillId="0" borderId="0" applyFont="0" applyFill="0" applyBorder="0" applyAlignment="0" applyProtection="0"/>
    <xf numFmtId="168"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8" fontId="28" fillId="0" borderId="0" applyFont="0" applyFill="0" applyBorder="0" applyAlignment="0" applyProtection="0"/>
    <xf numFmtId="168"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43"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43" fontId="25" fillId="0" borderId="0" applyFont="0" applyFill="0" applyBorder="0" applyAlignment="0" applyProtection="0"/>
    <xf numFmtId="168" fontId="27" fillId="0" borderId="0" applyFont="0" applyFill="0" applyBorder="0" applyAlignment="0" applyProtection="0"/>
    <xf numFmtId="168" fontId="25" fillId="0" borderId="0" applyFont="0" applyFill="0" applyBorder="0" applyAlignment="0" applyProtection="0"/>
    <xf numFmtId="43" fontId="28"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43" fontId="27"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8" fillId="0" borderId="0" applyFont="0" applyFill="0" applyBorder="0" applyAlignment="0" applyProtection="0"/>
    <xf numFmtId="43" fontId="27"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43"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43"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8" fontId="28" fillId="0" borderId="0" applyFont="0" applyFill="0" applyBorder="0" applyAlignment="0" applyProtection="0"/>
    <xf numFmtId="168"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8" fontId="28" fillId="0" borderId="0" applyFont="0" applyFill="0" applyBorder="0" applyAlignment="0" applyProtection="0"/>
    <xf numFmtId="168"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8" fontId="28" fillId="0" borderId="0" applyFont="0" applyFill="0" applyBorder="0" applyAlignment="0" applyProtection="0"/>
    <xf numFmtId="168"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8" fontId="28" fillId="0" borderId="0" applyFont="0" applyFill="0" applyBorder="0" applyAlignment="0" applyProtection="0"/>
    <xf numFmtId="168"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8"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8"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8"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8"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8"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8"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8"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68"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35" fillId="0" borderId="0" applyFont="0" applyFill="0" applyBorder="0" applyAlignment="0" applyProtection="0"/>
    <xf numFmtId="43" fontId="28"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43"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43"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43"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43"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68"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43" fontId="25" fillId="0" borderId="0" applyFont="0" applyFill="0" applyBorder="0" applyAlignment="0" applyProtection="0"/>
    <xf numFmtId="168"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0" fontId="36" fillId="0" borderId="0" applyFont="0" applyFill="0" applyBorder="0" applyAlignment="0" applyProtection="0"/>
    <xf numFmtId="43" fontId="28" fillId="0" borderId="0" applyFont="0" applyFill="0" applyBorder="0" applyAlignment="0" applyProtection="0"/>
    <xf numFmtId="43" fontId="25"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13"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0" fontId="36"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3" fontId="25" fillId="0" borderId="0"/>
    <xf numFmtId="3" fontId="25" fillId="0" borderId="0"/>
    <xf numFmtId="3" fontId="25" fillId="0" borderId="0"/>
    <xf numFmtId="3" fontId="25" fillId="0" borderId="0"/>
    <xf numFmtId="171" fontId="25" fillId="0" borderId="0" applyFont="0" applyFill="0" applyBorder="0" applyAlignment="0" applyProtection="0"/>
    <xf numFmtId="171" fontId="25" fillId="0" borderId="0" applyFont="0" applyFill="0" applyBorder="0" applyAlignment="0" applyProtection="0"/>
    <xf numFmtId="171" fontId="25" fillId="0" borderId="0" applyFont="0" applyFill="0" applyBorder="0" applyAlignment="0" applyProtection="0"/>
    <xf numFmtId="42" fontId="25" fillId="0" borderId="0" applyFont="0" applyFill="0" applyBorder="0" applyAlignment="0" applyProtection="0"/>
    <xf numFmtId="42" fontId="25" fillId="0" borderId="0" applyFont="0" applyFill="0" applyBorder="0" applyAlignment="0" applyProtection="0"/>
    <xf numFmtId="171" fontId="25" fillId="0" borderId="0" applyFont="0" applyFill="0" applyBorder="0" applyAlignment="0" applyProtection="0"/>
    <xf numFmtId="42" fontId="25" fillId="0" borderId="0" applyFont="0" applyFill="0" applyBorder="0" applyAlignment="0" applyProtection="0"/>
    <xf numFmtId="42" fontId="25" fillId="0" borderId="0" applyFont="0" applyFill="0" applyBorder="0" applyAlignment="0" applyProtection="0"/>
    <xf numFmtId="44" fontId="35" fillId="0" borderId="0" applyFont="0" applyFill="0" applyBorder="0" applyAlignment="0" applyProtection="0"/>
    <xf numFmtId="44" fontId="25" fillId="0" borderId="0" applyFont="0" applyFill="0" applyBorder="0" applyAlignment="0" applyProtection="0"/>
    <xf numFmtId="44" fontId="35"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8"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8" fillId="0" borderId="0" applyFont="0" applyFill="0" applyBorder="0" applyAlignment="0" applyProtection="0"/>
    <xf numFmtId="44"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169"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8" fillId="0" borderId="0" applyFont="0" applyFill="0" applyBorder="0" applyAlignment="0" applyProtection="0"/>
    <xf numFmtId="44" fontId="35" fillId="0" borderId="0" applyFont="0" applyFill="0" applyBorder="0" applyAlignment="0" applyProtection="0"/>
    <xf numFmtId="44" fontId="28"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13" fillId="0" borderId="0" applyFont="0" applyFill="0" applyBorder="0" applyAlignment="0" applyProtection="0"/>
    <xf numFmtId="44" fontId="28"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8"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8" fontId="36" fillId="0" borderId="0" applyFont="0" applyFill="0" applyBorder="0" applyAlignment="0" applyProtection="0"/>
    <xf numFmtId="44"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169" fontId="25" fillId="0" borderId="0" applyFont="0" applyFill="0" applyBorder="0" applyAlignment="0" applyProtection="0"/>
    <xf numFmtId="44" fontId="28"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5" fillId="0" borderId="0" applyFont="0" applyFill="0" applyBorder="0" applyAlignment="0" applyProtection="0"/>
    <xf numFmtId="44" fontId="28"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44" fontId="28" fillId="0" borderId="0" applyFont="0" applyFill="0" applyBorder="0" applyAlignment="0" applyProtection="0"/>
    <xf numFmtId="44"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44" fontId="28" fillId="0" borderId="0" applyFont="0" applyFill="0" applyBorder="0" applyAlignment="0" applyProtection="0"/>
    <xf numFmtId="44"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8" fillId="0" borderId="0" applyFont="0" applyFill="0" applyBorder="0" applyAlignment="0" applyProtection="0"/>
    <xf numFmtId="44"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44" fontId="28"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8" fillId="0" borderId="0" applyFont="0" applyFill="0" applyBorder="0" applyAlignment="0" applyProtection="0"/>
    <xf numFmtId="44"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44" fontId="28" fillId="0" borderId="0" applyFont="0" applyFill="0" applyBorder="0" applyAlignment="0" applyProtection="0"/>
    <xf numFmtId="44"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44" fontId="28" fillId="0" borderId="0" applyFont="0" applyFill="0" applyBorder="0" applyAlignment="0" applyProtection="0"/>
    <xf numFmtId="44" fontId="25" fillId="0" borderId="0" applyFont="0" applyFill="0" applyBorder="0" applyAlignment="0" applyProtection="0"/>
    <xf numFmtId="169" fontId="25" fillId="0" borderId="0" applyFont="0" applyFill="0" applyBorder="0" applyAlignment="0" applyProtection="0"/>
    <xf numFmtId="8" fontId="36" fillId="0" borderId="0" applyFont="0" applyFill="0" applyBorder="0" applyAlignment="0" applyProtection="0"/>
    <xf numFmtId="44" fontId="25" fillId="0" borderId="0" applyFont="0" applyFill="0" applyBorder="0" applyAlignment="0" applyProtection="0"/>
    <xf numFmtId="169"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8" fillId="0" borderId="0" applyFont="0" applyFill="0" applyBorder="0" applyAlignment="0" applyProtection="0"/>
    <xf numFmtId="44" fontId="25"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13"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8" fontId="36"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44" fontId="25"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169" fontId="25" fillId="0" borderId="0" applyFont="0" applyFill="0" applyBorder="0" applyAlignment="0" applyProtection="0"/>
    <xf numFmtId="44" fontId="25" fillId="0" borderId="0" applyFont="0" applyFill="0" applyBorder="0" applyAlignment="0" applyProtection="0"/>
    <xf numFmtId="44" fontId="28" fillId="0" borderId="0" applyFont="0" applyFill="0" applyBorder="0" applyAlignment="0" applyProtection="0"/>
    <xf numFmtId="44" fontId="25" fillId="0" borderId="0" applyFont="0" applyFill="0" applyBorder="0" applyAlignment="0" applyProtection="0"/>
    <xf numFmtId="172" fontId="25" fillId="0" borderId="0"/>
    <xf numFmtId="172" fontId="25" fillId="0" borderId="0"/>
    <xf numFmtId="172" fontId="25" fillId="0" borderId="0"/>
    <xf numFmtId="5" fontId="25" fillId="0" borderId="0"/>
    <xf numFmtId="5" fontId="25" fillId="0" borderId="0"/>
    <xf numFmtId="172" fontId="25" fillId="0" borderId="0"/>
    <xf numFmtId="5" fontId="25" fillId="0" borderId="0"/>
    <xf numFmtId="5" fontId="25" fillId="0" borderId="0"/>
    <xf numFmtId="14" fontId="25" fillId="0" borderId="0"/>
    <xf numFmtId="14" fontId="25" fillId="0" borderId="0"/>
    <xf numFmtId="14" fontId="25" fillId="0" borderId="0"/>
    <xf numFmtId="14" fontId="25" fillId="0" borderId="0"/>
    <xf numFmtId="0" fontId="37" fillId="0" borderId="0" applyNumberFormat="0" applyFill="0" applyBorder="0" applyAlignment="0" applyProtection="0"/>
    <xf numFmtId="0" fontId="38" fillId="0" borderId="0" applyNumberFormat="0" applyFill="0" applyBorder="0" applyAlignment="0" applyProtection="0"/>
    <xf numFmtId="2" fontId="25" fillId="0" borderId="0"/>
    <xf numFmtId="2" fontId="25" fillId="0" borderId="0"/>
    <xf numFmtId="2" fontId="25" fillId="0" borderId="0"/>
    <xf numFmtId="2" fontId="25" fillId="0" borderId="0"/>
    <xf numFmtId="0" fontId="39" fillId="25" borderId="0" applyNumberFormat="0" applyBorder="0" applyAlignment="0" applyProtection="0"/>
    <xf numFmtId="0" fontId="40" fillId="66" borderId="0" applyNumberFormat="0" applyBorder="0" applyAlignment="0" applyProtection="0"/>
    <xf numFmtId="0" fontId="41" fillId="0" borderId="25" applyNumberFormat="0" applyFill="0" applyAlignment="0" applyProtection="0"/>
    <xf numFmtId="0" fontId="42" fillId="0" borderId="10" applyNumberFormat="0" applyFill="0" applyAlignment="0" applyProtection="0"/>
    <xf numFmtId="0" fontId="43" fillId="0" borderId="26" applyNumberFormat="0" applyFill="0" applyAlignment="0" applyProtection="0"/>
    <xf numFmtId="0" fontId="44" fillId="0" borderId="27" applyNumberFormat="0" applyFill="0" applyAlignment="0" applyProtection="0"/>
    <xf numFmtId="0" fontId="45" fillId="0" borderId="28" applyNumberFormat="0" applyFill="0" applyAlignment="0" applyProtection="0"/>
    <xf numFmtId="0" fontId="46" fillId="0" borderId="11"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22"/>
    <xf numFmtId="0" fontId="48" fillId="31" borderId="23" applyNumberFormat="0" applyAlignment="0" applyProtection="0"/>
    <xf numFmtId="0" fontId="49" fillId="67" borderId="12" applyNumberFormat="0" applyAlignment="0" applyProtection="0"/>
    <xf numFmtId="0" fontId="50" fillId="0" borderId="29" applyNumberFormat="0" applyFill="0" applyAlignment="0" applyProtection="0"/>
    <xf numFmtId="0" fontId="51" fillId="0" borderId="14" applyNumberFormat="0" applyFill="0" applyAlignment="0" applyProtection="0"/>
    <xf numFmtId="0" fontId="52" fillId="68" borderId="0" applyNumberFormat="0" applyBorder="0" applyAlignment="0" applyProtection="0"/>
    <xf numFmtId="0" fontId="53" fillId="69" borderId="0" applyNumberFormat="0" applyBorder="0" applyAlignment="0" applyProtection="0"/>
    <xf numFmtId="0" fontId="54"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8" fillId="0" borderId="0"/>
    <xf numFmtId="0" fontId="28" fillId="0" borderId="0"/>
    <xf numFmtId="0" fontId="28" fillId="0" borderId="0"/>
    <xf numFmtId="0" fontId="28" fillId="0" borderId="0"/>
    <xf numFmtId="0" fontId="28"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35" fillId="0" borderId="0"/>
    <xf numFmtId="0" fontId="28" fillId="0" borderId="0"/>
    <xf numFmtId="0" fontId="55" fillId="0" borderId="0"/>
    <xf numFmtId="0" fontId="54"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8" fillId="0" borderId="0"/>
    <xf numFmtId="0" fontId="28" fillId="0" borderId="0"/>
    <xf numFmtId="0" fontId="28" fillId="0" borderId="0"/>
    <xf numFmtId="0" fontId="28" fillId="0" borderId="0"/>
    <xf numFmtId="0" fontId="28" fillId="0" borderId="0"/>
    <xf numFmtId="0" fontId="25"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8" fillId="0" borderId="0"/>
    <xf numFmtId="0" fontId="28" fillId="0" borderId="0"/>
    <xf numFmtId="0" fontId="28" fillId="0" borderId="0"/>
    <xf numFmtId="0" fontId="25" fillId="0" borderId="0"/>
    <xf numFmtId="0" fontId="28" fillId="0" borderId="0"/>
    <xf numFmtId="0" fontId="25" fillId="0" borderId="0"/>
    <xf numFmtId="0" fontId="54" fillId="0" borderId="0"/>
    <xf numFmtId="0" fontId="54" fillId="0" borderId="0"/>
    <xf numFmtId="0" fontId="54" fillId="0" borderId="0"/>
    <xf numFmtId="0" fontId="54" fillId="0" borderId="0"/>
    <xf numFmtId="0" fontId="54" fillId="0" borderId="0"/>
    <xf numFmtId="0" fontId="25" fillId="0" borderId="0"/>
    <xf numFmtId="0" fontId="25" fillId="0" borderId="0"/>
    <xf numFmtId="0" fontId="25" fillId="0" borderId="0"/>
    <xf numFmtId="0" fontId="25" fillId="0" borderId="0"/>
    <xf numFmtId="0" fontId="28" fillId="0" borderId="0"/>
    <xf numFmtId="0" fontId="25" fillId="0" borderId="0"/>
    <xf numFmtId="0" fontId="25"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8" fillId="0" borderId="0"/>
    <xf numFmtId="0" fontId="28" fillId="0" borderId="0"/>
    <xf numFmtId="0" fontId="28" fillId="0" borderId="0"/>
    <xf numFmtId="0" fontId="25" fillId="0" borderId="0"/>
    <xf numFmtId="0" fontId="28" fillId="0" borderId="0"/>
    <xf numFmtId="0" fontId="25" fillId="0" borderId="0"/>
    <xf numFmtId="0" fontId="25" fillId="0" borderId="0"/>
    <xf numFmtId="0" fontId="25" fillId="0" borderId="0"/>
    <xf numFmtId="0" fontId="28"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8" fillId="0" borderId="0"/>
    <xf numFmtId="0" fontId="28" fillId="0" borderId="0"/>
    <xf numFmtId="0" fontId="28" fillId="0" borderId="0"/>
    <xf numFmtId="0" fontId="28" fillId="0" borderId="0"/>
    <xf numFmtId="0" fontId="54" fillId="0" borderId="0"/>
    <xf numFmtId="0" fontId="54" fillId="0" borderId="0"/>
    <xf numFmtId="0" fontId="55" fillId="0" borderId="0"/>
    <xf numFmtId="0" fontId="28" fillId="0" borderId="0"/>
    <xf numFmtId="0" fontId="25" fillId="0" borderId="0"/>
    <xf numFmtId="0" fontId="25"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36" fillId="0" borderId="0"/>
    <xf numFmtId="0" fontId="28" fillId="0" borderId="0"/>
    <xf numFmtId="0" fontId="28" fillId="0" borderId="0"/>
    <xf numFmtId="0" fontId="28" fillId="0" borderId="0"/>
    <xf numFmtId="0" fontId="28"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55" fillId="0" borderId="0"/>
    <xf numFmtId="0" fontId="54" fillId="0" borderId="0"/>
    <xf numFmtId="0" fontId="55" fillId="0" borderId="0"/>
    <xf numFmtId="0" fontId="55" fillId="0" borderId="0"/>
    <xf numFmtId="0" fontId="54" fillId="0" borderId="0"/>
    <xf numFmtId="0" fontId="54" fillId="0" borderId="0"/>
    <xf numFmtId="0" fontId="28" fillId="0" borderId="0"/>
    <xf numFmtId="0" fontId="28" fillId="0" borderId="0"/>
    <xf numFmtId="0" fontId="28" fillId="0" borderId="0"/>
    <xf numFmtId="0" fontId="28" fillId="0" borderId="0"/>
    <xf numFmtId="0" fontId="54" fillId="0" borderId="0"/>
    <xf numFmtId="0" fontId="28"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5"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28" fillId="0" borderId="0"/>
    <xf numFmtId="0" fontId="28" fillId="0" borderId="0"/>
    <xf numFmtId="0" fontId="28" fillId="0" borderId="0"/>
    <xf numFmtId="0" fontId="28" fillId="0" borderId="0"/>
    <xf numFmtId="0" fontId="28" fillId="0" borderId="0"/>
    <xf numFmtId="0" fontId="28" fillId="0" borderId="0"/>
    <xf numFmtId="0" fontId="25" fillId="0" borderId="0"/>
    <xf numFmtId="0" fontId="25" fillId="0" borderId="0"/>
    <xf numFmtId="0" fontId="36" fillId="0" borderId="0"/>
    <xf numFmtId="0" fontId="28" fillId="0" borderId="0"/>
    <xf numFmtId="0" fontId="56"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13" fillId="0" borderId="0"/>
    <xf numFmtId="0" fontId="28" fillId="0" borderId="0"/>
    <xf numFmtId="0" fontId="28" fillId="0" borderId="0"/>
    <xf numFmtId="0" fontId="56" fillId="0" borderId="0"/>
    <xf numFmtId="0" fontId="28" fillId="0" borderId="0"/>
    <xf numFmtId="0" fontId="28" fillId="0" borderId="0"/>
    <xf numFmtId="0" fontId="25" fillId="0" borderId="0"/>
    <xf numFmtId="0" fontId="25" fillId="0" borderId="0"/>
    <xf numFmtId="0" fontId="56" fillId="0" borderId="0"/>
    <xf numFmtId="0" fontId="36"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36" fillId="0" borderId="0"/>
    <xf numFmtId="0" fontId="28" fillId="0" borderId="0"/>
    <xf numFmtId="0" fontId="28" fillId="0" borderId="0"/>
    <xf numFmtId="0" fontId="26" fillId="7" borderId="16" applyNumberFormat="0" applyFont="0" applyAlignment="0" applyProtection="0"/>
    <xf numFmtId="0" fontId="28" fillId="7" borderId="16" applyNumberFormat="0" applyFont="0" applyAlignment="0" applyProtection="0"/>
    <xf numFmtId="0" fontId="26" fillId="7" borderId="16" applyNumberFormat="0" applyFont="0" applyAlignment="0" applyProtection="0"/>
    <xf numFmtId="0" fontId="28" fillId="7" borderId="16" applyNumberFormat="0" applyFont="0" applyAlignment="0" applyProtection="0"/>
    <xf numFmtId="0" fontId="25" fillId="70" borderId="16" applyNumberFormat="0" applyFont="0" applyAlignment="0" applyProtection="0"/>
    <xf numFmtId="0" fontId="25" fillId="71" borderId="30" applyNumberFormat="0" applyFont="0" applyAlignment="0" applyProtection="0"/>
    <xf numFmtId="0" fontId="26" fillId="7" borderId="16" applyNumberFormat="0" applyFont="0" applyAlignment="0" applyProtection="0"/>
    <xf numFmtId="0" fontId="57" fillId="62" borderId="31" applyNumberFormat="0" applyAlignment="0" applyProtection="0"/>
    <xf numFmtId="0" fontId="58" fillId="63" borderId="13" applyNumberFormat="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35"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8" fillId="0" borderId="0" applyFont="0" applyFill="0" applyBorder="0" applyAlignment="0" applyProtection="0"/>
    <xf numFmtId="9" fontId="27" fillId="0" borderId="0" applyFont="0" applyFill="0" applyBorder="0" applyAlignment="0" applyProtection="0"/>
    <xf numFmtId="9" fontId="25" fillId="0" borderId="0" applyFont="0" applyFill="0" applyBorder="0" applyAlignment="0" applyProtection="0"/>
    <xf numFmtId="9" fontId="27"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7"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3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13"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36"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0" fontId="59" fillId="0" borderId="0" applyFill="0" applyBorder="0" applyProtection="0">
      <alignment horizontal="center"/>
    </xf>
    <xf numFmtId="0" fontId="60" fillId="0" borderId="0" applyNumberFormat="0" applyFill="0" applyBorder="0" applyAlignment="0" applyProtection="0"/>
    <xf numFmtId="0" fontId="59" fillId="0" borderId="0" applyFill="0" applyBorder="0" applyProtection="0">
      <alignment horizontal="center"/>
    </xf>
    <xf numFmtId="0" fontId="61" fillId="0" borderId="0" applyNumberFormat="0" applyFill="0" applyBorder="0" applyAlignment="0" applyProtection="0"/>
    <xf numFmtId="0" fontId="62" fillId="0" borderId="32" applyNumberFormat="0" applyFill="0" applyAlignment="0" applyProtection="0"/>
    <xf numFmtId="0" fontId="62" fillId="0" borderId="17" applyNumberFormat="0" applyFill="0" applyAlignment="0" applyProtection="0"/>
    <xf numFmtId="0" fontId="63"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4" fillId="0" borderId="0"/>
    <xf numFmtId="9" fontId="4" fillId="0" borderId="0" applyFont="0" applyFill="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2" fillId="0" borderId="0"/>
    <xf numFmtId="9" fontId="2" fillId="0" borderId="0" applyFont="0" applyFill="0" applyBorder="0" applyAlignment="0" applyProtection="0"/>
  </cellStyleXfs>
  <cellXfs count="397">
    <xf numFmtId="0" fontId="0" fillId="0" borderId="0" xfId="0"/>
    <xf numFmtId="0" fontId="17" fillId="0" borderId="0" xfId="0" applyFont="1" applyAlignment="1">
      <alignment horizontal="center"/>
    </xf>
    <xf numFmtId="0" fontId="17" fillId="0" borderId="0" xfId="0" applyFont="1"/>
    <xf numFmtId="0" fontId="19" fillId="2" borderId="0" xfId="0" applyFont="1" applyFill="1" applyAlignment="1">
      <alignment horizontal="left"/>
    </xf>
    <xf numFmtId="0" fontId="18" fillId="2" borderId="0" xfId="0" applyFont="1" applyFill="1"/>
    <xf numFmtId="44" fontId="0" fillId="0" borderId="0" xfId="2" applyFont="1"/>
    <xf numFmtId="164" fontId="0" fillId="0" borderId="0" xfId="2" applyNumberFormat="1" applyFont="1"/>
    <xf numFmtId="0" fontId="0" fillId="0" borderId="0" xfId="0" applyAlignment="1">
      <alignment horizontal="center" wrapText="1"/>
    </xf>
    <xf numFmtId="0" fontId="18" fillId="3" borderId="0" xfId="0" applyFont="1" applyFill="1" applyAlignment="1">
      <alignment horizontal="center"/>
    </xf>
    <xf numFmtId="0" fontId="18" fillId="3" borderId="0" xfId="0" applyFont="1" applyFill="1"/>
    <xf numFmtId="0" fontId="15" fillId="3" borderId="0" xfId="0" applyFont="1" applyFill="1" applyAlignment="1">
      <alignment horizontal="center" wrapText="1"/>
    </xf>
    <xf numFmtId="164" fontId="0" fillId="0" borderId="0" xfId="2" applyNumberFormat="1" applyFont="1" applyAlignment="1">
      <alignment wrapText="1"/>
    </xf>
    <xf numFmtId="164" fontId="18" fillId="2" borderId="0" xfId="2" applyNumberFormat="1" applyFont="1" applyFill="1"/>
    <xf numFmtId="165" fontId="0" fillId="0" borderId="0" xfId="1" applyNumberFormat="1" applyFont="1"/>
    <xf numFmtId="0" fontId="17" fillId="0" borderId="0" xfId="0" applyFont="1" applyAlignment="1">
      <alignment horizontal="center" wrapText="1"/>
    </xf>
    <xf numFmtId="0" fontId="17" fillId="4" borderId="1" xfId="0" applyFont="1" applyFill="1" applyBorder="1" applyAlignment="1">
      <alignment horizontal="center"/>
    </xf>
    <xf numFmtId="0" fontId="17" fillId="4" borderId="1" xfId="0" applyFont="1" applyFill="1" applyBorder="1"/>
    <xf numFmtId="164" fontId="0" fillId="0" borderId="0" xfId="0" applyNumberFormat="1"/>
    <xf numFmtId="0" fontId="18" fillId="5" borderId="0" xfId="0" applyFont="1" applyFill="1" applyAlignment="1">
      <alignment horizontal="center"/>
    </xf>
    <xf numFmtId="0" fontId="15" fillId="5" borderId="0" xfId="0" applyFont="1" applyFill="1"/>
    <xf numFmtId="0" fontId="18" fillId="5" borderId="0" xfId="0" applyFont="1" applyFill="1"/>
    <xf numFmtId="164" fontId="18" fillId="5" borderId="0" xfId="2" applyNumberFormat="1" applyFont="1" applyFill="1"/>
    <xf numFmtId="44" fontId="0" fillId="0" borderId="0" xfId="2" applyNumberFormat="1" applyFont="1"/>
    <xf numFmtId="6" fontId="0" fillId="0" borderId="0" xfId="0" applyNumberFormat="1"/>
    <xf numFmtId="166" fontId="0" fillId="0" borderId="0" xfId="3" applyNumberFormat="1" applyFont="1"/>
    <xf numFmtId="0" fontId="0" fillId="0" borderId="0" xfId="0" applyFont="1"/>
    <xf numFmtId="0" fontId="0" fillId="0" borderId="0" xfId="0" applyFont="1" applyAlignment="1">
      <alignment horizontal="center"/>
    </xf>
    <xf numFmtId="164" fontId="0" fillId="0" borderId="0" xfId="0" applyNumberFormat="1" applyFont="1"/>
    <xf numFmtId="0" fontId="20" fillId="0" borderId="0" xfId="0" applyFont="1"/>
    <xf numFmtId="0" fontId="16" fillId="0" borderId="0" xfId="0" applyFont="1"/>
    <xf numFmtId="44" fontId="0" fillId="0" borderId="0" xfId="0" applyNumberFormat="1" applyFont="1"/>
    <xf numFmtId="9" fontId="0" fillId="0" borderId="0" xfId="3" applyFont="1" applyAlignment="1">
      <alignment horizontal="center"/>
    </xf>
    <xf numFmtId="0" fontId="15" fillId="3" borderId="0" xfId="0" applyFont="1" applyFill="1" applyAlignment="1">
      <alignment horizontal="left"/>
    </xf>
    <xf numFmtId="0" fontId="0" fillId="0" borderId="0" xfId="0" applyFont="1" applyAlignment="1">
      <alignment horizontal="left"/>
    </xf>
    <xf numFmtId="0" fontId="17" fillId="0" borderId="0" xfId="0" applyFont="1" applyAlignment="1">
      <alignment wrapText="1"/>
    </xf>
    <xf numFmtId="44" fontId="18" fillId="5" borderId="0" xfId="2" applyNumberFormat="1" applyFont="1" applyFill="1"/>
    <xf numFmtId="0" fontId="21" fillId="3" borderId="0" xfId="0" applyFont="1" applyFill="1" applyAlignment="1">
      <alignment horizontal="center"/>
    </xf>
    <xf numFmtId="9" fontId="0" fillId="0" borderId="0" xfId="3" applyFont="1"/>
    <xf numFmtId="0" fontId="0" fillId="0" borderId="2" xfId="0" applyFont="1" applyBorder="1"/>
    <xf numFmtId="9" fontId="0" fillId="0" borderId="3" xfId="0" applyNumberFormat="1" applyFont="1" applyBorder="1"/>
    <xf numFmtId="0" fontId="0" fillId="0" borderId="4" xfId="0" applyFont="1" applyBorder="1"/>
    <xf numFmtId="9" fontId="0" fillId="0" borderId="5" xfId="0" applyNumberFormat="1" applyFont="1" applyBorder="1"/>
    <xf numFmtId="0" fontId="0" fillId="0" borderId="6" xfId="0" applyFont="1" applyBorder="1"/>
    <xf numFmtId="9" fontId="0" fillId="0" borderId="7" xfId="0" applyNumberFormat="1" applyFont="1" applyBorder="1"/>
    <xf numFmtId="0" fontId="0" fillId="0" borderId="8" xfId="0" applyFont="1" applyBorder="1"/>
    <xf numFmtId="0" fontId="0" fillId="0" borderId="9" xfId="0" applyFont="1" applyBorder="1"/>
    <xf numFmtId="10" fontId="0" fillId="0" borderId="0" xfId="3" applyNumberFormat="1" applyFont="1"/>
    <xf numFmtId="10" fontId="0" fillId="0" borderId="0" xfId="0" applyNumberFormat="1" applyFont="1"/>
    <xf numFmtId="38" fontId="0" fillId="0" borderId="0" xfId="2" applyNumberFormat="1" applyFont="1"/>
    <xf numFmtId="38" fontId="0" fillId="0" borderId="0" xfId="0" applyNumberFormat="1" applyFont="1"/>
    <xf numFmtId="6" fontId="0" fillId="0" borderId="0" xfId="2" applyNumberFormat="1" applyFont="1"/>
    <xf numFmtId="6" fontId="17" fillId="4" borderId="1" xfId="2" applyNumberFormat="1" applyFont="1" applyFill="1" applyBorder="1"/>
    <xf numFmtId="6" fontId="0" fillId="0" borderId="0" xfId="0" applyNumberFormat="1" applyFont="1"/>
    <xf numFmtId="6" fontId="17" fillId="4" borderId="1" xfId="0" applyNumberFormat="1" applyFont="1" applyFill="1" applyBorder="1"/>
    <xf numFmtId="167" fontId="0" fillId="0" borderId="0" xfId="0" applyNumberFormat="1"/>
    <xf numFmtId="43" fontId="0" fillId="0" borderId="0" xfId="0" applyNumberFormat="1" applyFont="1"/>
    <xf numFmtId="44" fontId="0" fillId="0" borderId="0" xfId="0" applyNumberFormat="1"/>
    <xf numFmtId="9" fontId="0" fillId="0" borderId="0" xfId="2" applyNumberFormat="1" applyFont="1"/>
    <xf numFmtId="0" fontId="15" fillId="3" borderId="0" xfId="0" applyFont="1" applyFill="1" applyAlignment="1">
      <alignment horizontal="center" wrapText="1"/>
    </xf>
    <xf numFmtId="0" fontId="17" fillId="0" borderId="0" xfId="0" applyFont="1" applyAlignment="1">
      <alignment horizontal="center" wrapText="1"/>
    </xf>
    <xf numFmtId="6" fontId="0" fillId="0" borderId="0" xfId="2" applyNumberFormat="1" applyFont="1" applyFill="1"/>
    <xf numFmtId="0" fontId="0" fillId="0" borderId="0" xfId="0" applyFont="1" applyFill="1" applyBorder="1"/>
    <xf numFmtId="0" fontId="22" fillId="0" borderId="0" xfId="0" applyFont="1" applyFill="1" applyBorder="1"/>
    <xf numFmtId="0" fontId="22" fillId="0" borderId="0" xfId="0" applyFont="1"/>
    <xf numFmtId="9" fontId="22" fillId="0" borderId="0" xfId="0" applyNumberFormat="1" applyFont="1"/>
    <xf numFmtId="0" fontId="18" fillId="2" borderId="0" xfId="0" applyFont="1" applyFill="1" applyAlignment="1">
      <alignment horizontal="center"/>
    </xf>
    <xf numFmtId="44" fontId="0" fillId="0" borderId="0" xfId="2" applyNumberFormat="1" applyFont="1" applyAlignment="1">
      <alignment horizontal="center"/>
    </xf>
    <xf numFmtId="164" fontId="15" fillId="3" borderId="0" xfId="2" applyNumberFormat="1" applyFont="1" applyFill="1" applyAlignment="1">
      <alignment horizontal="center" wrapText="1"/>
    </xf>
    <xf numFmtId="166" fontId="0" fillId="0" borderId="0" xfId="3" applyNumberFormat="1" applyFont="1" applyAlignment="1">
      <alignment horizontal="center"/>
    </xf>
    <xf numFmtId="6" fontId="13" fillId="0" borderId="0" xfId="2" applyNumberFormat="1" applyFont="1"/>
    <xf numFmtId="166" fontId="15" fillId="3" borderId="0" xfId="2" applyNumberFormat="1" applyFont="1" applyFill="1" applyAlignment="1">
      <alignment horizontal="center" wrapText="1"/>
    </xf>
    <xf numFmtId="166" fontId="18" fillId="5" borderId="0" xfId="2" applyNumberFormat="1" applyFont="1" applyFill="1" applyAlignment="1">
      <alignment horizontal="center"/>
    </xf>
    <xf numFmtId="166" fontId="17" fillId="0" borderId="0" xfId="0" applyNumberFormat="1" applyFont="1" applyAlignment="1">
      <alignment horizontal="center" wrapText="1"/>
    </xf>
    <xf numFmtId="166" fontId="0" fillId="0" borderId="0" xfId="2" applyNumberFormat="1" applyFont="1" applyAlignment="1">
      <alignment horizontal="center"/>
    </xf>
    <xf numFmtId="166" fontId="17" fillId="4" borderId="1" xfId="3" applyNumberFormat="1" applyFont="1" applyFill="1" applyBorder="1" applyAlignment="1">
      <alignment horizontal="center"/>
    </xf>
    <xf numFmtId="8" fontId="0" fillId="0" borderId="0" xfId="2" applyNumberFormat="1" applyFont="1"/>
    <xf numFmtId="8" fontId="17" fillId="4" borderId="1" xfId="2" applyNumberFormat="1" applyFont="1" applyFill="1" applyBorder="1"/>
    <xf numFmtId="0" fontId="0" fillId="0" borderId="0" xfId="0" quotePrefix="1" applyFont="1"/>
    <xf numFmtId="6" fontId="13" fillId="0" borderId="0" xfId="0" applyNumberFormat="1" applyFont="1"/>
    <xf numFmtId="8" fontId="13" fillId="0" borderId="0" xfId="2" applyNumberFormat="1" applyFont="1"/>
    <xf numFmtId="166" fontId="13" fillId="0" borderId="0" xfId="3" applyNumberFormat="1" applyFont="1" applyAlignment="1">
      <alignment horizontal="center"/>
    </xf>
    <xf numFmtId="164" fontId="0" fillId="0" borderId="1" xfId="2" applyNumberFormat="1" applyFont="1" applyBorder="1"/>
    <xf numFmtId="0" fontId="0" fillId="0" borderId="1" xfId="0" applyBorder="1" applyAlignment="1">
      <alignment horizontal="center" wrapText="1"/>
    </xf>
    <xf numFmtId="0" fontId="0" fillId="0" borderId="1" xfId="0" applyBorder="1" applyAlignment="1">
      <alignment wrapText="1"/>
    </xf>
    <xf numFmtId="164" fontId="0" fillId="0" borderId="1" xfId="2" applyNumberFormat="1" applyFont="1" applyBorder="1" applyAlignment="1">
      <alignment wrapText="1"/>
    </xf>
    <xf numFmtId="44" fontId="0" fillId="0" borderId="1" xfId="2" applyFont="1" applyBorder="1"/>
    <xf numFmtId="0" fontId="17" fillId="0" borderId="1" xfId="0" applyFont="1" applyBorder="1" applyAlignment="1">
      <alignment horizontal="center" wrapText="1"/>
    </xf>
    <xf numFmtId="0" fontId="17" fillId="0" borderId="20" xfId="0" applyFont="1" applyBorder="1" applyAlignment="1">
      <alignment horizontal="center" wrapText="1"/>
    </xf>
    <xf numFmtId="0" fontId="0" fillId="0" borderId="20" xfId="0" applyBorder="1" applyAlignment="1">
      <alignment horizontal="center" wrapText="1"/>
    </xf>
    <xf numFmtId="1" fontId="0" fillId="0" borderId="20" xfId="1" applyNumberFormat="1" applyFont="1" applyBorder="1" applyAlignment="1">
      <alignment horizontal="center"/>
    </xf>
    <xf numFmtId="164" fontId="0" fillId="0" borderId="20" xfId="2" applyNumberFormat="1" applyFont="1" applyBorder="1" applyAlignment="1">
      <alignment wrapText="1"/>
    </xf>
    <xf numFmtId="0" fontId="0" fillId="0" borderId="20" xfId="0" applyBorder="1"/>
    <xf numFmtId="1" fontId="0" fillId="0" borderId="1" xfId="1" applyNumberFormat="1" applyFont="1" applyBorder="1" applyAlignment="1">
      <alignment horizontal="center" wrapText="1"/>
    </xf>
    <xf numFmtId="164" fontId="22" fillId="0" borderId="0" xfId="2" applyNumberFormat="1" applyFont="1"/>
    <xf numFmtId="164" fontId="17" fillId="4" borderId="1" xfId="2" applyNumberFormat="1" applyFont="1" applyFill="1" applyBorder="1"/>
    <xf numFmtId="6" fontId="15" fillId="5" borderId="0" xfId="2" applyNumberFormat="1" applyFont="1" applyFill="1"/>
    <xf numFmtId="8" fontId="15" fillId="5" borderId="0" xfId="2" applyNumberFormat="1" applyFont="1" applyFill="1"/>
    <xf numFmtId="9" fontId="15" fillId="5" borderId="0" xfId="3" applyFont="1" applyFill="1" applyAlignment="1">
      <alignment horizontal="center"/>
    </xf>
    <xf numFmtId="164" fontId="15" fillId="5" borderId="0" xfId="2" applyNumberFormat="1" applyFont="1" applyFill="1"/>
    <xf numFmtId="0" fontId="0" fillId="0" borderId="18" xfId="0" applyBorder="1"/>
    <xf numFmtId="0" fontId="0" fillId="0" borderId="21" xfId="0" applyBorder="1"/>
    <xf numFmtId="6" fontId="0" fillId="0" borderId="19" xfId="0" applyNumberFormat="1" applyBorder="1"/>
    <xf numFmtId="1" fontId="0" fillId="0" borderId="0" xfId="0" applyNumberFormat="1"/>
    <xf numFmtId="0" fontId="64" fillId="2" borderId="0" xfId="0" applyFont="1" applyFill="1" applyAlignment="1">
      <alignment horizontal="left"/>
    </xf>
    <xf numFmtId="0" fontId="65" fillId="2" borderId="0" xfId="0" applyFont="1" applyFill="1"/>
    <xf numFmtId="164" fontId="65" fillId="2" borderId="0" xfId="2" applyNumberFormat="1" applyFont="1" applyFill="1"/>
    <xf numFmtId="0" fontId="28" fillId="0" borderId="0" xfId="0" applyFont="1"/>
    <xf numFmtId="0" fontId="64" fillId="3" borderId="0" xfId="0" applyFont="1" applyFill="1" applyAlignment="1">
      <alignment horizontal="left" wrapText="1"/>
    </xf>
    <xf numFmtId="0" fontId="64" fillId="3" borderId="0" xfId="0" applyFont="1" applyFill="1" applyAlignment="1">
      <alignment horizontal="center" wrapText="1"/>
    </xf>
    <xf numFmtId="164" fontId="64" fillId="3" borderId="0" xfId="2" applyNumberFormat="1" applyFont="1" applyFill="1" applyAlignment="1">
      <alignment horizontal="center" wrapText="1"/>
    </xf>
    <xf numFmtId="0" fontId="28" fillId="0" borderId="0" xfId="0" applyFont="1" applyAlignment="1">
      <alignment horizontal="center"/>
    </xf>
    <xf numFmtId="1" fontId="28" fillId="0" borderId="0" xfId="0" applyNumberFormat="1" applyFont="1" applyAlignment="1">
      <alignment horizontal="center"/>
    </xf>
    <xf numFmtId="164" fontId="28" fillId="0" borderId="0" xfId="2" applyNumberFormat="1" applyFont="1"/>
    <xf numFmtId="44" fontId="28" fillId="0" borderId="0" xfId="2" applyNumberFormat="1" applyFont="1"/>
    <xf numFmtId="164" fontId="28" fillId="0" borderId="0" xfId="0" applyNumberFormat="1" applyFont="1"/>
    <xf numFmtId="44" fontId="28" fillId="0" borderId="0" xfId="0" applyNumberFormat="1" applyFont="1"/>
    <xf numFmtId="0" fontId="66" fillId="0" borderId="1" xfId="0" applyFont="1" applyBorder="1"/>
    <xf numFmtId="0" fontId="66" fillId="0" borderId="1" xfId="0" applyFont="1" applyBorder="1" applyAlignment="1">
      <alignment horizontal="center"/>
    </xf>
    <xf numFmtId="1" fontId="66" fillId="0" borderId="1" xfId="0" applyNumberFormat="1" applyFont="1" applyBorder="1" applyAlignment="1">
      <alignment horizontal="center"/>
    </xf>
    <xf numFmtId="164" fontId="66" fillId="0" borderId="1" xfId="2" applyNumberFormat="1" applyFont="1" applyBorder="1"/>
    <xf numFmtId="44" fontId="66" fillId="0" borderId="1" xfId="0" applyNumberFormat="1" applyFont="1" applyBorder="1"/>
    <xf numFmtId="0" fontId="66" fillId="6" borderId="0" xfId="0" applyFont="1" applyFill="1"/>
    <xf numFmtId="0" fontId="28" fillId="6" borderId="0" xfId="0" applyFont="1" applyFill="1"/>
    <xf numFmtId="164" fontId="66" fillId="6" borderId="0" xfId="2" applyNumberFormat="1" applyFont="1" applyFill="1"/>
    <xf numFmtId="0" fontId="28" fillId="0" borderId="0" xfId="0" applyFont="1" applyAlignment="1">
      <alignment horizontal="right"/>
    </xf>
    <xf numFmtId="10" fontId="28" fillId="0" borderId="0" xfId="0" applyNumberFormat="1" applyFont="1" applyAlignment="1">
      <alignment horizontal="center"/>
    </xf>
    <xf numFmtId="0" fontId="64" fillId="72" borderId="0" xfId="0" applyFont="1" applyFill="1"/>
    <xf numFmtId="0" fontId="64" fillId="72" borderId="0" xfId="0" applyFont="1" applyFill="1" applyAlignment="1">
      <alignment horizontal="center"/>
    </xf>
    <xf numFmtId="10" fontId="28" fillId="0" borderId="0" xfId="3" applyNumberFormat="1" applyFont="1" applyAlignment="1">
      <alignment horizontal="center"/>
    </xf>
    <xf numFmtId="0" fontId="67" fillId="0" borderId="0" xfId="0" applyFont="1"/>
    <xf numFmtId="10" fontId="66" fillId="6" borderId="0" xfId="0" applyNumberFormat="1" applyFont="1" applyFill="1" applyAlignment="1">
      <alignment horizontal="center"/>
    </xf>
    <xf numFmtId="0" fontId="66" fillId="0" borderId="0" xfId="0" applyFont="1" applyAlignment="1">
      <alignment horizontal="center"/>
    </xf>
    <xf numFmtId="0" fontId="66" fillId="0" borderId="0" xfId="0" applyFont="1"/>
    <xf numFmtId="10" fontId="66" fillId="0" borderId="0" xfId="0" applyNumberFormat="1" applyFont="1" applyAlignment="1">
      <alignment horizontal="center"/>
    </xf>
    <xf numFmtId="164" fontId="66" fillId="0" borderId="0" xfId="0" applyNumberFormat="1" applyFont="1"/>
    <xf numFmtId="10" fontId="28" fillId="0" borderId="0" xfId="3" applyNumberFormat="1" applyFont="1"/>
    <xf numFmtId="164" fontId="28" fillId="0" borderId="0" xfId="2" applyNumberFormat="1" applyFont="1" applyAlignment="1">
      <alignment horizontal="left"/>
    </xf>
    <xf numFmtId="164" fontId="66" fillId="6" borderId="0" xfId="2" applyNumberFormat="1" applyFont="1" applyFill="1" applyAlignment="1">
      <alignment horizontal="left"/>
    </xf>
    <xf numFmtId="0" fontId="68" fillId="2" borderId="0" xfId="0" applyFont="1" applyFill="1" applyAlignment="1">
      <alignment horizontal="left"/>
    </xf>
    <xf numFmtId="0" fontId="69" fillId="2" borderId="0" xfId="0" applyFont="1" applyFill="1"/>
    <xf numFmtId="164" fontId="69" fillId="2" borderId="0" xfId="2" applyNumberFormat="1" applyFont="1" applyFill="1"/>
    <xf numFmtId="0" fontId="70" fillId="0" borderId="0" xfId="0" applyFont="1"/>
    <xf numFmtId="0" fontId="71" fillId="0" borderId="0" xfId="0" applyFont="1"/>
    <xf numFmtId="0" fontId="72" fillId="0" borderId="0" xfId="0" applyFont="1"/>
    <xf numFmtId="164" fontId="71" fillId="0" borderId="0" xfId="2" applyNumberFormat="1" applyFont="1"/>
    <xf numFmtId="175" fontId="71" fillId="0" borderId="0" xfId="1" applyNumberFormat="1" applyFont="1"/>
    <xf numFmtId="164" fontId="71" fillId="0" borderId="0" xfId="0" applyNumberFormat="1" applyFont="1"/>
    <xf numFmtId="10" fontId="71" fillId="0" borderId="0" xfId="3" applyNumberFormat="1" applyFont="1"/>
    <xf numFmtId="166" fontId="71" fillId="0" borderId="0" xfId="3" applyNumberFormat="1" applyFont="1"/>
    <xf numFmtId="166" fontId="71" fillId="0" borderId="0" xfId="0" applyNumberFormat="1" applyFont="1"/>
    <xf numFmtId="44" fontId="71" fillId="0" borderId="0" xfId="0" applyNumberFormat="1" applyFont="1"/>
    <xf numFmtId="174" fontId="71" fillId="0" borderId="0" xfId="0" applyNumberFormat="1" applyFont="1"/>
    <xf numFmtId="0" fontId="12" fillId="0" borderId="0" xfId="0" applyFont="1"/>
    <xf numFmtId="0" fontId="73" fillId="0" borderId="0" xfId="0" applyFont="1"/>
    <xf numFmtId="9" fontId="28" fillId="0" borderId="0" xfId="3" applyFont="1"/>
    <xf numFmtId="164" fontId="28" fillId="0" borderId="0" xfId="0" applyNumberFormat="1" applyFont="1" applyAlignment="1">
      <alignment horizontal="right"/>
    </xf>
    <xf numFmtId="176" fontId="28" fillId="0" borderId="0" xfId="3" applyNumberFormat="1" applyFont="1" applyAlignment="1">
      <alignment horizontal="center"/>
    </xf>
    <xf numFmtId="0" fontId="64" fillId="3" borderId="0" xfId="0" applyFont="1" applyFill="1" applyAlignment="1">
      <alignment horizontal="left"/>
    </xf>
    <xf numFmtId="0" fontId="11" fillId="0" borderId="0" xfId="0" applyFont="1"/>
    <xf numFmtId="9" fontId="28" fillId="0" borderId="0" xfId="0" applyNumberFormat="1" applyFont="1"/>
    <xf numFmtId="0" fontId="0" fillId="0" borderId="0" xfId="0" applyBorder="1"/>
    <xf numFmtId="6" fontId="0" fillId="0" borderId="0" xfId="0" applyNumberFormat="1" applyBorder="1"/>
    <xf numFmtId="0" fontId="74" fillId="0" borderId="0" xfId="0" applyFont="1" applyAlignment="1">
      <alignment wrapText="1"/>
    </xf>
    <xf numFmtId="0" fontId="74" fillId="0" borderId="0" xfId="0" applyFont="1" applyAlignment="1">
      <alignment horizontal="center" wrapText="1"/>
    </xf>
    <xf numFmtId="164" fontId="74" fillId="0" borderId="0" xfId="2" applyNumberFormat="1" applyFont="1" applyAlignment="1">
      <alignment horizontal="center" wrapText="1"/>
    </xf>
    <xf numFmtId="166" fontId="28" fillId="0" borderId="0" xfId="3" applyNumberFormat="1" applyFont="1"/>
    <xf numFmtId="6" fontId="28" fillId="0" borderId="0" xfId="0" applyNumberFormat="1" applyFont="1" applyAlignment="1">
      <alignment horizontal="right"/>
    </xf>
    <xf numFmtId="166" fontId="28" fillId="0" borderId="0" xfId="0" applyNumberFormat="1" applyFont="1"/>
    <xf numFmtId="164" fontId="67" fillId="0" borderId="0" xfId="2" applyNumberFormat="1" applyFont="1"/>
    <xf numFmtId="164" fontId="66" fillId="0" borderId="0" xfId="2" applyNumberFormat="1" applyFont="1"/>
    <xf numFmtId="0" fontId="28" fillId="0" borderId="0" xfId="0" applyFont="1" applyAlignment="1">
      <alignment wrapText="1"/>
    </xf>
    <xf numFmtId="0" fontId="75" fillId="0" borderId="0" xfId="0" applyFont="1"/>
    <xf numFmtId="0" fontId="76" fillId="0" borderId="0" xfId="0" applyFont="1"/>
    <xf numFmtId="0" fontId="77" fillId="0" borderId="0" xfId="0" applyFont="1"/>
    <xf numFmtId="0" fontId="78" fillId="0" borderId="0" xfId="0" applyFont="1"/>
    <xf numFmtId="166" fontId="0" fillId="0" borderId="0" xfId="0" applyNumberFormat="1" applyFont="1" applyAlignment="1">
      <alignment horizontal="center"/>
    </xf>
    <xf numFmtId="164" fontId="17" fillId="0" borderId="0" xfId="2" applyNumberFormat="1" applyFont="1" applyAlignment="1">
      <alignment horizontal="center" wrapText="1"/>
    </xf>
    <xf numFmtId="0" fontId="9" fillId="0" borderId="0" xfId="0" applyFont="1"/>
    <xf numFmtId="0" fontId="9" fillId="0" borderId="0" xfId="0" applyFont="1" applyAlignment="1">
      <alignment horizontal="center"/>
    </xf>
    <xf numFmtId="177" fontId="0" fillId="0" borderId="0" xfId="0" applyNumberFormat="1"/>
    <xf numFmtId="177" fontId="0" fillId="0" borderId="0" xfId="2" applyNumberFormat="1" applyFont="1"/>
    <xf numFmtId="177" fontId="0" fillId="0" borderId="19" xfId="0" applyNumberFormat="1" applyBorder="1"/>
    <xf numFmtId="43" fontId="28" fillId="0" borderId="0" xfId="1" applyFont="1"/>
    <xf numFmtId="165" fontId="28" fillId="0" borderId="0" xfId="0" applyNumberFormat="1" applyFont="1"/>
    <xf numFmtId="0" fontId="79" fillId="0" borderId="0" xfId="0" applyFont="1"/>
    <xf numFmtId="0" fontId="28" fillId="73" borderId="0" xfId="0" applyFont="1" applyFill="1"/>
    <xf numFmtId="0" fontId="66" fillId="73" borderId="0" xfId="0" applyFont="1" applyFill="1" applyAlignment="1">
      <alignment horizontal="center"/>
    </xf>
    <xf numFmtId="0" fontId="73" fillId="73" borderId="0" xfId="0" applyFont="1" applyFill="1"/>
    <xf numFmtId="9" fontId="28" fillId="73" borderId="0" xfId="3" applyFont="1" applyFill="1"/>
    <xf numFmtId="10" fontId="28" fillId="73" borderId="0" xfId="0" applyNumberFormat="1" applyFont="1" applyFill="1" applyAlignment="1">
      <alignment horizontal="center"/>
    </xf>
    <xf numFmtId="165" fontId="28" fillId="73" borderId="0" xfId="1" applyNumberFormat="1" applyFont="1" applyFill="1" applyAlignment="1">
      <alignment horizontal="left"/>
    </xf>
    <xf numFmtId="164" fontId="28" fillId="73" borderId="0" xfId="3" applyNumberFormat="1" applyFont="1" applyFill="1"/>
    <xf numFmtId="0" fontId="66" fillId="73" borderId="0" xfId="0" applyFont="1" applyFill="1"/>
    <xf numFmtId="164" fontId="28" fillId="73" borderId="0" xfId="0" applyNumberFormat="1" applyFont="1" applyFill="1" applyAlignment="1">
      <alignment horizontal="right"/>
    </xf>
    <xf numFmtId="0" fontId="64" fillId="5" borderId="0" xfId="0" applyFont="1" applyFill="1" applyAlignment="1">
      <alignment horizontal="center" wrapText="1"/>
    </xf>
    <xf numFmtId="164" fontId="64" fillId="5" borderId="0" xfId="2" applyNumberFormat="1" applyFont="1" applyFill="1" applyAlignment="1">
      <alignment horizontal="center" wrapText="1"/>
    </xf>
    <xf numFmtId="0" fontId="66" fillId="73" borderId="0" xfId="0" applyFont="1" applyFill="1" applyAlignment="1">
      <alignment wrapText="1"/>
    </xf>
    <xf numFmtId="0" fontId="66" fillId="0" borderId="0" xfId="0" applyFont="1" applyAlignment="1">
      <alignment wrapText="1"/>
    </xf>
    <xf numFmtId="166" fontId="75" fillId="0" borderId="0" xfId="3" applyNumberFormat="1" applyFont="1"/>
    <xf numFmtId="2" fontId="75" fillId="0" borderId="0" xfId="0" applyNumberFormat="1" applyFont="1"/>
    <xf numFmtId="0" fontId="28" fillId="73" borderId="0" xfId="0" applyFont="1" applyFill="1" applyAlignment="1">
      <alignment wrapText="1"/>
    </xf>
    <xf numFmtId="0" fontId="66" fillId="73" borderId="0" xfId="0" applyFont="1" applyFill="1" applyAlignment="1">
      <alignment horizontal="center" wrapText="1"/>
    </xf>
    <xf numFmtId="0" fontId="28" fillId="73" borderId="0" xfId="0" applyFont="1" applyFill="1" applyAlignment="1"/>
    <xf numFmtId="0" fontId="66" fillId="73" borderId="0" xfId="0" applyFont="1" applyFill="1" applyAlignment="1"/>
    <xf numFmtId="164" fontId="28" fillId="73" borderId="0" xfId="2" applyNumberFormat="1" applyFont="1" applyFill="1" applyAlignment="1">
      <alignment horizontal="center"/>
    </xf>
    <xf numFmtId="0" fontId="7" fillId="0" borderId="0" xfId="0" applyFont="1"/>
    <xf numFmtId="166" fontId="7" fillId="0" borderId="0" xfId="3" applyNumberFormat="1" applyFont="1"/>
    <xf numFmtId="166" fontId="7" fillId="0" borderId="0" xfId="3" applyNumberFormat="1" applyFont="1" applyAlignment="1">
      <alignment horizontal="right"/>
    </xf>
    <xf numFmtId="176" fontId="28" fillId="73" borderId="0" xfId="3" applyNumberFormat="1" applyFont="1" applyFill="1" applyAlignment="1">
      <alignment horizontal="center"/>
    </xf>
    <xf numFmtId="164" fontId="28" fillId="73" borderId="0" xfId="3" applyNumberFormat="1" applyFont="1" applyFill="1" applyAlignment="1">
      <alignment horizontal="center"/>
    </xf>
    <xf numFmtId="176" fontId="66" fillId="73" borderId="0" xfId="3" applyNumberFormat="1" applyFont="1" applyFill="1" applyAlignment="1">
      <alignment horizontal="center" wrapText="1"/>
    </xf>
    <xf numFmtId="164" fontId="73" fillId="0" borderId="0" xfId="2" applyNumberFormat="1" applyFont="1"/>
    <xf numFmtId="0" fontId="82" fillId="2" borderId="0" xfId="0" applyFont="1" applyFill="1"/>
    <xf numFmtId="164" fontId="82" fillId="2" borderId="0" xfId="2" applyNumberFormat="1" applyFont="1" applyFill="1"/>
    <xf numFmtId="15" fontId="73" fillId="0" borderId="0" xfId="0" applyNumberFormat="1" applyFont="1"/>
    <xf numFmtId="166" fontId="73" fillId="0" borderId="0" xfId="3" applyNumberFormat="1" applyFont="1"/>
    <xf numFmtId="0" fontId="81" fillId="3" borderId="0" xfId="0" applyFont="1" applyFill="1" applyAlignment="1">
      <alignment horizontal="center" wrapText="1"/>
    </xf>
    <xf numFmtId="164" fontId="81" fillId="3" borderId="0" xfId="2" applyNumberFormat="1" applyFont="1" applyFill="1" applyAlignment="1">
      <alignment horizontal="center" wrapText="1"/>
    </xf>
    <xf numFmtId="0" fontId="73" fillId="0" borderId="0" xfId="0" applyFont="1" applyAlignment="1">
      <alignment horizontal="center"/>
    </xf>
    <xf numFmtId="173" fontId="73" fillId="0" borderId="0" xfId="0" applyNumberFormat="1" applyFont="1" applyAlignment="1">
      <alignment horizontal="center"/>
    </xf>
    <xf numFmtId="164" fontId="73" fillId="0" borderId="0" xfId="0" applyNumberFormat="1" applyFont="1"/>
    <xf numFmtId="0" fontId="73" fillId="0" borderId="1" xfId="0" applyFont="1" applyBorder="1" applyAlignment="1">
      <alignment horizontal="center"/>
    </xf>
    <xf numFmtId="0" fontId="73" fillId="0" borderId="1" xfId="0" applyFont="1" applyBorder="1"/>
    <xf numFmtId="164" fontId="74" fillId="0" borderId="1" xfId="2" applyNumberFormat="1" applyFont="1" applyBorder="1"/>
    <xf numFmtId="164" fontId="74" fillId="0" borderId="1" xfId="0" applyNumberFormat="1" applyFont="1" applyBorder="1"/>
    <xf numFmtId="44" fontId="73" fillId="0" borderId="0" xfId="0" applyNumberFormat="1" applyFont="1"/>
    <xf numFmtId="0" fontId="73" fillId="0" borderId="0" xfId="0" applyFont="1" applyAlignment="1">
      <alignment horizontal="left"/>
    </xf>
    <xf numFmtId="0" fontId="82" fillId="73" borderId="0" xfId="0" applyFont="1" applyFill="1"/>
    <xf numFmtId="0" fontId="81" fillId="73" borderId="0" xfId="0" applyFont="1" applyFill="1" applyAlignment="1">
      <alignment horizontal="center" wrapText="1"/>
    </xf>
    <xf numFmtId="0" fontId="83" fillId="2" borderId="0" xfId="0" applyFont="1" applyFill="1" applyAlignment="1">
      <alignment horizontal="left"/>
    </xf>
    <xf numFmtId="0" fontId="84" fillId="0" borderId="0" xfId="0" applyFont="1"/>
    <xf numFmtId="10" fontId="84" fillId="0" borderId="0" xfId="3" applyNumberFormat="1" applyFont="1" applyAlignment="1">
      <alignment horizontal="left"/>
    </xf>
    <xf numFmtId="0" fontId="84" fillId="0" borderId="0" xfId="0" applyFont="1" applyAlignment="1">
      <alignment wrapText="1"/>
    </xf>
    <xf numFmtId="43" fontId="0" fillId="0" borderId="0" xfId="0" applyNumberFormat="1"/>
    <xf numFmtId="0" fontId="87" fillId="73" borderId="0" xfId="0" applyFont="1" applyFill="1"/>
    <xf numFmtId="0" fontId="0" fillId="73" borderId="0" xfId="0" applyFill="1"/>
    <xf numFmtId="0" fontId="86" fillId="73" borderId="0" xfId="0" applyFont="1" applyFill="1"/>
    <xf numFmtId="177" fontId="0" fillId="73" borderId="0" xfId="0" applyNumberFormat="1" applyFill="1"/>
    <xf numFmtId="15" fontId="0" fillId="73" borderId="0" xfId="0" quotePrefix="1" applyNumberFormat="1" applyFill="1"/>
    <xf numFmtId="9" fontId="0" fillId="73" borderId="0" xfId="0" applyNumberFormat="1" applyFill="1"/>
    <xf numFmtId="0" fontId="22" fillId="73" borderId="0" xfId="0" applyFont="1" applyFill="1"/>
    <xf numFmtId="177" fontId="88" fillId="73" borderId="0" xfId="0" applyNumberFormat="1" applyFont="1" applyFill="1"/>
    <xf numFmtId="166" fontId="0" fillId="73" borderId="0" xfId="0" applyNumberFormat="1" applyFill="1"/>
    <xf numFmtId="10" fontId="28" fillId="73" borderId="0" xfId="0" applyNumberFormat="1" applyFont="1" applyFill="1" applyAlignment="1">
      <alignment wrapText="1"/>
    </xf>
    <xf numFmtId="166" fontId="28" fillId="73" borderId="0" xfId="3" applyNumberFormat="1" applyFont="1" applyFill="1" applyAlignment="1">
      <alignment wrapText="1"/>
    </xf>
    <xf numFmtId="0" fontId="6" fillId="0" borderId="0" xfId="0" applyFont="1"/>
    <xf numFmtId="0" fontId="80" fillId="73" borderId="0" xfId="0" applyFont="1" applyFill="1" applyAlignment="1">
      <alignment horizontal="left" wrapText="1"/>
    </xf>
    <xf numFmtId="0" fontId="5" fillId="0" borderId="0" xfId="0" applyFont="1"/>
    <xf numFmtId="3" fontId="89" fillId="0" borderId="0" xfId="1408" applyNumberFormat="1" applyFont="1" applyAlignment="1">
      <alignment wrapText="1"/>
    </xf>
    <xf numFmtId="0" fontId="4" fillId="0" borderId="0" xfId="0" applyFont="1"/>
    <xf numFmtId="10" fontId="66" fillId="73" borderId="0" xfId="3" applyNumberFormat="1" applyFont="1" applyFill="1" applyAlignment="1"/>
    <xf numFmtId="0" fontId="28" fillId="74" borderId="0" xfId="0" applyFont="1" applyFill="1"/>
    <xf numFmtId="0" fontId="66" fillId="74" borderId="0" xfId="0" applyFont="1" applyFill="1" applyAlignment="1">
      <alignment horizontal="center"/>
    </xf>
    <xf numFmtId="0" fontId="64" fillId="74" borderId="0" xfId="0" applyFont="1" applyFill="1" applyAlignment="1">
      <alignment horizontal="center" wrapText="1"/>
    </xf>
    <xf numFmtId="164" fontId="64" fillId="74" borderId="0" xfId="2" applyNumberFormat="1" applyFont="1" applyFill="1" applyAlignment="1">
      <alignment horizontal="center" wrapText="1"/>
    </xf>
    <xf numFmtId="0" fontId="7" fillId="74" borderId="0" xfId="0" applyFont="1" applyFill="1"/>
    <xf numFmtId="10" fontId="10" fillId="74" borderId="0" xfId="0" applyNumberFormat="1" applyFont="1" applyFill="1" applyAlignment="1">
      <alignment horizontal="center"/>
    </xf>
    <xf numFmtId="164" fontId="10" fillId="74" borderId="0" xfId="0" applyNumberFormat="1" applyFont="1" applyFill="1"/>
    <xf numFmtId="0" fontId="66" fillId="74" borderId="0" xfId="0" applyFont="1" applyFill="1" applyAlignment="1">
      <alignment horizontal="center" wrapText="1"/>
    </xf>
    <xf numFmtId="176" fontId="66" fillId="74" borderId="0" xfId="3" applyNumberFormat="1" applyFont="1" applyFill="1" applyAlignment="1">
      <alignment horizontal="center" wrapText="1"/>
    </xf>
    <xf numFmtId="0" fontId="66" fillId="74" borderId="0" xfId="0" applyFont="1" applyFill="1" applyAlignment="1">
      <alignment wrapText="1"/>
    </xf>
    <xf numFmtId="0" fontId="73" fillId="74" borderId="0" xfId="0" applyFont="1" applyFill="1"/>
    <xf numFmtId="177" fontId="28" fillId="74" borderId="0" xfId="0" applyNumberFormat="1" applyFont="1" applyFill="1" applyAlignment="1">
      <alignment horizontal="right"/>
    </xf>
    <xf numFmtId="10" fontId="28" fillId="74" borderId="0" xfId="0" applyNumberFormat="1" applyFont="1" applyFill="1" applyAlignment="1">
      <alignment horizontal="center"/>
    </xf>
    <xf numFmtId="165" fontId="28" fillId="74" borderId="0" xfId="1" applyNumberFormat="1" applyFont="1" applyFill="1" applyAlignment="1">
      <alignment horizontal="left"/>
    </xf>
    <xf numFmtId="164" fontId="28" fillId="74" borderId="0" xfId="2" applyNumberFormat="1" applyFont="1" applyFill="1"/>
    <xf numFmtId="164" fontId="28" fillId="74" borderId="0" xfId="3" applyNumberFormat="1" applyFont="1" applyFill="1" applyAlignment="1">
      <alignment horizontal="center"/>
    </xf>
    <xf numFmtId="9" fontId="28" fillId="74" borderId="0" xfId="3" applyFont="1" applyFill="1" applyAlignment="1">
      <alignment horizontal="center"/>
    </xf>
    <xf numFmtId="177" fontId="28" fillId="74" borderId="0" xfId="0" applyNumberFormat="1" applyFont="1" applyFill="1" applyAlignment="1">
      <alignment horizontal="center"/>
    </xf>
    <xf numFmtId="165" fontId="28" fillId="74" borderId="0" xfId="1" applyNumberFormat="1" applyFont="1" applyFill="1" applyAlignment="1">
      <alignment horizontal="center"/>
    </xf>
    <xf numFmtId="164" fontId="28" fillId="74" borderId="0" xfId="2" applyNumberFormat="1" applyFont="1" applyFill="1" applyAlignment="1">
      <alignment horizontal="center"/>
    </xf>
    <xf numFmtId="176" fontId="66" fillId="74" borderId="0" xfId="3" applyNumberFormat="1" applyFont="1" applyFill="1" applyAlignment="1">
      <alignment horizontal="center"/>
    </xf>
    <xf numFmtId="9" fontId="66" fillId="74" borderId="0" xfId="3" applyFont="1" applyFill="1" applyAlignment="1">
      <alignment horizontal="center" wrapText="1"/>
    </xf>
    <xf numFmtId="164" fontId="66" fillId="74" borderId="0" xfId="0" applyNumberFormat="1" applyFont="1" applyFill="1" applyAlignment="1">
      <alignment horizontal="center" wrapText="1"/>
    </xf>
    <xf numFmtId="10" fontId="66" fillId="74" borderId="0" xfId="0" applyNumberFormat="1" applyFont="1" applyFill="1" applyAlignment="1">
      <alignment horizontal="center" wrapText="1"/>
    </xf>
    <xf numFmtId="165" fontId="66" fillId="74" borderId="0" xfId="1" applyNumberFormat="1" applyFont="1" applyFill="1" applyAlignment="1">
      <alignment horizontal="center" wrapText="1"/>
    </xf>
    <xf numFmtId="164" fontId="73" fillId="74" borderId="0" xfId="0" applyNumberFormat="1" applyFont="1" applyFill="1"/>
    <xf numFmtId="164" fontId="28" fillId="74" borderId="0" xfId="3" applyNumberFormat="1" applyFont="1" applyFill="1"/>
    <xf numFmtId="10" fontId="28" fillId="74" borderId="0" xfId="3" applyNumberFormat="1" applyFont="1" applyFill="1" applyAlignment="1">
      <alignment horizontal="right"/>
    </xf>
    <xf numFmtId="10" fontId="28" fillId="74" borderId="0" xfId="3" applyNumberFormat="1" applyFont="1" applyFill="1" applyAlignment="1">
      <alignment horizontal="center"/>
    </xf>
    <xf numFmtId="0" fontId="91" fillId="0" borderId="0" xfId="0" applyFont="1"/>
    <xf numFmtId="0" fontId="0" fillId="0" borderId="0" xfId="0" applyAlignment="1">
      <alignment wrapText="1"/>
    </xf>
    <xf numFmtId="164" fontId="66" fillId="74" borderId="0" xfId="2" applyNumberFormat="1" applyFont="1" applyFill="1" applyAlignment="1">
      <alignment horizontal="center" wrapText="1"/>
    </xf>
    <xf numFmtId="10" fontId="90" fillId="74" borderId="0" xfId="3" applyNumberFormat="1" applyFont="1" applyFill="1" applyAlignment="1">
      <alignment horizontal="center"/>
    </xf>
    <xf numFmtId="0" fontId="92" fillId="0" borderId="0" xfId="0" applyFont="1"/>
    <xf numFmtId="0" fontId="93" fillId="0" borderId="0" xfId="0" applyFont="1"/>
    <xf numFmtId="1" fontId="17" fillId="0" borderId="0" xfId="0" applyNumberFormat="1" applyFont="1" applyAlignment="1">
      <alignment horizontal="center" wrapText="1"/>
    </xf>
    <xf numFmtId="0" fontId="66" fillId="0" borderId="0" xfId="1414" applyFont="1" applyAlignment="1">
      <alignment wrapText="1"/>
    </xf>
    <xf numFmtId="177" fontId="2" fillId="0" borderId="0" xfId="1414" applyNumberFormat="1" applyAlignment="1">
      <alignment wrapText="1"/>
    </xf>
    <xf numFmtId="0" fontId="2" fillId="0" borderId="0" xfId="1414" applyAlignment="1">
      <alignment wrapText="1"/>
    </xf>
    <xf numFmtId="9" fontId="0" fillId="0" borderId="0" xfId="1415" applyFont="1" applyAlignment="1">
      <alignment wrapText="1"/>
    </xf>
    <xf numFmtId="177" fontId="66" fillId="0" borderId="0" xfId="1414" applyNumberFormat="1" applyFont="1" applyAlignment="1">
      <alignment wrapText="1"/>
    </xf>
    <xf numFmtId="0" fontId="96" fillId="0" borderId="0" xfId="1414" applyFont="1" applyAlignment="1">
      <alignment wrapText="1"/>
    </xf>
    <xf numFmtId="177" fontId="96" fillId="0" borderId="0" xfId="1414" applyNumberFormat="1" applyFont="1" applyAlignment="1">
      <alignment wrapText="1"/>
    </xf>
    <xf numFmtId="0" fontId="2" fillId="0" borderId="0" xfId="0" applyFont="1"/>
    <xf numFmtId="0" fontId="0" fillId="73" borderId="0" xfId="0" applyFont="1" applyFill="1"/>
    <xf numFmtId="9" fontId="13" fillId="73" borderId="0" xfId="1348" applyFont="1" applyFill="1"/>
    <xf numFmtId="177" fontId="13" fillId="73" borderId="0" xfId="699" applyNumberFormat="1" applyFont="1" applyFill="1"/>
    <xf numFmtId="166" fontId="13" fillId="73" borderId="0" xfId="1348" applyNumberFormat="1" applyFont="1" applyFill="1"/>
    <xf numFmtId="177" fontId="88" fillId="73" borderId="0" xfId="699" applyNumberFormat="1" applyFont="1" applyFill="1"/>
    <xf numFmtId="9" fontId="0" fillId="73" borderId="0" xfId="0" quotePrefix="1" applyNumberFormat="1" applyFill="1"/>
    <xf numFmtId="0" fontId="97" fillId="73" borderId="0" xfId="0" applyFont="1" applyFill="1"/>
    <xf numFmtId="6" fontId="0" fillId="0" borderId="0" xfId="699" applyNumberFormat="1" applyFont="1"/>
    <xf numFmtId="8" fontId="0" fillId="0" borderId="0" xfId="699" applyNumberFormat="1" applyFont="1"/>
    <xf numFmtId="166" fontId="0" fillId="0" borderId="0" xfId="1348" applyNumberFormat="1" applyFont="1" applyAlignment="1">
      <alignment horizontal="center"/>
    </xf>
    <xf numFmtId="164" fontId="0" fillId="0" borderId="0" xfId="699" applyNumberFormat="1" applyFont="1"/>
    <xf numFmtId="10" fontId="17" fillId="4" borderId="1" xfId="3" applyNumberFormat="1" applyFont="1" applyFill="1" applyBorder="1"/>
    <xf numFmtId="0" fontId="66" fillId="0" borderId="0" xfId="1414" applyFont="1" applyFill="1" applyAlignment="1">
      <alignment wrapText="1"/>
    </xf>
    <xf numFmtId="177" fontId="2" fillId="0" borderId="0" xfId="1414" applyNumberFormat="1" applyFill="1" applyAlignment="1">
      <alignment wrapText="1"/>
    </xf>
    <xf numFmtId="0" fontId="2" fillId="0" borderId="0" xfId="1414" applyFill="1" applyAlignment="1">
      <alignment wrapText="1"/>
    </xf>
    <xf numFmtId="0" fontId="67" fillId="0" borderId="0" xfId="1414" applyFont="1" applyFill="1" applyAlignment="1">
      <alignment wrapText="1"/>
    </xf>
    <xf numFmtId="177" fontId="67" fillId="0" borderId="0" xfId="1414" applyNumberFormat="1" applyFont="1" applyFill="1" applyAlignment="1">
      <alignment wrapText="1"/>
    </xf>
    <xf numFmtId="9" fontId="67" fillId="0" borderId="0" xfId="1415" applyFont="1" applyFill="1" applyAlignment="1">
      <alignment wrapText="1"/>
    </xf>
    <xf numFmtId="0" fontId="2" fillId="0" borderId="0" xfId="1414" applyFill="1" applyAlignment="1"/>
    <xf numFmtId="177" fontId="94" fillId="0" borderId="0" xfId="1414" applyNumberFormat="1" applyFont="1" applyFill="1" applyAlignment="1">
      <alignment wrapText="1"/>
    </xf>
    <xf numFmtId="0" fontId="95" fillId="0" borderId="0" xfId="1414" applyFont="1" applyFill="1" applyAlignment="1">
      <alignment wrapText="1"/>
    </xf>
    <xf numFmtId="177" fontId="95" fillId="0" borderId="0" xfId="1414" applyNumberFormat="1" applyFont="1" applyFill="1" applyAlignment="1">
      <alignment wrapText="1"/>
    </xf>
    <xf numFmtId="164" fontId="71" fillId="0" borderId="0" xfId="699" applyNumberFormat="1" applyFont="1"/>
    <xf numFmtId="0" fontId="0" fillId="0" borderId="0" xfId="0" applyFill="1" applyBorder="1"/>
    <xf numFmtId="166" fontId="73" fillId="0" borderId="0" xfId="3" applyNumberFormat="1" applyFont="1" applyAlignment="1">
      <alignment horizontal="left"/>
    </xf>
    <xf numFmtId="0" fontId="89" fillId="73" borderId="0" xfId="0" applyFont="1" applyFill="1"/>
    <xf numFmtId="0" fontId="1" fillId="0" borderId="0" xfId="1414" applyFont="1" applyFill="1" applyAlignment="1"/>
    <xf numFmtId="0" fontId="92" fillId="75" borderId="33" xfId="0" applyFont="1" applyFill="1" applyBorder="1"/>
    <xf numFmtId="0" fontId="92" fillId="75" borderId="34" xfId="0" applyFont="1" applyFill="1" applyBorder="1"/>
    <xf numFmtId="9" fontId="28" fillId="74" borderId="0" xfId="3" applyNumberFormat="1" applyFont="1" applyFill="1"/>
    <xf numFmtId="6" fontId="66" fillId="73" borderId="0" xfId="0" applyNumberFormat="1" applyFont="1" applyFill="1" applyAlignment="1"/>
    <xf numFmtId="6" fontId="66" fillId="0" borderId="0" xfId="0" applyNumberFormat="1" applyFont="1"/>
    <xf numFmtId="10" fontId="66" fillId="0" borderId="0" xfId="3" applyNumberFormat="1" applyFont="1"/>
    <xf numFmtId="164" fontId="90" fillId="74" borderId="0" xfId="3" applyNumberFormat="1" applyFont="1" applyFill="1"/>
    <xf numFmtId="177" fontId="92" fillId="0" borderId="0" xfId="0" applyNumberFormat="1" applyFont="1"/>
    <xf numFmtId="0" fontId="72" fillId="75" borderId="0" xfId="0" applyFont="1" applyFill="1"/>
    <xf numFmtId="0" fontId="71" fillId="75" borderId="0" xfId="0" applyFont="1" applyFill="1"/>
    <xf numFmtId="164" fontId="72" fillId="75" borderId="0" xfId="2" applyNumberFormat="1" applyFont="1" applyFill="1"/>
    <xf numFmtId="10" fontId="72" fillId="75" borderId="0" xfId="0" applyNumberFormat="1" applyFont="1" applyFill="1"/>
    <xf numFmtId="177" fontId="73" fillId="0" borderId="0" xfId="0" applyNumberFormat="1" applyFont="1"/>
    <xf numFmtId="0" fontId="98" fillId="0" borderId="0" xfId="0" applyFont="1"/>
    <xf numFmtId="177" fontId="73" fillId="0" borderId="0" xfId="0" applyNumberFormat="1" applyFont="1" applyAlignment="1">
      <alignment horizontal="left"/>
    </xf>
    <xf numFmtId="9" fontId="73" fillId="0" borderId="0" xfId="0" applyNumberFormat="1" applyFont="1" applyAlignment="1">
      <alignment horizontal="left"/>
    </xf>
    <xf numFmtId="166" fontId="73" fillId="0" borderId="0" xfId="0" applyNumberFormat="1" applyFont="1" applyAlignment="1">
      <alignment horizontal="left"/>
    </xf>
    <xf numFmtId="43" fontId="73" fillId="0" borderId="0" xfId="1" applyFont="1" applyAlignment="1">
      <alignment horizontal="left"/>
    </xf>
    <xf numFmtId="43" fontId="73" fillId="0" borderId="0" xfId="1" applyFont="1"/>
    <xf numFmtId="0" fontId="73" fillId="0" borderId="0" xfId="0" applyFont="1" applyAlignment="1">
      <alignment wrapText="1"/>
    </xf>
    <xf numFmtId="6" fontId="28" fillId="0" borderId="0" xfId="0" applyNumberFormat="1" applyFont="1"/>
    <xf numFmtId="0" fontId="100" fillId="73" borderId="0" xfId="0" applyFont="1" applyFill="1"/>
    <xf numFmtId="0" fontId="97" fillId="73" borderId="35" xfId="0" applyFont="1" applyFill="1" applyBorder="1"/>
    <xf numFmtId="0" fontId="0" fillId="73" borderId="35" xfId="0" applyFill="1" applyBorder="1"/>
    <xf numFmtId="0" fontId="22" fillId="73" borderId="35" xfId="0" applyFont="1" applyFill="1" applyBorder="1"/>
    <xf numFmtId="177" fontId="88" fillId="73" borderId="35" xfId="0" applyNumberFormat="1" applyFont="1" applyFill="1" applyBorder="1"/>
    <xf numFmtId="0" fontId="87" fillId="73" borderId="35" xfId="0" applyFont="1" applyFill="1" applyBorder="1"/>
    <xf numFmtId="0" fontId="0" fillId="0" borderId="0" xfId="0" applyFill="1"/>
    <xf numFmtId="0" fontId="101" fillId="73" borderId="0" xfId="0" applyFont="1" applyFill="1"/>
    <xf numFmtId="177" fontId="101" fillId="73" borderId="0" xfId="0" applyNumberFormat="1" applyFont="1" applyFill="1"/>
    <xf numFmtId="43" fontId="16" fillId="0" borderId="0" xfId="0" applyNumberFormat="1" applyFont="1"/>
    <xf numFmtId="0" fontId="28" fillId="4" borderId="0" xfId="0" applyFont="1" applyFill="1"/>
    <xf numFmtId="9" fontId="66" fillId="4" borderId="0" xfId="3" applyFont="1" applyFill="1" applyAlignment="1">
      <alignment horizontal="center" wrapText="1"/>
    </xf>
    <xf numFmtId="0" fontId="64" fillId="4" borderId="0" xfId="0" applyFont="1" applyFill="1" applyAlignment="1">
      <alignment horizontal="center" wrapText="1"/>
    </xf>
    <xf numFmtId="164" fontId="64" fillId="4" borderId="0" xfId="2" applyNumberFormat="1" applyFont="1" applyFill="1" applyAlignment="1">
      <alignment horizontal="center" wrapText="1"/>
    </xf>
    <xf numFmtId="0" fontId="28" fillId="4" borderId="0" xfId="0" applyFont="1" applyFill="1" applyAlignment="1">
      <alignment horizontal="center"/>
    </xf>
    <xf numFmtId="0" fontId="10" fillId="4" borderId="0" xfId="0" applyFont="1" applyFill="1"/>
    <xf numFmtId="10" fontId="10" fillId="4" borderId="0" xfId="0" applyNumberFormat="1" applyFont="1" applyFill="1" applyAlignment="1">
      <alignment horizontal="center"/>
    </xf>
    <xf numFmtId="164" fontId="10" fillId="4" borderId="0" xfId="0" applyNumberFormat="1" applyFont="1" applyFill="1" applyAlignment="1">
      <alignment horizontal="center"/>
    </xf>
    <xf numFmtId="0" fontId="66" fillId="4" borderId="0" xfId="0" applyFont="1" applyFill="1" applyAlignment="1">
      <alignment horizontal="center"/>
    </xf>
    <xf numFmtId="0" fontId="66" fillId="4" borderId="0" xfId="0" applyFont="1" applyFill="1" applyAlignment="1">
      <alignment horizontal="center" wrapText="1"/>
    </xf>
    <xf numFmtId="176" fontId="66" fillId="4" borderId="0" xfId="3" applyNumberFormat="1" applyFont="1" applyFill="1" applyAlignment="1">
      <alignment horizontal="center" wrapText="1"/>
    </xf>
    <xf numFmtId="0" fontId="66" fillId="4" borderId="0" xfId="0" applyFont="1" applyFill="1" applyAlignment="1">
      <alignment wrapText="1"/>
    </xf>
    <xf numFmtId="0" fontId="73" fillId="4" borderId="0" xfId="0" applyFont="1" applyFill="1"/>
    <xf numFmtId="9" fontId="28" fillId="4" borderId="0" xfId="3" applyNumberFormat="1" applyFont="1" applyFill="1" applyAlignment="1">
      <alignment horizontal="center"/>
    </xf>
    <xf numFmtId="177" fontId="28" fillId="4" borderId="0" xfId="0" applyNumberFormat="1" applyFont="1" applyFill="1" applyAlignment="1">
      <alignment horizontal="center"/>
    </xf>
    <xf numFmtId="10" fontId="28" fillId="4" borderId="0" xfId="0" applyNumberFormat="1" applyFont="1" applyFill="1" applyAlignment="1">
      <alignment horizontal="center"/>
    </xf>
    <xf numFmtId="0" fontId="28" fillId="4" borderId="0" xfId="1" applyNumberFormat="1" applyFont="1" applyFill="1" applyAlignment="1">
      <alignment horizontal="center"/>
    </xf>
    <xf numFmtId="164" fontId="28" fillId="4" borderId="0" xfId="2" applyNumberFormat="1" applyFont="1" applyFill="1" applyAlignment="1">
      <alignment horizontal="center"/>
    </xf>
    <xf numFmtId="164" fontId="28" fillId="4" borderId="0" xfId="3" applyNumberFormat="1" applyFont="1" applyFill="1" applyAlignment="1">
      <alignment horizontal="center"/>
    </xf>
    <xf numFmtId="164" fontId="90" fillId="4" borderId="0" xfId="3" applyNumberFormat="1" applyFont="1" applyFill="1" applyAlignment="1">
      <alignment horizontal="center"/>
    </xf>
    <xf numFmtId="176" fontId="66" fillId="4" borderId="0" xfId="3" applyNumberFormat="1" applyFont="1" applyFill="1" applyAlignment="1">
      <alignment horizontal="center"/>
    </xf>
    <xf numFmtId="9" fontId="28" fillId="4" borderId="0" xfId="3" applyFont="1" applyFill="1" applyAlignment="1">
      <alignment horizontal="center"/>
    </xf>
    <xf numFmtId="165" fontId="28" fillId="4" borderId="0" xfId="1" applyNumberFormat="1" applyFont="1" applyFill="1" applyAlignment="1">
      <alignment horizontal="center"/>
    </xf>
    <xf numFmtId="0" fontId="73" fillId="4" borderId="0" xfId="0" applyFont="1" applyFill="1" applyAlignment="1">
      <alignment wrapText="1"/>
    </xf>
    <xf numFmtId="164" fontId="66" fillId="4" borderId="0" xfId="0" applyNumberFormat="1" applyFont="1" applyFill="1" applyAlignment="1">
      <alignment horizontal="center" wrapText="1"/>
    </xf>
    <xf numFmtId="10" fontId="66" fillId="4" borderId="0" xfId="0" applyNumberFormat="1" applyFont="1" applyFill="1" applyAlignment="1">
      <alignment horizontal="center" wrapText="1"/>
    </xf>
    <xf numFmtId="165" fontId="66" fillId="4" borderId="0" xfId="1" applyNumberFormat="1" applyFont="1" applyFill="1" applyAlignment="1">
      <alignment horizontal="center" wrapText="1"/>
    </xf>
    <xf numFmtId="164" fontId="66" fillId="4" borderId="0" xfId="2" applyNumberFormat="1" applyFont="1" applyFill="1" applyAlignment="1">
      <alignment horizontal="center" wrapText="1"/>
    </xf>
    <xf numFmtId="164" fontId="8" fillId="4" borderId="0" xfId="3" applyNumberFormat="1" applyFont="1" applyFill="1" applyAlignment="1">
      <alignment horizontal="center"/>
    </xf>
    <xf numFmtId="10" fontId="28" fillId="4" borderId="0" xfId="3" applyNumberFormat="1" applyFont="1" applyFill="1" applyAlignment="1">
      <alignment horizontal="center"/>
    </xf>
    <xf numFmtId="10" fontId="90" fillId="4" borderId="0" xfId="3" applyNumberFormat="1" applyFont="1" applyFill="1" applyAlignment="1">
      <alignment horizontal="center"/>
    </xf>
    <xf numFmtId="0" fontId="15" fillId="3" borderId="0" xfId="0" applyFont="1" applyFill="1" applyAlignment="1">
      <alignment horizontal="center" wrapText="1"/>
    </xf>
    <xf numFmtId="164" fontId="15" fillId="3" borderId="0" xfId="2" applyNumberFormat="1" applyFont="1" applyFill="1" applyAlignment="1">
      <alignment horizontal="center" wrapText="1"/>
    </xf>
    <xf numFmtId="44" fontId="15" fillId="3" borderId="0" xfId="2" applyNumberFormat="1" applyFont="1" applyFill="1" applyAlignment="1">
      <alignment horizontal="center" wrapText="1"/>
    </xf>
    <xf numFmtId="0" fontId="17" fillId="0" borderId="0" xfId="0" applyFont="1" applyAlignment="1">
      <alignment horizontal="center" wrapText="1"/>
    </xf>
    <xf numFmtId="3" fontId="89" fillId="0" borderId="0" xfId="1408" applyNumberFormat="1" applyFont="1" applyAlignment="1">
      <alignment horizontal="left" wrapText="1"/>
    </xf>
    <xf numFmtId="0" fontId="11" fillId="0" borderId="0" xfId="0" applyFont="1" applyAlignment="1">
      <alignment horizontal="left" vertical="top" wrapText="1"/>
    </xf>
    <xf numFmtId="0" fontId="67" fillId="0" borderId="0" xfId="0" applyFont="1" applyAlignment="1">
      <alignment horizontal="left" vertical="top" wrapText="1"/>
    </xf>
    <xf numFmtId="0" fontId="80" fillId="73" borderId="0" xfId="0" applyFont="1" applyFill="1" applyAlignment="1">
      <alignment horizontal="left" wrapText="1"/>
    </xf>
    <xf numFmtId="0" fontId="80" fillId="73" borderId="0" xfId="0" applyFont="1" applyFill="1" applyAlignment="1">
      <alignment horizontal="left"/>
    </xf>
    <xf numFmtId="10" fontId="90" fillId="74" borderId="0" xfId="3" applyNumberFormat="1" applyFont="1" applyFill="1" applyAlignment="1">
      <alignment horizontal="center"/>
    </xf>
    <xf numFmtId="164" fontId="66" fillId="4" borderId="0" xfId="2" applyNumberFormat="1" applyFont="1" applyFill="1" applyAlignment="1">
      <alignment horizontal="center" wrapText="1"/>
    </xf>
    <xf numFmtId="10" fontId="90" fillId="4" borderId="0" xfId="3" applyNumberFormat="1" applyFont="1" applyFill="1" applyAlignment="1">
      <alignment horizontal="center"/>
    </xf>
    <xf numFmtId="164" fontId="66" fillId="74" borderId="0" xfId="2" applyNumberFormat="1" applyFont="1" applyFill="1" applyAlignment="1">
      <alignment horizontal="center" wrapText="1"/>
    </xf>
  </cellXfs>
  <cellStyles count="1416">
    <cellStyle name="20% - Accent1 2" xfId="15"/>
    <cellStyle name="20% - Accent1 2 2" xfId="16"/>
    <cellStyle name="20% - Accent1 2 3" xfId="17"/>
    <cellStyle name="20% - Accent1 2 4" xfId="18"/>
    <cellStyle name="20% - Accent1 3" xfId="19"/>
    <cellStyle name="20% - Accent2 2" xfId="20"/>
    <cellStyle name="20% - Accent2 2 2" xfId="21"/>
    <cellStyle name="20% - Accent2 2 3" xfId="22"/>
    <cellStyle name="20% - Accent2 2 4" xfId="23"/>
    <cellStyle name="20% - Accent2 3" xfId="24"/>
    <cellStyle name="20% - Accent3 2" xfId="25"/>
    <cellStyle name="20% - Accent3 2 2" xfId="26"/>
    <cellStyle name="20% - Accent3 2 3" xfId="27"/>
    <cellStyle name="20% - Accent3 2 4" xfId="28"/>
    <cellStyle name="20% - Accent3 3" xfId="29"/>
    <cellStyle name="20% - Accent4 2" xfId="30"/>
    <cellStyle name="20% - Accent4 2 2" xfId="31"/>
    <cellStyle name="20% - Accent4 2 3" xfId="32"/>
    <cellStyle name="20% - Accent4 2 4" xfId="33"/>
    <cellStyle name="20% - Accent4 3" xfId="34"/>
    <cellStyle name="20% - Accent5 2" xfId="35"/>
    <cellStyle name="20% - Accent5 2 2" xfId="36"/>
    <cellStyle name="20% - Accent5 2 3" xfId="37"/>
    <cellStyle name="20% - Accent5 2 4" xfId="38"/>
    <cellStyle name="20% - Accent5 3" xfId="39"/>
    <cellStyle name="20% - Accent6 2" xfId="40"/>
    <cellStyle name="20% - Accent6 2 2" xfId="41"/>
    <cellStyle name="20% - Accent6 2 3" xfId="42"/>
    <cellStyle name="20% - Accent6 2 4" xfId="43"/>
    <cellStyle name="20% - Accent6 3" xfId="44"/>
    <cellStyle name="40% - Accent1 2" xfId="45"/>
    <cellStyle name="40% - Accent1 2 2" xfId="46"/>
    <cellStyle name="40% - Accent1 2 3" xfId="47"/>
    <cellStyle name="40% - Accent1 2 4" xfId="48"/>
    <cellStyle name="40% - Accent1 3" xfId="49"/>
    <cellStyle name="40% - Accent2 2" xfId="50"/>
    <cellStyle name="40% - Accent2 2 2" xfId="51"/>
    <cellStyle name="40% - Accent2 2 3" xfId="52"/>
    <cellStyle name="40% - Accent2 2 4" xfId="53"/>
    <cellStyle name="40% - Accent2 3" xfId="54"/>
    <cellStyle name="40% - Accent3 2" xfId="55"/>
    <cellStyle name="40% - Accent3 2 2" xfId="56"/>
    <cellStyle name="40% - Accent3 2 3" xfId="57"/>
    <cellStyle name="40% - Accent3 2 4" xfId="58"/>
    <cellStyle name="40% - Accent3 3" xfId="59"/>
    <cellStyle name="40% - Accent4 2" xfId="60"/>
    <cellStyle name="40% - Accent4 2 2" xfId="61"/>
    <cellStyle name="40% - Accent4 2 3" xfId="62"/>
    <cellStyle name="40% - Accent4 2 4" xfId="63"/>
    <cellStyle name="40% - Accent4 3" xfId="64"/>
    <cellStyle name="40% - Accent5 2" xfId="65"/>
    <cellStyle name="40% - Accent5 2 2" xfId="66"/>
    <cellStyle name="40% - Accent5 2 3" xfId="67"/>
    <cellStyle name="40% - Accent5 2 4" xfId="68"/>
    <cellStyle name="40% - Accent5 3" xfId="69"/>
    <cellStyle name="40% - Accent6 2" xfId="70"/>
    <cellStyle name="40% - Accent6 2 2" xfId="71"/>
    <cellStyle name="40% - Accent6 2 3" xfId="72"/>
    <cellStyle name="40% - Accent6 2 4" xfId="73"/>
    <cellStyle name="40% - Accent6 3" xfId="74"/>
    <cellStyle name="60% - Accent1 2" xfId="75"/>
    <cellStyle name="60% - Accent1 2 2" xfId="76"/>
    <cellStyle name="60% - Accent2 2" xfId="77"/>
    <cellStyle name="60% - Accent2 2 2" xfId="78"/>
    <cellStyle name="60% - Accent3 2" xfId="79"/>
    <cellStyle name="60% - Accent3 2 2" xfId="80"/>
    <cellStyle name="60% - Accent4 2" xfId="81"/>
    <cellStyle name="60% - Accent4 2 2" xfId="82"/>
    <cellStyle name="60% - Accent5 2" xfId="83"/>
    <cellStyle name="60% - Accent5 2 2" xfId="84"/>
    <cellStyle name="60% - Accent6 2" xfId="85"/>
    <cellStyle name="60% - Accent6 2 2" xfId="86"/>
    <cellStyle name="Accent1 2" xfId="87"/>
    <cellStyle name="Accent1 2 2" xfId="88"/>
    <cellStyle name="Accent2 2" xfId="89"/>
    <cellStyle name="Accent2 2 2" xfId="90"/>
    <cellStyle name="Accent3 2" xfId="91"/>
    <cellStyle name="Accent3 2 2" xfId="92"/>
    <cellStyle name="Accent4 2" xfId="93"/>
    <cellStyle name="Accent4 2 2" xfId="94"/>
    <cellStyle name="Accent5 2" xfId="95"/>
    <cellStyle name="Accent5 2 2" xfId="96"/>
    <cellStyle name="Accent6 2" xfId="97"/>
    <cellStyle name="Accent6 2 2" xfId="98"/>
    <cellStyle name="Bad 2" xfId="99"/>
    <cellStyle name="Bad 2 2" xfId="100"/>
    <cellStyle name="Calculation 2" xfId="101"/>
    <cellStyle name="Calculation 2 2" xfId="102"/>
    <cellStyle name="Check Cell 2" xfId="103"/>
    <cellStyle name="Check Cell 2 2" xfId="104"/>
    <cellStyle name="Comma" xfId="1" builtinId="3"/>
    <cellStyle name="Comma [0] 2" xfId="105"/>
    <cellStyle name="Comma [0] 2 2" xfId="106"/>
    <cellStyle name="Comma [0] 2 2 2" xfId="107"/>
    <cellStyle name="Comma [0] 2 2 2 2" xfId="108"/>
    <cellStyle name="Comma [0] 2 2 3" xfId="109"/>
    <cellStyle name="Comma [0] 2 3" xfId="110"/>
    <cellStyle name="Comma [0] 2 3 2" xfId="111"/>
    <cellStyle name="Comma [0] 2 4" xfId="112"/>
    <cellStyle name="Comma 10" xfId="113"/>
    <cellStyle name="Comma 10 2" xfId="114"/>
    <cellStyle name="Comma 10 2 2" xfId="115"/>
    <cellStyle name="Comma 10 2 2 2" xfId="116"/>
    <cellStyle name="Comma 10 2 3" xfId="117"/>
    <cellStyle name="Comma 10 2 4" xfId="118"/>
    <cellStyle name="Comma 10 3" xfId="119"/>
    <cellStyle name="Comma 10 3 2" xfId="120"/>
    <cellStyle name="Comma 10 3 2 2" xfId="121"/>
    <cellStyle name="Comma 10 3 2 3" xfId="122"/>
    <cellStyle name="Comma 10 3 3" xfId="123"/>
    <cellStyle name="Comma 10 3 4" xfId="124"/>
    <cellStyle name="Comma 10 4" xfId="125"/>
    <cellStyle name="Comma 10 4 2" xfId="126"/>
    <cellStyle name="Comma 10 4 2 2" xfId="127"/>
    <cellStyle name="Comma 10 4 2 3" xfId="128"/>
    <cellStyle name="Comma 10 4 3" xfId="129"/>
    <cellStyle name="Comma 10 4 4" xfId="130"/>
    <cellStyle name="Comma 10 5" xfId="131"/>
    <cellStyle name="Comma 10 5 2" xfId="132"/>
    <cellStyle name="Comma 10 6" xfId="133"/>
    <cellStyle name="Comma 11" xfId="134"/>
    <cellStyle name="Comma 11 2" xfId="135"/>
    <cellStyle name="Comma 11 2 2" xfId="136"/>
    <cellStyle name="Comma 11 2 2 2" xfId="137"/>
    <cellStyle name="Comma 11 2 2 3" xfId="138"/>
    <cellStyle name="Comma 11 2 3" xfId="139"/>
    <cellStyle name="Comma 11 2 4" xfId="140"/>
    <cellStyle name="Comma 11 3" xfId="141"/>
    <cellStyle name="Comma 11 3 2" xfId="142"/>
    <cellStyle name="Comma 11 3 2 2" xfId="143"/>
    <cellStyle name="Comma 11 3 2 3" xfId="144"/>
    <cellStyle name="Comma 11 3 3" xfId="145"/>
    <cellStyle name="Comma 11 3 4" xfId="146"/>
    <cellStyle name="Comma 11 4" xfId="147"/>
    <cellStyle name="Comma 11 4 2" xfId="148"/>
    <cellStyle name="Comma 11 4 2 2" xfId="149"/>
    <cellStyle name="Comma 11 4 2 3" xfId="150"/>
    <cellStyle name="Comma 11 4 3" xfId="151"/>
    <cellStyle name="Comma 11 4 4" xfId="152"/>
    <cellStyle name="Comma 11 5" xfId="153"/>
    <cellStyle name="Comma 11 5 2" xfId="154"/>
    <cellStyle name="Comma 11 5 3" xfId="155"/>
    <cellStyle name="Comma 11 6" xfId="156"/>
    <cellStyle name="Comma 11 7" xfId="157"/>
    <cellStyle name="Comma 11 8" xfId="158"/>
    <cellStyle name="Comma 12" xfId="159"/>
    <cellStyle name="Comma 12 2" xfId="160"/>
    <cellStyle name="Comma 12 2 2" xfId="161"/>
    <cellStyle name="Comma 12 2 2 2" xfId="162"/>
    <cellStyle name="Comma 12 2 2 3" xfId="163"/>
    <cellStyle name="Comma 12 2 3" xfId="164"/>
    <cellStyle name="Comma 12 2 4" xfId="165"/>
    <cellStyle name="Comma 12 3" xfId="166"/>
    <cellStyle name="Comma 12 3 2" xfId="167"/>
    <cellStyle name="Comma 12 3 3" xfId="168"/>
    <cellStyle name="Comma 12 4" xfId="169"/>
    <cellStyle name="Comma 12 5" xfId="170"/>
    <cellStyle name="Comma 13" xfId="171"/>
    <cellStyle name="Comma 13 2" xfId="172"/>
    <cellStyle name="Comma 13 2 2" xfId="173"/>
    <cellStyle name="Comma 13 2 2 2" xfId="174"/>
    <cellStyle name="Comma 13 2 2 3" xfId="175"/>
    <cellStyle name="Comma 13 2 3" xfId="176"/>
    <cellStyle name="Comma 13 2 4" xfId="177"/>
    <cellStyle name="Comma 13 3" xfId="178"/>
    <cellStyle name="Comma 13 3 2" xfId="179"/>
    <cellStyle name="Comma 13 3 3" xfId="180"/>
    <cellStyle name="Comma 13 4" xfId="181"/>
    <cellStyle name="Comma 13 5" xfId="182"/>
    <cellStyle name="Comma 14" xfId="183"/>
    <cellStyle name="Comma 14 2" xfId="184"/>
    <cellStyle name="Comma 14 2 2" xfId="185"/>
    <cellStyle name="Comma 14 2 3" xfId="186"/>
    <cellStyle name="Comma 14 3" xfId="187"/>
    <cellStyle name="Comma 14 4" xfId="188"/>
    <cellStyle name="Comma 15" xfId="189"/>
    <cellStyle name="Comma 15 2" xfId="190"/>
    <cellStyle name="Comma 15 2 2" xfId="191"/>
    <cellStyle name="Comma 15 2 3" xfId="192"/>
    <cellStyle name="Comma 15 3" xfId="193"/>
    <cellStyle name="Comma 15 4" xfId="194"/>
    <cellStyle name="Comma 16" xfId="195"/>
    <cellStyle name="Comma 16 2" xfId="196"/>
    <cellStyle name="Comma 16 2 2" xfId="197"/>
    <cellStyle name="Comma 16 2 3" xfId="198"/>
    <cellStyle name="Comma 16 3" xfId="199"/>
    <cellStyle name="Comma 16 4" xfId="200"/>
    <cellStyle name="Comma 17" xfId="201"/>
    <cellStyle name="Comma 17 2" xfId="202"/>
    <cellStyle name="Comma 17 2 2" xfId="203"/>
    <cellStyle name="Comma 17 2 3" xfId="204"/>
    <cellStyle name="Comma 17 3" xfId="205"/>
    <cellStyle name="Comma 17 4" xfId="206"/>
    <cellStyle name="Comma 18" xfId="207"/>
    <cellStyle name="Comma 18 2" xfId="208"/>
    <cellStyle name="Comma 18 2 2" xfId="209"/>
    <cellStyle name="Comma 18 2 3" xfId="210"/>
    <cellStyle name="Comma 18 3" xfId="211"/>
    <cellStyle name="Comma 18 4" xfId="212"/>
    <cellStyle name="Comma 19" xfId="213"/>
    <cellStyle name="Comma 19 2" xfId="214"/>
    <cellStyle name="Comma 19 2 2" xfId="215"/>
    <cellStyle name="Comma 19 2 3" xfId="216"/>
    <cellStyle name="Comma 19 3" xfId="217"/>
    <cellStyle name="Comma 19 4" xfId="218"/>
    <cellStyle name="Comma 2" xfId="219"/>
    <cellStyle name="Comma 2 2" xfId="220"/>
    <cellStyle name="Comma 2 2 2" xfId="221"/>
    <cellStyle name="Comma 2 2 2 2" xfId="11"/>
    <cellStyle name="Comma 2 2 2 2 2" xfId="222"/>
    <cellStyle name="Comma 2 2 2 3" xfId="223"/>
    <cellStyle name="Comma 2 2 2 4" xfId="224"/>
    <cellStyle name="Comma 2 2 3" xfId="225"/>
    <cellStyle name="Comma 2 2 3 2" xfId="226"/>
    <cellStyle name="Comma 2 2 3 2 2" xfId="227"/>
    <cellStyle name="Comma 2 2 3 3" xfId="228"/>
    <cellStyle name="Comma 2 2 4" xfId="229"/>
    <cellStyle name="Comma 2 2 4 2" xfId="230"/>
    <cellStyle name="Comma 2 2 5" xfId="231"/>
    <cellStyle name="Comma 2 2 5 2" xfId="232"/>
    <cellStyle name="Comma 2 2 5 3" xfId="233"/>
    <cellStyle name="Comma 2 2 6" xfId="234"/>
    <cellStyle name="Comma 2 2 6 2" xfId="235"/>
    <cellStyle name="Comma 2 2 7" xfId="236"/>
    <cellStyle name="Comma 2 2 8" xfId="237"/>
    <cellStyle name="Comma 2 3" xfId="238"/>
    <cellStyle name="Comma 2 3 2" xfId="239"/>
    <cellStyle name="Comma 2 3 2 2" xfId="240"/>
    <cellStyle name="Comma 2 3 2 3" xfId="241"/>
    <cellStyle name="Comma 2 3 3" xfId="242"/>
    <cellStyle name="Comma 2 3 3 2" xfId="243"/>
    <cellStyle name="Comma 2 3 3 3" xfId="244"/>
    <cellStyle name="Comma 2 3 3 4" xfId="245"/>
    <cellStyle name="Comma 2 3 4" xfId="246"/>
    <cellStyle name="Comma 2 3 4 2" xfId="247"/>
    <cellStyle name="Comma 2 3 5" xfId="248"/>
    <cellStyle name="Comma 2 3 6" xfId="249"/>
    <cellStyle name="Comma 2 4" xfId="250"/>
    <cellStyle name="Comma 2 4 2" xfId="251"/>
    <cellStyle name="Comma 2 4 2 2" xfId="252"/>
    <cellStyle name="Comma 2 4 3" xfId="253"/>
    <cellStyle name="Comma 2 4 3 2" xfId="254"/>
    <cellStyle name="Comma 2 4 3 3" xfId="255"/>
    <cellStyle name="Comma 2 4 4" xfId="256"/>
    <cellStyle name="Comma 2 4 5" xfId="257"/>
    <cellStyle name="Comma 2 4 6" xfId="258"/>
    <cellStyle name="Comma 2 5" xfId="259"/>
    <cellStyle name="Comma 2 5 2" xfId="260"/>
    <cellStyle name="Comma 2 5 2 2" xfId="261"/>
    <cellStyle name="Comma 2 5 3" xfId="262"/>
    <cellStyle name="Comma 2 5 4" xfId="263"/>
    <cellStyle name="Comma 2 6" xfId="264"/>
    <cellStyle name="Comma 2 6 2" xfId="265"/>
    <cellStyle name="Comma 2 7" xfId="266"/>
    <cellStyle name="Comma 2 7 2" xfId="267"/>
    <cellStyle name="Comma 2 8" xfId="268"/>
    <cellStyle name="Comma 20" xfId="269"/>
    <cellStyle name="Comma 20 2" xfId="270"/>
    <cellStyle name="Comma 20 2 2" xfId="271"/>
    <cellStyle name="Comma 20 2 3" xfId="272"/>
    <cellStyle name="Comma 20 3" xfId="273"/>
    <cellStyle name="Comma 20 4" xfId="274"/>
    <cellStyle name="Comma 21" xfId="275"/>
    <cellStyle name="Comma 21 2" xfId="276"/>
    <cellStyle name="Comma 21 2 2" xfId="277"/>
    <cellStyle name="Comma 21 2 3" xfId="278"/>
    <cellStyle name="Comma 21 3" xfId="279"/>
    <cellStyle name="Comma 21 4" xfId="280"/>
    <cellStyle name="Comma 22" xfId="281"/>
    <cellStyle name="Comma 22 2" xfId="282"/>
    <cellStyle name="Comma 22 2 2" xfId="283"/>
    <cellStyle name="Comma 22 2 3" xfId="284"/>
    <cellStyle name="Comma 22 3" xfId="285"/>
    <cellStyle name="Comma 22 4" xfId="286"/>
    <cellStyle name="Comma 23" xfId="287"/>
    <cellStyle name="Comma 23 2" xfId="288"/>
    <cellStyle name="Comma 23 2 2" xfId="289"/>
    <cellStyle name="Comma 23 2 3" xfId="290"/>
    <cellStyle name="Comma 23 3" xfId="291"/>
    <cellStyle name="Comma 23 4" xfId="292"/>
    <cellStyle name="Comma 24" xfId="293"/>
    <cellStyle name="Comma 24 2" xfId="294"/>
    <cellStyle name="Comma 24 2 2" xfId="295"/>
    <cellStyle name="Comma 24 3" xfId="296"/>
    <cellStyle name="Comma 25" xfId="297"/>
    <cellStyle name="Comma 25 2" xfId="298"/>
    <cellStyle name="Comma 25 2 2" xfId="299"/>
    <cellStyle name="Comma 25 3" xfId="300"/>
    <cellStyle name="Comma 26" xfId="301"/>
    <cellStyle name="Comma 26 2" xfId="302"/>
    <cellStyle name="Comma 26 3" xfId="303"/>
    <cellStyle name="Comma 27" xfId="304"/>
    <cellStyle name="Comma 27 2" xfId="305"/>
    <cellStyle name="Comma 27 3" xfId="306"/>
    <cellStyle name="Comma 28" xfId="307"/>
    <cellStyle name="Comma 28 2" xfId="308"/>
    <cellStyle name="Comma 28 3" xfId="309"/>
    <cellStyle name="Comma 29" xfId="310"/>
    <cellStyle name="Comma 29 2" xfId="311"/>
    <cellStyle name="Comma 29 3" xfId="312"/>
    <cellStyle name="Comma 3" xfId="313"/>
    <cellStyle name="Comma 3 2" xfId="314"/>
    <cellStyle name="Comma 3 2 2" xfId="315"/>
    <cellStyle name="Comma 3 2 2 2" xfId="316"/>
    <cellStyle name="Comma 3 2 2 2 2" xfId="317"/>
    <cellStyle name="Comma 3 2 2 3" xfId="318"/>
    <cellStyle name="Comma 3 2 2 4" xfId="319"/>
    <cellStyle name="Comma 3 2 3" xfId="320"/>
    <cellStyle name="Comma 3 2 3 2" xfId="321"/>
    <cellStyle name="Comma 3 2 3 2 2" xfId="322"/>
    <cellStyle name="Comma 3 2 3 3" xfId="323"/>
    <cellStyle name="Comma 3 2 4" xfId="324"/>
    <cellStyle name="Comma 3 2 4 2" xfId="325"/>
    <cellStyle name="Comma 3 2 5" xfId="326"/>
    <cellStyle name="Comma 3 2 5 2" xfId="327"/>
    <cellStyle name="Comma 3 2 6" xfId="328"/>
    <cellStyle name="Comma 3 2 7" xfId="329"/>
    <cellStyle name="Comma 3 3" xfId="330"/>
    <cellStyle name="Comma 3 3 2" xfId="331"/>
    <cellStyle name="Comma 3 3 2 2" xfId="332"/>
    <cellStyle name="Comma 3 3 2 3" xfId="333"/>
    <cellStyle name="Comma 3 3 3" xfId="334"/>
    <cellStyle name="Comma 3 4" xfId="335"/>
    <cellStyle name="Comma 3 4 2" xfId="336"/>
    <cellStyle name="Comma 3 4 2 2" xfId="337"/>
    <cellStyle name="Comma 3 4 2 3" xfId="338"/>
    <cellStyle name="Comma 3 4 3" xfId="339"/>
    <cellStyle name="Comma 3 4 4" xfId="340"/>
    <cellStyle name="Comma 3 5" xfId="341"/>
    <cellStyle name="Comma 3 5 2" xfId="342"/>
    <cellStyle name="Comma 3 5 3" xfId="343"/>
    <cellStyle name="Comma 3 6" xfId="344"/>
    <cellStyle name="Comma 3 6 2" xfId="345"/>
    <cellStyle name="Comma 3 7" xfId="346"/>
    <cellStyle name="Comma 3 8" xfId="347"/>
    <cellStyle name="Comma 30" xfId="348"/>
    <cellStyle name="Comma 30 2" xfId="349"/>
    <cellStyle name="Comma 30 3" xfId="350"/>
    <cellStyle name="Comma 31" xfId="351"/>
    <cellStyle name="Comma 31 2" xfId="352"/>
    <cellStyle name="Comma 31 3" xfId="353"/>
    <cellStyle name="Comma 32" xfId="354"/>
    <cellStyle name="Comma 32 2" xfId="355"/>
    <cellStyle name="Comma 32 3" xfId="356"/>
    <cellStyle name="Comma 33" xfId="357"/>
    <cellStyle name="Comma 33 2" xfId="358"/>
    <cellStyle name="Comma 33 3" xfId="359"/>
    <cellStyle name="Comma 34" xfId="360"/>
    <cellStyle name="Comma 34 2" xfId="361"/>
    <cellStyle name="Comma 34 3" xfId="362"/>
    <cellStyle name="Comma 35" xfId="363"/>
    <cellStyle name="Comma 35 2" xfId="364"/>
    <cellStyle name="Comma 36" xfId="365"/>
    <cellStyle name="Comma 37" xfId="366"/>
    <cellStyle name="Comma 38" xfId="367"/>
    <cellStyle name="Comma 39" xfId="368"/>
    <cellStyle name="Comma 4" xfId="369"/>
    <cellStyle name="Comma 4 10" xfId="370"/>
    <cellStyle name="Comma 4 2" xfId="371"/>
    <cellStyle name="Comma 4 2 2" xfId="372"/>
    <cellStyle name="Comma 4 2 2 2" xfId="373"/>
    <cellStyle name="Comma 4 2 2 2 2" xfId="374"/>
    <cellStyle name="Comma 4 2 2 3" xfId="375"/>
    <cellStyle name="Comma 4 2 3" xfId="376"/>
    <cellStyle name="Comma 4 2 3 2" xfId="377"/>
    <cellStyle name="Comma 4 2 3 2 2" xfId="378"/>
    <cellStyle name="Comma 4 2 3 3" xfId="379"/>
    <cellStyle name="Comma 4 2 4" xfId="380"/>
    <cellStyle name="Comma 4 2 4 2" xfId="381"/>
    <cellStyle name="Comma 4 2 5" xfId="382"/>
    <cellStyle name="Comma 4 2 6" xfId="383"/>
    <cellStyle name="Comma 4 3" xfId="384"/>
    <cellStyle name="Comma 4 3 2" xfId="385"/>
    <cellStyle name="Comma 4 3 2 2" xfId="386"/>
    <cellStyle name="Comma 4 3 3" xfId="387"/>
    <cellStyle name="Comma 4 3 4" xfId="388"/>
    <cellStyle name="Comma 4 4" xfId="389"/>
    <cellStyle name="Comma 4 4 2" xfId="390"/>
    <cellStyle name="Comma 4 4 2 2" xfId="391"/>
    <cellStyle name="Comma 4 4 3" xfId="392"/>
    <cellStyle name="Comma 4 5" xfId="393"/>
    <cellStyle name="Comma 4 5 2" xfId="394"/>
    <cellStyle name="Comma 4 5 3" xfId="395"/>
    <cellStyle name="Comma 4 6" xfId="396"/>
    <cellStyle name="Comma 4 6 2" xfId="397"/>
    <cellStyle name="Comma 4 7" xfId="398"/>
    <cellStyle name="Comma 4 7 2" xfId="399"/>
    <cellStyle name="Comma 4 7 3" xfId="400"/>
    <cellStyle name="Comma 4 8" xfId="401"/>
    <cellStyle name="Comma 4 9" xfId="402"/>
    <cellStyle name="Comma 40" xfId="403"/>
    <cellStyle name="Comma 41" xfId="404"/>
    <cellStyle name="Comma 42" xfId="1413"/>
    <cellStyle name="Comma 5" xfId="405"/>
    <cellStyle name="Comma 5 2" xfId="406"/>
    <cellStyle name="Comma 5 2 2" xfId="407"/>
    <cellStyle name="Comma 5 2 2 2" xfId="408"/>
    <cellStyle name="Comma 5 2 2 3" xfId="409"/>
    <cellStyle name="Comma 5 2 3" xfId="410"/>
    <cellStyle name="Comma 5 2 4" xfId="411"/>
    <cellStyle name="Comma 5 3" xfId="412"/>
    <cellStyle name="Comma 5 3 2" xfId="413"/>
    <cellStyle name="Comma 5 3 2 2" xfId="414"/>
    <cellStyle name="Comma 5 3 3" xfId="415"/>
    <cellStyle name="Comma 5 4" xfId="416"/>
    <cellStyle name="Comma 5 4 2" xfId="417"/>
    <cellStyle name="Comma 5 5" xfId="418"/>
    <cellStyle name="Comma 5 5 2" xfId="419"/>
    <cellStyle name="Comma 5 5 3" xfId="420"/>
    <cellStyle name="Comma 5 6" xfId="421"/>
    <cellStyle name="Comma 5 7" xfId="422"/>
    <cellStyle name="Comma 5 8" xfId="423"/>
    <cellStyle name="Comma 5 9" xfId="424"/>
    <cellStyle name="Comma 6" xfId="425"/>
    <cellStyle name="Comma 6 2" xfId="426"/>
    <cellStyle name="Comma 6 2 2" xfId="427"/>
    <cellStyle name="Comma 6 2 2 2" xfId="428"/>
    <cellStyle name="Comma 6 2 3" xfId="429"/>
    <cellStyle name="Comma 6 3" xfId="430"/>
    <cellStyle name="Comma 6 3 2" xfId="431"/>
    <cellStyle name="Comma 6 3 2 2" xfId="432"/>
    <cellStyle name="Comma 6 3 3" xfId="433"/>
    <cellStyle name="Comma 6 3 4" xfId="434"/>
    <cellStyle name="Comma 6 4" xfId="435"/>
    <cellStyle name="Comma 6 4 2" xfId="436"/>
    <cellStyle name="Comma 6 5" xfId="437"/>
    <cellStyle name="Comma 6 5 2" xfId="438"/>
    <cellStyle name="Comma 6 5 3" xfId="439"/>
    <cellStyle name="Comma 6 6" xfId="440"/>
    <cellStyle name="Comma 6 6 2" xfId="441"/>
    <cellStyle name="Comma 6 7" xfId="442"/>
    <cellStyle name="Comma 6 8" xfId="443"/>
    <cellStyle name="Comma 7" xfId="444"/>
    <cellStyle name="Comma 7 2" xfId="445"/>
    <cellStyle name="Comma 7 2 2" xfId="446"/>
    <cellStyle name="Comma 7 2 2 2" xfId="447"/>
    <cellStyle name="Comma 7 2 3" xfId="448"/>
    <cellStyle name="Comma 7 3" xfId="449"/>
    <cellStyle name="Comma 7 3 2" xfId="450"/>
    <cellStyle name="Comma 7 3 2 2" xfId="451"/>
    <cellStyle name="Comma 7 3 3" xfId="452"/>
    <cellStyle name="Comma 7 4" xfId="453"/>
    <cellStyle name="Comma 7 4 2" xfId="454"/>
    <cellStyle name="Comma 7 5" xfId="455"/>
    <cellStyle name="Comma 7 5 2" xfId="456"/>
    <cellStyle name="Comma 7 6" xfId="457"/>
    <cellStyle name="Comma 8" xfId="458"/>
    <cellStyle name="Comma 8 2" xfId="459"/>
    <cellStyle name="Comma 8 2 2" xfId="460"/>
    <cellStyle name="Comma 8 2 2 2" xfId="461"/>
    <cellStyle name="Comma 8 2 3" xfId="462"/>
    <cellStyle name="Comma 8 3" xfId="463"/>
    <cellStyle name="Comma 8 3 2" xfId="464"/>
    <cellStyle name="Comma 8 3 2 2" xfId="465"/>
    <cellStyle name="Comma 8 3 3" xfId="466"/>
    <cellStyle name="Comma 8 3 4" xfId="467"/>
    <cellStyle name="Comma 8 4" xfId="468"/>
    <cellStyle name="Comma 8 4 2" xfId="469"/>
    <cellStyle name="Comma 8 5" xfId="470"/>
    <cellStyle name="Comma 8 5 2" xfId="471"/>
    <cellStyle name="Comma 8 6" xfId="472"/>
    <cellStyle name="Comma 8 7" xfId="473"/>
    <cellStyle name="Comma 8 8" xfId="474"/>
    <cellStyle name="Comma 9" xfId="475"/>
    <cellStyle name="Comma 9 2" xfId="476"/>
    <cellStyle name="Comma 9 2 2" xfId="477"/>
    <cellStyle name="Comma 9 2 2 2" xfId="478"/>
    <cellStyle name="Comma 9 2 2 2 2" xfId="479"/>
    <cellStyle name="Comma 9 2 2 2 3" xfId="480"/>
    <cellStyle name="Comma 9 2 2 3" xfId="481"/>
    <cellStyle name="Comma 9 2 2 4" xfId="482"/>
    <cellStyle name="Comma 9 2 3" xfId="483"/>
    <cellStyle name="Comma 9 2 3 2" xfId="484"/>
    <cellStyle name="Comma 9 2 3 3" xfId="485"/>
    <cellStyle name="Comma 9 2 4" xfId="486"/>
    <cellStyle name="Comma 9 2 5" xfId="487"/>
    <cellStyle name="Comma 9 3" xfId="488"/>
    <cellStyle name="Comma 9 3 2" xfId="489"/>
    <cellStyle name="Comma 9 3 2 2" xfId="490"/>
    <cellStyle name="Comma 9 3 2 3" xfId="491"/>
    <cellStyle name="Comma 9 3 3" xfId="492"/>
    <cellStyle name="Comma 9 3 4" xfId="493"/>
    <cellStyle name="Comma 9 3 5" xfId="494"/>
    <cellStyle name="Comma 9 4" xfId="495"/>
    <cellStyle name="Comma 9 4 2" xfId="496"/>
    <cellStyle name="Comma 9 4 2 2" xfId="497"/>
    <cellStyle name="Comma 9 4 2 3" xfId="498"/>
    <cellStyle name="Comma 9 4 3" xfId="499"/>
    <cellStyle name="Comma 9 4 4" xfId="500"/>
    <cellStyle name="Comma 9 5" xfId="501"/>
    <cellStyle name="Comma 9 5 2" xfId="502"/>
    <cellStyle name="Comma 9 5 3" xfId="503"/>
    <cellStyle name="Comma 9 6" xfId="504"/>
    <cellStyle name="Comma 9 7" xfId="505"/>
    <cellStyle name="Comma 9 8" xfId="506"/>
    <cellStyle name="Comma0" xfId="507"/>
    <cellStyle name="Comma0 2" xfId="508"/>
    <cellStyle name="Comma0 2 2" xfId="509"/>
    <cellStyle name="Comma0 3" xfId="510"/>
    <cellStyle name="Currency" xfId="2" builtinId="4"/>
    <cellStyle name="Currency [0] 2" xfId="511"/>
    <cellStyle name="Currency [0] 2 2" xfId="512"/>
    <cellStyle name="Currency [0] 2 2 2" xfId="513"/>
    <cellStyle name="Currency [0] 2 2 2 2" xfId="514"/>
    <cellStyle name="Currency [0] 2 2 3" xfId="515"/>
    <cellStyle name="Currency [0] 2 3" xfId="516"/>
    <cellStyle name="Currency [0] 2 3 2" xfId="517"/>
    <cellStyle name="Currency [0] 2 4" xfId="518"/>
    <cellStyle name="Currency 10" xfId="519"/>
    <cellStyle name="Currency 10 2" xfId="520"/>
    <cellStyle name="Currency 10 3" xfId="521"/>
    <cellStyle name="Currency 11" xfId="522"/>
    <cellStyle name="Currency 11 2" xfId="523"/>
    <cellStyle name="Currency 11 2 2" xfId="524"/>
    <cellStyle name="Currency 11 2 2 2" xfId="525"/>
    <cellStyle name="Currency 11 2 2 3" xfId="526"/>
    <cellStyle name="Currency 11 2 3" xfId="527"/>
    <cellStyle name="Currency 11 2 4" xfId="528"/>
    <cellStyle name="Currency 11 3" xfId="529"/>
    <cellStyle name="Currency 11 3 2" xfId="530"/>
    <cellStyle name="Currency 11 3 3" xfId="531"/>
    <cellStyle name="Currency 11 4" xfId="532"/>
    <cellStyle name="Currency 11 5" xfId="533"/>
    <cellStyle name="Currency 12" xfId="534"/>
    <cellStyle name="Currency 12 2" xfId="535"/>
    <cellStyle name="Currency 12 2 2" xfId="536"/>
    <cellStyle name="Currency 12 2 2 2" xfId="537"/>
    <cellStyle name="Currency 12 2 2 3" xfId="538"/>
    <cellStyle name="Currency 12 2 3" xfId="539"/>
    <cellStyle name="Currency 12 2 4" xfId="540"/>
    <cellStyle name="Currency 12 3" xfId="541"/>
    <cellStyle name="Currency 12 3 2" xfId="542"/>
    <cellStyle name="Currency 12 3 3" xfId="543"/>
    <cellStyle name="Currency 12 4" xfId="544"/>
    <cellStyle name="Currency 12 5" xfId="545"/>
    <cellStyle name="Currency 12 6" xfId="546"/>
    <cellStyle name="Currency 13" xfId="547"/>
    <cellStyle name="Currency 13 2" xfId="548"/>
    <cellStyle name="Currency 13 2 2" xfId="549"/>
    <cellStyle name="Currency 13 2 2 2" xfId="550"/>
    <cellStyle name="Currency 13 2 2 3" xfId="551"/>
    <cellStyle name="Currency 13 2 3" xfId="552"/>
    <cellStyle name="Currency 13 2 4" xfId="553"/>
    <cellStyle name="Currency 13 3" xfId="554"/>
    <cellStyle name="Currency 13 3 2" xfId="555"/>
    <cellStyle name="Currency 13 3 3" xfId="556"/>
    <cellStyle name="Currency 13 4" xfId="557"/>
    <cellStyle name="Currency 13 5" xfId="558"/>
    <cellStyle name="Currency 14" xfId="559"/>
    <cellStyle name="Currency 14 2" xfId="560"/>
    <cellStyle name="Currency 14 2 2" xfId="561"/>
    <cellStyle name="Currency 14 2 3" xfId="562"/>
    <cellStyle name="Currency 14 3" xfId="563"/>
    <cellStyle name="Currency 14 4" xfId="564"/>
    <cellStyle name="Currency 15" xfId="565"/>
    <cellStyle name="Currency 15 2" xfId="566"/>
    <cellStyle name="Currency 15 2 2" xfId="567"/>
    <cellStyle name="Currency 15 2 3" xfId="568"/>
    <cellStyle name="Currency 15 3" xfId="569"/>
    <cellStyle name="Currency 15 4" xfId="570"/>
    <cellStyle name="Currency 16" xfId="571"/>
    <cellStyle name="Currency 16 2" xfId="572"/>
    <cellStyle name="Currency 16 2 2" xfId="573"/>
    <cellStyle name="Currency 16 2 3" xfId="574"/>
    <cellStyle name="Currency 16 3" xfId="575"/>
    <cellStyle name="Currency 16 4" xfId="576"/>
    <cellStyle name="Currency 17" xfId="577"/>
    <cellStyle name="Currency 17 2" xfId="578"/>
    <cellStyle name="Currency 17 2 2" xfId="579"/>
    <cellStyle name="Currency 17 2 3" xfId="580"/>
    <cellStyle name="Currency 17 3" xfId="581"/>
    <cellStyle name="Currency 17 4" xfId="582"/>
    <cellStyle name="Currency 18" xfId="583"/>
    <cellStyle name="Currency 18 2" xfId="584"/>
    <cellStyle name="Currency 18 2 2" xfId="585"/>
    <cellStyle name="Currency 18 2 3" xfId="586"/>
    <cellStyle name="Currency 18 3" xfId="587"/>
    <cellStyle name="Currency 18 4" xfId="588"/>
    <cellStyle name="Currency 19" xfId="589"/>
    <cellStyle name="Currency 19 2" xfId="590"/>
    <cellStyle name="Currency 19 2 2" xfId="591"/>
    <cellStyle name="Currency 19 2 3" xfId="592"/>
    <cellStyle name="Currency 19 3" xfId="593"/>
    <cellStyle name="Currency 19 4" xfId="594"/>
    <cellStyle name="Currency 2" xfId="595"/>
    <cellStyle name="Currency 2 2" xfId="596"/>
    <cellStyle name="Currency 2 2 2" xfId="597"/>
    <cellStyle name="Currency 2 2 2 2" xfId="14"/>
    <cellStyle name="Currency 2 2 2 2 2" xfId="598"/>
    <cellStyle name="Currency 2 2 2 3" xfId="599"/>
    <cellStyle name="Currency 2 2 3" xfId="600"/>
    <cellStyle name="Currency 2 2 3 2" xfId="601"/>
    <cellStyle name="Currency 2 2 3 2 2" xfId="602"/>
    <cellStyle name="Currency 2 2 3 3" xfId="603"/>
    <cellStyle name="Currency 2 2 4" xfId="604"/>
    <cellStyle name="Currency 2 2 4 2" xfId="605"/>
    <cellStyle name="Currency 2 2 5" xfId="606"/>
    <cellStyle name="Currency 2 2 5 2" xfId="607"/>
    <cellStyle name="Currency 2 2 5 3" xfId="608"/>
    <cellStyle name="Currency 2 2 6" xfId="609"/>
    <cellStyle name="Currency 2 2 6 2" xfId="610"/>
    <cellStyle name="Currency 2 2 7" xfId="611"/>
    <cellStyle name="Currency 2 2 8" xfId="612"/>
    <cellStyle name="Currency 2 3" xfId="613"/>
    <cellStyle name="Currency 2 3 2" xfId="614"/>
    <cellStyle name="Currency 2 3 2 2" xfId="615"/>
    <cellStyle name="Currency 2 3 2 2 2" xfId="616"/>
    <cellStyle name="Currency 2 3 2 3" xfId="617"/>
    <cellStyle name="Currency 2 3 2 4" xfId="618"/>
    <cellStyle name="Currency 2 3 3" xfId="619"/>
    <cellStyle name="Currency 2 3 3 2" xfId="620"/>
    <cellStyle name="Currency 2 3 3 2 2" xfId="621"/>
    <cellStyle name="Currency 2 3 3 3" xfId="622"/>
    <cellStyle name="Currency 2 3 4" xfId="623"/>
    <cellStyle name="Currency 2 3 4 2" xfId="624"/>
    <cellStyle name="Currency 2 3 5" xfId="625"/>
    <cellStyle name="Currency 2 4" xfId="626"/>
    <cellStyle name="Currency 2 4 2" xfId="627"/>
    <cellStyle name="Currency 2 4 2 2" xfId="628"/>
    <cellStyle name="Currency 2 4 3" xfId="629"/>
    <cellStyle name="Currency 2 5" xfId="630"/>
    <cellStyle name="Currency 2 5 2" xfId="631"/>
    <cellStyle name="Currency 20" xfId="632"/>
    <cellStyle name="Currency 20 2" xfId="633"/>
    <cellStyle name="Currency 20 2 2" xfId="634"/>
    <cellStyle name="Currency 20 2 3" xfId="635"/>
    <cellStyle name="Currency 20 3" xfId="636"/>
    <cellStyle name="Currency 20 4" xfId="637"/>
    <cellStyle name="Currency 21" xfId="638"/>
    <cellStyle name="Currency 21 2" xfId="639"/>
    <cellStyle name="Currency 21 2 2" xfId="640"/>
    <cellStyle name="Currency 21 2 3" xfId="641"/>
    <cellStyle name="Currency 21 3" xfId="642"/>
    <cellStyle name="Currency 21 4" xfId="643"/>
    <cellStyle name="Currency 22" xfId="644"/>
    <cellStyle name="Currency 22 2" xfId="645"/>
    <cellStyle name="Currency 22 2 2" xfId="646"/>
    <cellStyle name="Currency 22 2 3" xfId="647"/>
    <cellStyle name="Currency 22 3" xfId="648"/>
    <cellStyle name="Currency 22 4" xfId="649"/>
    <cellStyle name="Currency 23" xfId="650"/>
    <cellStyle name="Currency 23 2" xfId="651"/>
    <cellStyle name="Currency 23 2 2" xfId="652"/>
    <cellStyle name="Currency 23 2 3" xfId="653"/>
    <cellStyle name="Currency 23 3" xfId="654"/>
    <cellStyle name="Currency 23 4" xfId="655"/>
    <cellStyle name="Currency 24" xfId="656"/>
    <cellStyle name="Currency 24 2" xfId="657"/>
    <cellStyle name="Currency 24 2 2" xfId="658"/>
    <cellStyle name="Currency 24 3" xfId="659"/>
    <cellStyle name="Currency 25" xfId="660"/>
    <cellStyle name="Currency 25 2" xfId="661"/>
    <cellStyle name="Currency 25 2 2" xfId="662"/>
    <cellStyle name="Currency 25 3" xfId="663"/>
    <cellStyle name="Currency 26" xfId="664"/>
    <cellStyle name="Currency 26 2" xfId="665"/>
    <cellStyle name="Currency 26 3" xfId="666"/>
    <cellStyle name="Currency 27" xfId="667"/>
    <cellStyle name="Currency 27 2" xfId="668"/>
    <cellStyle name="Currency 28" xfId="669"/>
    <cellStyle name="Currency 28 2" xfId="670"/>
    <cellStyle name="Currency 29" xfId="671"/>
    <cellStyle name="Currency 29 2" xfId="672"/>
    <cellStyle name="Currency 3" xfId="673"/>
    <cellStyle name="Currency 3 2" xfId="674"/>
    <cellStyle name="Currency 3 2 2" xfId="675"/>
    <cellStyle name="Currency 3 2 2 2" xfId="676"/>
    <cellStyle name="Currency 3 2 2 2 2" xfId="677"/>
    <cellStyle name="Currency 3 2 2 3" xfId="678"/>
    <cellStyle name="Currency 3 2 2 4" xfId="679"/>
    <cellStyle name="Currency 3 2 3" xfId="680"/>
    <cellStyle name="Currency 3 2 3 2" xfId="681"/>
    <cellStyle name="Currency 3 2 3 2 2" xfId="682"/>
    <cellStyle name="Currency 3 2 3 3" xfId="683"/>
    <cellStyle name="Currency 3 2 4" xfId="684"/>
    <cellStyle name="Currency 3 2 4 2" xfId="685"/>
    <cellStyle name="Currency 3 2 5" xfId="686"/>
    <cellStyle name="Currency 3 2 6" xfId="687"/>
    <cellStyle name="Currency 3 3" xfId="688"/>
    <cellStyle name="Currency 3 3 2" xfId="689"/>
    <cellStyle name="Currency 3 3 2 2" xfId="690"/>
    <cellStyle name="Currency 3 3 2 3" xfId="691"/>
    <cellStyle name="Currency 3 3 3" xfId="692"/>
    <cellStyle name="Currency 3 3 4" xfId="693"/>
    <cellStyle name="Currency 3 3 5" xfId="694"/>
    <cellStyle name="Currency 3 4" xfId="695"/>
    <cellStyle name="Currency 3 4 2" xfId="696"/>
    <cellStyle name="Currency 3 4 2 2" xfId="697"/>
    <cellStyle name="Currency 3 4 2 3" xfId="698"/>
    <cellStyle name="Currency 3 4 3" xfId="699"/>
    <cellStyle name="Currency 3 4 4" xfId="700"/>
    <cellStyle name="Currency 3 4 5" xfId="701"/>
    <cellStyle name="Currency 3 5" xfId="702"/>
    <cellStyle name="Currency 3 5 2" xfId="703"/>
    <cellStyle name="Currency 3 5 3" xfId="704"/>
    <cellStyle name="Currency 3 6" xfId="705"/>
    <cellStyle name="Currency 3 6 2" xfId="706"/>
    <cellStyle name="Currency 3 7" xfId="707"/>
    <cellStyle name="Currency 3 7 2" xfId="708"/>
    <cellStyle name="Currency 3 8" xfId="709"/>
    <cellStyle name="Currency 3 9" xfId="710"/>
    <cellStyle name="Currency 30" xfId="711"/>
    <cellStyle name="Currency 31" xfId="712"/>
    <cellStyle name="Currency 32" xfId="713"/>
    <cellStyle name="Currency 33" xfId="1411"/>
    <cellStyle name="Currency 4" xfId="714"/>
    <cellStyle name="Currency 4 10" xfId="715"/>
    <cellStyle name="Currency 4 2" xfId="716"/>
    <cellStyle name="Currency 4 2 2" xfId="717"/>
    <cellStyle name="Currency 4 2 2 2" xfId="718"/>
    <cellStyle name="Currency 4 2 2 2 2" xfId="719"/>
    <cellStyle name="Currency 4 2 2 3" xfId="720"/>
    <cellStyle name="Currency 4 2 3" xfId="721"/>
    <cellStyle name="Currency 4 2 3 2" xfId="722"/>
    <cellStyle name="Currency 4 2 3 2 2" xfId="723"/>
    <cellStyle name="Currency 4 2 3 3" xfId="724"/>
    <cellStyle name="Currency 4 2 4" xfId="725"/>
    <cellStyle name="Currency 4 2 4 2" xfId="726"/>
    <cellStyle name="Currency 4 2 5" xfId="727"/>
    <cellStyle name="Currency 4 2 6" xfId="728"/>
    <cellStyle name="Currency 4 3" xfId="729"/>
    <cellStyle name="Currency 4 3 2" xfId="730"/>
    <cellStyle name="Currency 4 3 2 2" xfId="731"/>
    <cellStyle name="Currency 4 3 3" xfId="732"/>
    <cellStyle name="Currency 4 3 4" xfId="733"/>
    <cellStyle name="Currency 4 4" xfId="734"/>
    <cellStyle name="Currency 4 4 2" xfId="735"/>
    <cellStyle name="Currency 4 4 2 2" xfId="736"/>
    <cellStyle name="Currency 4 4 3" xfId="737"/>
    <cellStyle name="Currency 4 5" xfId="738"/>
    <cellStyle name="Currency 4 5 2" xfId="739"/>
    <cellStyle name="Currency 4 5 3" xfId="740"/>
    <cellStyle name="Currency 4 5 4" xfId="741"/>
    <cellStyle name="Currency 4 6" xfId="742"/>
    <cellStyle name="Currency 4 6 2" xfId="743"/>
    <cellStyle name="Currency 4 7" xfId="744"/>
    <cellStyle name="Currency 4 7 2" xfId="745"/>
    <cellStyle name="Currency 4 7 3" xfId="746"/>
    <cellStyle name="Currency 4 8" xfId="747"/>
    <cellStyle name="Currency 4 9" xfId="748"/>
    <cellStyle name="Currency 5" xfId="749"/>
    <cellStyle name="Currency 5 2" xfId="750"/>
    <cellStyle name="Currency 5 2 2" xfId="751"/>
    <cellStyle name="Currency 5 2 2 2" xfId="752"/>
    <cellStyle name="Currency 5 2 3" xfId="753"/>
    <cellStyle name="Currency 5 2 4" xfId="754"/>
    <cellStyle name="Currency 5 3" xfId="755"/>
    <cellStyle name="Currency 5 3 2" xfId="756"/>
    <cellStyle name="Currency 5 3 2 2" xfId="757"/>
    <cellStyle name="Currency 5 3 3" xfId="758"/>
    <cellStyle name="Currency 5 3 4" xfId="759"/>
    <cellStyle name="Currency 5 4" xfId="760"/>
    <cellStyle name="Currency 5 4 2" xfId="761"/>
    <cellStyle name="Currency 5 5" xfId="762"/>
    <cellStyle name="Currency 5 5 2" xfId="763"/>
    <cellStyle name="Currency 5 5 3" xfId="764"/>
    <cellStyle name="Currency 5 6" xfId="765"/>
    <cellStyle name="Currency 5 6 2" xfId="766"/>
    <cellStyle name="Currency 5 7" xfId="767"/>
    <cellStyle name="Currency 5 8" xfId="768"/>
    <cellStyle name="Currency 6" xfId="769"/>
    <cellStyle name="Currency 6 2" xfId="770"/>
    <cellStyle name="Currency 6 2 2" xfId="771"/>
    <cellStyle name="Currency 6 2 2 2" xfId="772"/>
    <cellStyle name="Currency 6 2 2 3" xfId="773"/>
    <cellStyle name="Currency 6 2 3" xfId="774"/>
    <cellStyle name="Currency 6 3" xfId="775"/>
    <cellStyle name="Currency 6 3 2" xfId="776"/>
    <cellStyle name="Currency 6 3 2 2" xfId="777"/>
    <cellStyle name="Currency 6 3 3" xfId="778"/>
    <cellStyle name="Currency 6 3 4" xfId="779"/>
    <cellStyle name="Currency 6 4" xfId="780"/>
    <cellStyle name="Currency 6 4 2" xfId="781"/>
    <cellStyle name="Currency 6 5" xfId="782"/>
    <cellStyle name="Currency 6 5 2" xfId="783"/>
    <cellStyle name="Currency 6 5 3" xfId="784"/>
    <cellStyle name="Currency 6 6" xfId="785"/>
    <cellStyle name="Currency 6 6 2" xfId="786"/>
    <cellStyle name="Currency 6 7" xfId="787"/>
    <cellStyle name="Currency 6 8" xfId="788"/>
    <cellStyle name="Currency 7" xfId="789"/>
    <cellStyle name="Currency 7 2" xfId="790"/>
    <cellStyle name="Currency 7 2 2" xfId="791"/>
    <cellStyle name="Currency 7 2 2 2" xfId="792"/>
    <cellStyle name="Currency 7 2 3" xfId="793"/>
    <cellStyle name="Currency 7 2 4" xfId="794"/>
    <cellStyle name="Currency 7 3" xfId="795"/>
    <cellStyle name="Currency 7 3 2" xfId="796"/>
    <cellStyle name="Currency 7 3 2 2" xfId="797"/>
    <cellStyle name="Currency 7 3 3" xfId="798"/>
    <cellStyle name="Currency 7 3 4" xfId="799"/>
    <cellStyle name="Currency 7 4" xfId="800"/>
    <cellStyle name="Currency 7 4 2" xfId="801"/>
    <cellStyle name="Currency 7 4 3" xfId="802"/>
    <cellStyle name="Currency 7 5" xfId="803"/>
    <cellStyle name="Currency 7 5 2" xfId="804"/>
    <cellStyle name="Currency 7 5 3" xfId="805"/>
    <cellStyle name="Currency 7 6" xfId="806"/>
    <cellStyle name="Currency 7 6 2" xfId="807"/>
    <cellStyle name="Currency 7 7" xfId="808"/>
    <cellStyle name="Currency 7 8" xfId="809"/>
    <cellStyle name="Currency 7 9" xfId="810"/>
    <cellStyle name="Currency 8" xfId="811"/>
    <cellStyle name="Currency 8 2" xfId="812"/>
    <cellStyle name="Currency 8 2 2" xfId="813"/>
    <cellStyle name="Currency 8 2 2 2" xfId="814"/>
    <cellStyle name="Currency 8 2 2 2 2" xfId="815"/>
    <cellStyle name="Currency 8 2 2 2 3" xfId="816"/>
    <cellStyle name="Currency 8 2 2 3" xfId="817"/>
    <cellStyle name="Currency 8 2 2 4" xfId="818"/>
    <cellStyle name="Currency 8 2 3" xfId="819"/>
    <cellStyle name="Currency 8 2 3 2" xfId="820"/>
    <cellStyle name="Currency 8 2 3 3" xfId="821"/>
    <cellStyle name="Currency 8 2 4" xfId="822"/>
    <cellStyle name="Currency 8 2 5" xfId="823"/>
    <cellStyle name="Currency 8 3" xfId="824"/>
    <cellStyle name="Currency 8 3 2" xfId="825"/>
    <cellStyle name="Currency 8 3 2 2" xfId="826"/>
    <cellStyle name="Currency 8 3 2 3" xfId="827"/>
    <cellStyle name="Currency 8 3 3" xfId="828"/>
    <cellStyle name="Currency 8 3 4" xfId="829"/>
    <cellStyle name="Currency 8 3 5" xfId="830"/>
    <cellStyle name="Currency 8 4" xfId="831"/>
    <cellStyle name="Currency 8 4 2" xfId="832"/>
    <cellStyle name="Currency 8 4 2 2" xfId="833"/>
    <cellStyle name="Currency 8 4 2 3" xfId="834"/>
    <cellStyle name="Currency 8 4 3" xfId="835"/>
    <cellStyle name="Currency 8 4 4" xfId="836"/>
    <cellStyle name="Currency 8 5" xfId="837"/>
    <cellStyle name="Currency 8 5 2" xfId="838"/>
    <cellStyle name="Currency 8 5 3" xfId="839"/>
    <cellStyle name="Currency 8 6" xfId="840"/>
    <cellStyle name="Currency 8 7" xfId="841"/>
    <cellStyle name="Currency 8 8" xfId="842"/>
    <cellStyle name="Currency 9" xfId="843"/>
    <cellStyle name="Currency 9 2" xfId="844"/>
    <cellStyle name="Currency 9 2 2" xfId="845"/>
    <cellStyle name="Currency 9 2 2 2" xfId="846"/>
    <cellStyle name="Currency 9 2 3" xfId="847"/>
    <cellStyle name="Currency 9 3" xfId="848"/>
    <cellStyle name="Currency 9 3 2" xfId="849"/>
    <cellStyle name="Currency 9 3 2 2" xfId="850"/>
    <cellStyle name="Currency 9 3 2 3" xfId="851"/>
    <cellStyle name="Currency 9 3 3" xfId="852"/>
    <cellStyle name="Currency 9 3 4" xfId="853"/>
    <cellStyle name="Currency 9 3 5" xfId="854"/>
    <cellStyle name="Currency 9 4" xfId="855"/>
    <cellStyle name="Currency 9 4 2" xfId="856"/>
    <cellStyle name="Currency 9 5" xfId="857"/>
    <cellStyle name="Currency 9 6" xfId="858"/>
    <cellStyle name="Currency0" xfId="859"/>
    <cellStyle name="Currency0 2" xfId="860"/>
    <cellStyle name="Currency0 2 2" xfId="861"/>
    <cellStyle name="Currency0 2 2 2" xfId="862"/>
    <cellStyle name="Currency0 2 3" xfId="863"/>
    <cellStyle name="Currency0 3" xfId="864"/>
    <cellStyle name="Currency0 3 2" xfId="865"/>
    <cellStyle name="Currency0 4" xfId="866"/>
    <cellStyle name="Date" xfId="867"/>
    <cellStyle name="Date 2" xfId="868"/>
    <cellStyle name="Date 2 2" xfId="869"/>
    <cellStyle name="Date 3" xfId="870"/>
    <cellStyle name="Explanatory Text 2" xfId="871"/>
    <cellStyle name="Explanatory Text 2 2" xfId="872"/>
    <cellStyle name="Fixed" xfId="873"/>
    <cellStyle name="Fixed 2" xfId="874"/>
    <cellStyle name="Fixed 2 2" xfId="875"/>
    <cellStyle name="Fixed 3" xfId="876"/>
    <cellStyle name="Followed Hyperlink" xfId="5" builtinId="9" hidden="1"/>
    <cellStyle name="Followed Hyperlink" xfId="7" builtinId="9" hidden="1"/>
    <cellStyle name="Followed Hyperlink" xfId="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Good 2" xfId="877"/>
    <cellStyle name="Good 2 2" xfId="878"/>
    <cellStyle name="Heading 1 2" xfId="879"/>
    <cellStyle name="Heading 1 2 2" xfId="880"/>
    <cellStyle name="Heading 2 2" xfId="881"/>
    <cellStyle name="Heading 2 2 2" xfId="882"/>
    <cellStyle name="Heading 3 2" xfId="883"/>
    <cellStyle name="Heading 3 2 2" xfId="884"/>
    <cellStyle name="Heading 4 2" xfId="885"/>
    <cellStyle name="Heading 4 2 2" xfId="886"/>
    <cellStyle name="Headline" xfId="887"/>
    <cellStyle name="Hyperlink" xfId="4" builtinId="8" hidden="1"/>
    <cellStyle name="Hyperlink" xfId="6" builtinId="8" hidden="1"/>
    <cellStyle name="Hyperlink" xfId="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Input 2" xfId="888"/>
    <cellStyle name="Input 2 2" xfId="889"/>
    <cellStyle name="Linked Cell 2" xfId="890"/>
    <cellStyle name="Linked Cell 2 2" xfId="891"/>
    <cellStyle name="Neutral 2" xfId="892"/>
    <cellStyle name="Neutral 2 2" xfId="893"/>
    <cellStyle name="Normal" xfId="0" builtinId="0"/>
    <cellStyle name="Normal 10" xfId="894"/>
    <cellStyle name="Normal 10 2" xfId="895"/>
    <cellStyle name="Normal 10 2 2" xfId="896"/>
    <cellStyle name="Normal 10 2 2 2" xfId="897"/>
    <cellStyle name="Normal 10 2 2 2 2" xfId="898"/>
    <cellStyle name="Normal 10 2 2 2 3" xfId="899"/>
    <cellStyle name="Normal 10 2 2 3" xfId="900"/>
    <cellStyle name="Normal 10 2 2 4" xfId="901"/>
    <cellStyle name="Normal 10 2 3" xfId="902"/>
    <cellStyle name="Normal 10 2 3 2" xfId="903"/>
    <cellStyle name="Normal 10 2 3 3" xfId="904"/>
    <cellStyle name="Normal 10 2 4" xfId="905"/>
    <cellStyle name="Normal 10 2 5" xfId="906"/>
    <cellStyle name="Normal 11" xfId="907"/>
    <cellStyle name="Normal 11 2" xfId="908"/>
    <cellStyle name="Normal 11 2 2" xfId="909"/>
    <cellStyle name="Normal 11 2 2 2" xfId="910"/>
    <cellStyle name="Normal 11 2 2 3" xfId="911"/>
    <cellStyle name="Normal 11 2 3" xfId="912"/>
    <cellStyle name="Normal 11 2 4" xfId="913"/>
    <cellStyle name="Normal 11 2 5" xfId="914"/>
    <cellStyle name="Normal 11 3" xfId="915"/>
    <cellStyle name="Normal 11 3 2" xfId="916"/>
    <cellStyle name="Normal 11 3 3" xfId="917"/>
    <cellStyle name="Normal 11 4" xfId="918"/>
    <cellStyle name="Normal 11 5" xfId="919"/>
    <cellStyle name="Normal 11 6" xfId="920"/>
    <cellStyle name="Normal 12" xfId="921"/>
    <cellStyle name="Normal 12 2" xfId="922"/>
    <cellStyle name="Normal 12 3" xfId="923"/>
    <cellStyle name="Normal 13" xfId="924"/>
    <cellStyle name="Normal 13 2" xfId="925"/>
    <cellStyle name="Normal 13 3" xfId="926"/>
    <cellStyle name="Normal 14" xfId="927"/>
    <cellStyle name="Normal 14 2" xfId="928"/>
    <cellStyle name="Normal 14 3" xfId="929"/>
    <cellStyle name="Normal 15" xfId="930"/>
    <cellStyle name="Normal 16" xfId="931"/>
    <cellStyle name="Normal 17" xfId="932"/>
    <cellStyle name="Normal 18" xfId="933"/>
    <cellStyle name="Normal 19" xfId="1408"/>
    <cellStyle name="Normal 2" xfId="934"/>
    <cellStyle name="Normal 2 2" xfId="935"/>
    <cellStyle name="Normal 2 2 10" xfId="936"/>
    <cellStyle name="Normal 2 2 2" xfId="937"/>
    <cellStyle name="Normal 2 2 2 2" xfId="938"/>
    <cellStyle name="Normal 2 2 2 2 2" xfId="939"/>
    <cellStyle name="Normal 2 2 2 2 2 2" xfId="940"/>
    <cellStyle name="Normal 2 2 2 2 2 3" xfId="941"/>
    <cellStyle name="Normal 2 2 2 2 3" xfId="942"/>
    <cellStyle name="Normal 2 2 2 2 4" xfId="943"/>
    <cellStyle name="Normal 2 2 2 3" xfId="944"/>
    <cellStyle name="Normal 2 2 2 3 2" xfId="945"/>
    <cellStyle name="Normal 2 2 2 3 3" xfId="946"/>
    <cellStyle name="Normal 2 2 2 4" xfId="947"/>
    <cellStyle name="Normal 2 2 2 5" xfId="948"/>
    <cellStyle name="Normal 2 2 3" xfId="949"/>
    <cellStyle name="Normal 2 2 3 2" xfId="950"/>
    <cellStyle name="Normal 2 2 3 2 2" xfId="951"/>
    <cellStyle name="Normal 2 2 3 2 3" xfId="952"/>
    <cellStyle name="Normal 2 2 3 3" xfId="953"/>
    <cellStyle name="Normal 2 2 3 4" xfId="954"/>
    <cellStyle name="Normal 2 2 4" xfId="955"/>
    <cellStyle name="Normal 2 2 4 2" xfId="956"/>
    <cellStyle name="Normal 2 2 4 2 2" xfId="957"/>
    <cellStyle name="Normal 2 2 4 2 3" xfId="958"/>
    <cellStyle name="Normal 2 2 4 3" xfId="959"/>
    <cellStyle name="Normal 2 2 4 4" xfId="960"/>
    <cellStyle name="Normal 2 2 4 5" xfId="961"/>
    <cellStyle name="Normal 2 2 5" xfId="962"/>
    <cellStyle name="Normal 2 2 5 2" xfId="963"/>
    <cellStyle name="Normal 2 2 5 3" xfId="964"/>
    <cellStyle name="Normal 2 2 6" xfId="965"/>
    <cellStyle name="Normal 2 2 7" xfId="966"/>
    <cellStyle name="Normal 2 2 7 2" xfId="967"/>
    <cellStyle name="Normal 2 2 7 3" xfId="968"/>
    <cellStyle name="Normal 2 2 8" xfId="969"/>
    <cellStyle name="Normal 2 2 9" xfId="970"/>
    <cellStyle name="Normal 2 3" xfId="971"/>
    <cellStyle name="Normal 2 3 2" xfId="972"/>
    <cellStyle name="Normal 2 3 2 2" xfId="973"/>
    <cellStyle name="Normal 2 3 3" xfId="974"/>
    <cellStyle name="Normal 2 3 3 2" xfId="975"/>
    <cellStyle name="Normal 2 3 3 3" xfId="976"/>
    <cellStyle name="Normal 2 3 4" xfId="977"/>
    <cellStyle name="Normal 2 4" xfId="978"/>
    <cellStyle name="Normal 2 4 2" xfId="979"/>
    <cellStyle name="Normal 2 4 3" xfId="980"/>
    <cellStyle name="Normal 2 4 3 2" xfId="981"/>
    <cellStyle name="Normal 2 4 3 3" xfId="982"/>
    <cellStyle name="Normal 2 4 4" xfId="983"/>
    <cellStyle name="Normal 2 4 5" xfId="984"/>
    <cellStyle name="Normal 2 5" xfId="985"/>
    <cellStyle name="Normal 20" xfId="986"/>
    <cellStyle name="Normal 21" xfId="987"/>
    <cellStyle name="Normal 21 2" xfId="988"/>
    <cellStyle name="Normal 22" xfId="989"/>
    <cellStyle name="Normal 22 2" xfId="990"/>
    <cellStyle name="Normal 23" xfId="1410"/>
    <cellStyle name="Normal 24" xfId="1414"/>
    <cellStyle name="Normal 28" xfId="991"/>
    <cellStyle name="Normal 28 2" xfId="992"/>
    <cellStyle name="Normal 28 2 2" xfId="993"/>
    <cellStyle name="Normal 28 3" xfId="994"/>
    <cellStyle name="Normal 3" xfId="995"/>
    <cellStyle name="Normal 3 2" xfId="996"/>
    <cellStyle name="Normal 3 2 2" xfId="997"/>
    <cellStyle name="Normal 3 2 2 2" xfId="998"/>
    <cellStyle name="Normal 3 2 2 3" xfId="999"/>
    <cellStyle name="Normal 3 2 3" xfId="1000"/>
    <cellStyle name="Normal 3 2 3 2" xfId="1001"/>
    <cellStyle name="Normal 3 2 3 2 2" xfId="1002"/>
    <cellStyle name="Normal 3 2 3 2 3" xfId="1003"/>
    <cellStyle name="Normal 3 2 3 3" xfId="1004"/>
    <cellStyle name="Normal 3 2 3 4" xfId="1005"/>
    <cellStyle name="Normal 3 2 4" xfId="1006"/>
    <cellStyle name="Normal 3 2 4 2" xfId="1007"/>
    <cellStyle name="Normal 3 2 4 2 2" xfId="1008"/>
    <cellStyle name="Normal 3 2 4 2 3" xfId="1009"/>
    <cellStyle name="Normal 3 2 4 3" xfId="1010"/>
    <cellStyle name="Normal 3 2 4 4" xfId="1011"/>
    <cellStyle name="Normal 3 2 5" xfId="1012"/>
    <cellStyle name="Normal 3 2 6" xfId="1013"/>
    <cellStyle name="Normal 3 2 6 2" xfId="1014"/>
    <cellStyle name="Normal 3 2 6 3" xfId="1015"/>
    <cellStyle name="Normal 3 2 7" xfId="1016"/>
    <cellStyle name="Normal 3 2 8" xfId="1017"/>
    <cellStyle name="Normal 3 3" xfId="1018"/>
    <cellStyle name="Normal 3 3 2" xfId="1019"/>
    <cellStyle name="Normal 3 3 2 2" xfId="1020"/>
    <cellStyle name="Normal 3 3 2 3" xfId="1021"/>
    <cellStyle name="Normal 3 3 3" xfId="1022"/>
    <cellStyle name="Normal 3 4" xfId="1023"/>
    <cellStyle name="Normal 3 4 2" xfId="1024"/>
    <cellStyle name="Normal 3 4 2 2" xfId="1025"/>
    <cellStyle name="Normal 3 4 2 2 2" xfId="1026"/>
    <cellStyle name="Normal 3 4 2 2 3" xfId="1027"/>
    <cellStyle name="Normal 3 4 2 3" xfId="1028"/>
    <cellStyle name="Normal 3 4 2 4" xfId="1029"/>
    <cellStyle name="Normal 3 4 3" xfId="1030"/>
    <cellStyle name="Normal 3 4 3 2" xfId="1031"/>
    <cellStyle name="Normal 3 4 3 3" xfId="1032"/>
    <cellStyle name="Normal 3 4 4" xfId="1033"/>
    <cellStyle name="Normal 3 4 5" xfId="1034"/>
    <cellStyle name="Normal 3 5" xfId="1035"/>
    <cellStyle name="Normal 3 5 2" xfId="1036"/>
    <cellStyle name="Normal 3 5 2 2" xfId="1037"/>
    <cellStyle name="Normal 3 5 2 3" xfId="1038"/>
    <cellStyle name="Normal 3 5 3" xfId="1039"/>
    <cellStyle name="Normal 3 5 4" xfId="1040"/>
    <cellStyle name="Normal 3 6" xfId="1041"/>
    <cellStyle name="Normal 3 6 2" xfId="1042"/>
    <cellStyle name="Normal 3 6 3" xfId="1043"/>
    <cellStyle name="Normal 3 6 4" xfId="1044"/>
    <cellStyle name="Normal 3 7" xfId="1045"/>
    <cellStyle name="Normal 3 8" xfId="1046"/>
    <cellStyle name="Normal 31" xfId="1047"/>
    <cellStyle name="Normal 33" xfId="1048"/>
    <cellStyle name="Normal 39" xfId="1049"/>
    <cellStyle name="Normal 4" xfId="1050"/>
    <cellStyle name="Normal 4 2" xfId="1051"/>
    <cellStyle name="Normal 4 2 2" xfId="1052"/>
    <cellStyle name="Normal 4 2 2 2" xfId="1053"/>
    <cellStyle name="Normal 4 2 3" xfId="1054"/>
    <cellStyle name="Normal 4 2 3 2" xfId="1055"/>
    <cellStyle name="Normal 4 2 3 2 2" xfId="1056"/>
    <cellStyle name="Normal 4 2 3 2 3" xfId="1057"/>
    <cellStyle name="Normal 4 2 3 3" xfId="1058"/>
    <cellStyle name="Normal 4 2 3 4" xfId="1059"/>
    <cellStyle name="Normal 4 2 4" xfId="1060"/>
    <cellStyle name="Normal 4 2 4 2" xfId="1061"/>
    <cellStyle name="Normal 4 2 4 2 2" xfId="1062"/>
    <cellStyle name="Normal 4 2 4 2 3" xfId="1063"/>
    <cellStyle name="Normal 4 2 4 3" xfId="1064"/>
    <cellStyle name="Normal 4 2 4 4" xfId="1065"/>
    <cellStyle name="Normal 4 2 5" xfId="1066"/>
    <cellStyle name="Normal 4 2 6" xfId="1067"/>
    <cellStyle name="Normal 4 3" xfId="1068"/>
    <cellStyle name="Normal 4 3 2" xfId="1069"/>
    <cellStyle name="Normal 4 3 2 2" xfId="1070"/>
    <cellStyle name="Normal 4 3 2 3" xfId="1071"/>
    <cellStyle name="Normal 4 3 3" xfId="1072"/>
    <cellStyle name="Normal 4 3 4" xfId="1073"/>
    <cellStyle name="Normal 4 3 5" xfId="1074"/>
    <cellStyle name="Normal 4 4" xfId="1075"/>
    <cellStyle name="Normal 4 4 2" xfId="1076"/>
    <cellStyle name="Normal 4 4 2 2" xfId="1077"/>
    <cellStyle name="Normal 4 4 2 3" xfId="1078"/>
    <cellStyle name="Normal 4 4 3" xfId="1079"/>
    <cellStyle name="Normal 4 4 4" xfId="1080"/>
    <cellStyle name="Normal 4 4 5" xfId="1081"/>
    <cellStyle name="Normal 4 5" xfId="1082"/>
    <cellStyle name="Normal 4 5 2" xfId="1083"/>
    <cellStyle name="Normal 4 5 3" xfId="1084"/>
    <cellStyle name="Normal 4 6" xfId="1085"/>
    <cellStyle name="Normal 4 6 2" xfId="1086"/>
    <cellStyle name="Normal 4 7" xfId="1087"/>
    <cellStyle name="Normal 40" xfId="1088"/>
    <cellStyle name="Normal 41" xfId="1089"/>
    <cellStyle name="Normal 42" xfId="1090"/>
    <cellStyle name="Normal 43" xfId="1091"/>
    <cellStyle name="Normal 44" xfId="1092"/>
    <cellStyle name="Normal 5" xfId="1093"/>
    <cellStyle name="Normal 5 2" xfId="1094"/>
    <cellStyle name="Normal 5 2 2" xfId="1095"/>
    <cellStyle name="Normal 5 2 3" xfId="1096"/>
    <cellStyle name="Normal 5 3" xfId="1097"/>
    <cellStyle name="Normal 5 3 2" xfId="1098"/>
    <cellStyle name="Normal 5 4" xfId="1099"/>
    <cellStyle name="Normal 6" xfId="1100"/>
    <cellStyle name="Normal 6 2" xfId="1101"/>
    <cellStyle name="Normal 6 2 2" xfId="1102"/>
    <cellStyle name="Normal 6 2 2 2" xfId="1103"/>
    <cellStyle name="Normal 6 2 2 2 2" xfId="1104"/>
    <cellStyle name="Normal 6 2 2 2 3" xfId="1105"/>
    <cellStyle name="Normal 6 2 2 3" xfId="1106"/>
    <cellStyle name="Normal 6 2 2 4" xfId="1107"/>
    <cellStyle name="Normal 6 2 3" xfId="1108"/>
    <cellStyle name="Normal 6 2 3 2" xfId="1109"/>
    <cellStyle name="Normal 6 2 3 2 2" xfId="1110"/>
    <cellStyle name="Normal 6 2 3 2 3" xfId="1111"/>
    <cellStyle name="Normal 6 2 3 3" xfId="1112"/>
    <cellStyle name="Normal 6 2 3 4" xfId="1113"/>
    <cellStyle name="Normal 6 2 4" xfId="1114"/>
    <cellStyle name="Normal 6 2 4 2" xfId="10"/>
    <cellStyle name="Normal 6 2 5" xfId="1115"/>
    <cellStyle name="Normal 6 2 5 2" xfId="1116"/>
    <cellStyle name="Normal 6 2 5 3" xfId="1117"/>
    <cellStyle name="Normal 6 2 6" xfId="1118"/>
    <cellStyle name="Normal 6 2 7" xfId="1119"/>
    <cellStyle name="Normal 6 3" xfId="1120"/>
    <cellStyle name="Normal 6 3 2" xfId="1121"/>
    <cellStyle name="Normal 6 4" xfId="1122"/>
    <cellStyle name="Normal 7" xfId="1123"/>
    <cellStyle name="Normal 7 2" xfId="1124"/>
    <cellStyle name="Normal 7 2 2" xfId="1125"/>
    <cellStyle name="Normal 7 2 2 2" xfId="1126"/>
    <cellStyle name="Normal 7 2 2 2 2" xfId="1127"/>
    <cellStyle name="Normal 7 2 2 2 3" xfId="1128"/>
    <cellStyle name="Normal 7 2 2 3" xfId="1129"/>
    <cellStyle name="Normal 7 2 2 4" xfId="1130"/>
    <cellStyle name="Normal 7 2 3" xfId="1131"/>
    <cellStyle name="Normal 7 2 3 2" xfId="1132"/>
    <cellStyle name="Normal 7 2 3 3" xfId="1133"/>
    <cellStyle name="Normal 7 2 4" xfId="1134"/>
    <cellStyle name="Normal 7 2 5" xfId="1135"/>
    <cellStyle name="Normal 7 3" xfId="1136"/>
    <cellStyle name="Normal 7 3 2" xfId="1137"/>
    <cellStyle name="Normal 7 4" xfId="1138"/>
    <cellStyle name="Normal 7 4 2" xfId="1139"/>
    <cellStyle name="Normal 7 4 2 2" xfId="1140"/>
    <cellStyle name="Normal 7 4 2 3" xfId="1141"/>
    <cellStyle name="Normal 7 4 3" xfId="1142"/>
    <cellStyle name="Normal 7 4 4" xfId="1143"/>
    <cellStyle name="Normal 7 5" xfId="1144"/>
    <cellStyle name="Normal 7 6" xfId="1145"/>
    <cellStyle name="Normal 7 7" xfId="1146"/>
    <cellStyle name="Normal 7 8" xfId="1147"/>
    <cellStyle name="Normal 8" xfId="1148"/>
    <cellStyle name="Normal 8 2" xfId="1149"/>
    <cellStyle name="Normal 8 2 2" xfId="1150"/>
    <cellStyle name="Normal 8 2 2 2" xfId="1151"/>
    <cellStyle name="Normal 8 2 2 2 2" xfId="1152"/>
    <cellStyle name="Normal 8 2 2 2 3" xfId="1153"/>
    <cellStyle name="Normal 8 2 2 3" xfId="1154"/>
    <cellStyle name="Normal 8 2 2 4" xfId="1155"/>
    <cellStyle name="Normal 8 2 3" xfId="1156"/>
    <cellStyle name="Normal 8 2 3 2" xfId="1157"/>
    <cellStyle name="Normal 8 2 3 3" xfId="1158"/>
    <cellStyle name="Normal 8 2 4" xfId="1159"/>
    <cellStyle name="Normal 8 2 5" xfId="1160"/>
    <cellStyle name="Normal 8 2 6" xfId="1161"/>
    <cellStyle name="Normal 8 3" xfId="1162"/>
    <cellStyle name="Normal 8 3 2" xfId="1163"/>
    <cellStyle name="Normal 8 3 3" xfId="1164"/>
    <cellStyle name="Normal 8 4" xfId="1165"/>
    <cellStyle name="Normal 8 4 2" xfId="1166"/>
    <cellStyle name="Normal 8 5" xfId="1167"/>
    <cellStyle name="Normal 8 6" xfId="1168"/>
    <cellStyle name="Normal 8 7" xfId="1169"/>
    <cellStyle name="Normal 9" xfId="1170"/>
    <cellStyle name="Normal 9 2" xfId="1171"/>
    <cellStyle name="Normal 9 2 2" xfId="1172"/>
    <cellStyle name="Normal 9 2 2 2" xfId="1173"/>
    <cellStyle name="Normal 9 2 2 2 2" xfId="1174"/>
    <cellStyle name="Normal 9 2 2 2 3" xfId="1175"/>
    <cellStyle name="Normal 9 2 2 3" xfId="1176"/>
    <cellStyle name="Normal 9 2 2 4" xfId="1177"/>
    <cellStyle name="Normal 9 2 3" xfId="1178"/>
    <cellStyle name="Normal 9 2 3 2" xfId="1179"/>
    <cellStyle name="Normal 9 2 3 3" xfId="1180"/>
    <cellStyle name="Normal 9 2 4" xfId="1181"/>
    <cellStyle name="Normal 9 2 5" xfId="1182"/>
    <cellStyle name="Normal 9 3" xfId="1183"/>
    <cellStyle name="Normal 9 3 2" xfId="1184"/>
    <cellStyle name="Normal 9 3 2 2" xfId="1185"/>
    <cellStyle name="Normal 9 3 2 3" xfId="1186"/>
    <cellStyle name="Normal 9 3 3" xfId="1187"/>
    <cellStyle name="Normal 9 3 4" xfId="1188"/>
    <cellStyle name="Normal 9 4" xfId="1189"/>
    <cellStyle name="Normal 9 4 2" xfId="1190"/>
    <cellStyle name="Normal 9 4 3" xfId="1191"/>
    <cellStyle name="Normal 9 5" xfId="1192"/>
    <cellStyle name="Normal 9 6" xfId="1193"/>
    <cellStyle name="Normal 9 7" xfId="1194"/>
    <cellStyle name="Note 2" xfId="1195"/>
    <cellStyle name="Note 2 2" xfId="1196"/>
    <cellStyle name="Note 2 2 2" xfId="1197"/>
    <cellStyle name="Note 2 3" xfId="1198"/>
    <cellStyle name="Note 2 3 2" xfId="1199"/>
    <cellStyle name="Note 2 4" xfId="1200"/>
    <cellStyle name="Note 3" xfId="1201"/>
    <cellStyle name="Output 2" xfId="1202"/>
    <cellStyle name="Output 2 2" xfId="1203"/>
    <cellStyle name="Percent" xfId="3" builtinId="5"/>
    <cellStyle name="Percent 10" xfId="1204"/>
    <cellStyle name="Percent 10 2" xfId="1205"/>
    <cellStyle name="Percent 10 2 2" xfId="1206"/>
    <cellStyle name="Percent 10 3" xfId="1207"/>
    <cellStyle name="Percent 10 3 2" xfId="1208"/>
    <cellStyle name="Percent 10 3 2 2" xfId="1209"/>
    <cellStyle name="Percent 10 3 2 3" xfId="1210"/>
    <cellStyle name="Percent 10 3 3" xfId="1211"/>
    <cellStyle name="Percent 10 3 4" xfId="1212"/>
    <cellStyle name="Percent 10 4" xfId="1213"/>
    <cellStyle name="Percent 11" xfId="1214"/>
    <cellStyle name="Percent 11 2" xfId="1215"/>
    <cellStyle name="Percent 11 3" xfId="1216"/>
    <cellStyle name="Percent 11 4" xfId="1217"/>
    <cellStyle name="Percent 12" xfId="1218"/>
    <cellStyle name="Percent 12 2" xfId="1219"/>
    <cellStyle name="Percent 12 3" xfId="1220"/>
    <cellStyle name="Percent 13" xfId="1221"/>
    <cellStyle name="Percent 13 2" xfId="1222"/>
    <cellStyle name="Percent 13 3" xfId="1223"/>
    <cellStyle name="Percent 14" xfId="1224"/>
    <cellStyle name="Percent 15" xfId="1225"/>
    <cellStyle name="Percent 16" xfId="1226"/>
    <cellStyle name="Percent 17" xfId="1409"/>
    <cellStyle name="Percent 18" xfId="1412"/>
    <cellStyle name="Percent 19" xfId="1415"/>
    <cellStyle name="Percent 2" xfId="1227"/>
    <cellStyle name="Percent 2 2" xfId="1228"/>
    <cellStyle name="Percent 2 2 2" xfId="1229"/>
    <cellStyle name="Percent 2 2 2 2" xfId="12"/>
    <cellStyle name="Percent 2 2 2 3" xfId="1230"/>
    <cellStyle name="Percent 2 2 3" xfId="1231"/>
    <cellStyle name="Percent 2 2 3 2" xfId="1232"/>
    <cellStyle name="Percent 2 2 4" xfId="1233"/>
    <cellStyle name="Percent 2 2 5" xfId="1234"/>
    <cellStyle name="Percent 2 2 5 2" xfId="1235"/>
    <cellStyle name="Percent 2 2 5 3" xfId="1236"/>
    <cellStyle name="Percent 2 2 6" xfId="1237"/>
    <cellStyle name="Percent 2 2 7" xfId="1238"/>
    <cellStyle name="Percent 2 3" xfId="1239"/>
    <cellStyle name="Percent 2 3 2" xfId="1240"/>
    <cellStyle name="Percent 2 3 2 2" xfId="1241"/>
    <cellStyle name="Percent 2 3 3" xfId="1242"/>
    <cellStyle name="Percent 2 3 3 2" xfId="1243"/>
    <cellStyle name="Percent 2 3 3 3" xfId="1244"/>
    <cellStyle name="Percent 2 3 4" xfId="1245"/>
    <cellStyle name="Percent 2 3 5" xfId="1246"/>
    <cellStyle name="Percent 2 4" xfId="1247"/>
    <cellStyle name="Percent 2 4 2" xfId="1248"/>
    <cellStyle name="Percent 2 4 3" xfId="1249"/>
    <cellStyle name="Percent 2 4 3 2" xfId="1250"/>
    <cellStyle name="Percent 2 4 3 3" xfId="1251"/>
    <cellStyle name="Percent 2 4 4" xfId="1252"/>
    <cellStyle name="Percent 2 4 5" xfId="1253"/>
    <cellStyle name="Percent 2 5" xfId="1254"/>
    <cellStyle name="Percent 2 5 2" xfId="1255"/>
    <cellStyle name="Percent 2 6" xfId="1256"/>
    <cellStyle name="Percent 2 7" xfId="1257"/>
    <cellStyle name="Percent 3" xfId="1258"/>
    <cellStyle name="Percent 3 2" xfId="1259"/>
    <cellStyle name="Percent 3 2 2" xfId="1260"/>
    <cellStyle name="Percent 3 2 2 2" xfId="1261"/>
    <cellStyle name="Percent 3 3" xfId="1262"/>
    <cellStyle name="Percent 3 3 2" xfId="1263"/>
    <cellStyle name="Percent 3 3 2 2" xfId="1264"/>
    <cellStyle name="Percent 3 3 3" xfId="1265"/>
    <cellStyle name="Percent 3 4" xfId="1266"/>
    <cellStyle name="Percent 3 4 2" xfId="1267"/>
    <cellStyle name="Percent 3 5" xfId="1268"/>
    <cellStyle name="Percent 3 6" xfId="1269"/>
    <cellStyle name="Percent 3 7" xfId="1270"/>
    <cellStyle name="Percent 4" xfId="1271"/>
    <cellStyle name="Percent 4 2" xfId="1272"/>
    <cellStyle name="Percent 4 2 2" xfId="1273"/>
    <cellStyle name="Percent 4 2 2 2" xfId="1274"/>
    <cellStyle name="Percent 4 2 3" xfId="1275"/>
    <cellStyle name="Percent 4 2 3 2" xfId="1276"/>
    <cellStyle name="Percent 4 2 4" xfId="1277"/>
    <cellStyle name="Percent 4 3" xfId="1278"/>
    <cellStyle name="Percent 4 3 2" xfId="1279"/>
    <cellStyle name="Percent 4 3 3" xfId="1280"/>
    <cellStyle name="Percent 4 4" xfId="1281"/>
    <cellStyle name="Percent 4 4 2" xfId="1282"/>
    <cellStyle name="Percent 4 5" xfId="1283"/>
    <cellStyle name="Percent 4 5 2" xfId="1284"/>
    <cellStyle name="Percent 4 5 3" xfId="1285"/>
    <cellStyle name="Percent 4 6" xfId="1286"/>
    <cellStyle name="Percent 4 6 2" xfId="1287"/>
    <cellStyle name="Percent 4 7" xfId="1288"/>
    <cellStyle name="Percent 4 7 2" xfId="1289"/>
    <cellStyle name="Percent 4 7 3" xfId="1290"/>
    <cellStyle name="Percent 4 8" xfId="1291"/>
    <cellStyle name="Percent 5" xfId="1292"/>
    <cellStyle name="Percent 5 2" xfId="1293"/>
    <cellStyle name="Percent 5 2 2" xfId="1294"/>
    <cellStyle name="Percent 5 2 3" xfId="1295"/>
    <cellStyle name="Percent 5 3" xfId="1296"/>
    <cellStyle name="Percent 5 3 2" xfId="1297"/>
    <cellStyle name="Percent 5 4" xfId="1298"/>
    <cellStyle name="Percent 5 5" xfId="1299"/>
    <cellStyle name="Percent 5 5 2" xfId="1300"/>
    <cellStyle name="Percent 5 5 3" xfId="1301"/>
    <cellStyle name="Percent 5 6" xfId="1302"/>
    <cellStyle name="Percent 5 7" xfId="1303"/>
    <cellStyle name="Percent 6" xfId="1304"/>
    <cellStyle name="Percent 6 2" xfId="1305"/>
    <cellStyle name="Percent 6 2 2" xfId="1306"/>
    <cellStyle name="Percent 6 2 2 2" xfId="1307"/>
    <cellStyle name="Percent 6 3" xfId="1308"/>
    <cellStyle name="Percent 6 3 2" xfId="1309"/>
    <cellStyle name="Percent 6 4" xfId="1310"/>
    <cellStyle name="Percent 6 5" xfId="1311"/>
    <cellStyle name="Percent 6 5 2" xfId="1312"/>
    <cellStyle name="Percent 6 5 3" xfId="1313"/>
    <cellStyle name="Percent 6 6" xfId="1314"/>
    <cellStyle name="Percent 6 7" xfId="1315"/>
    <cellStyle name="Percent 7" xfId="1316"/>
    <cellStyle name="Percent 7 2" xfId="1317"/>
    <cellStyle name="Percent 7 2 2" xfId="13"/>
    <cellStyle name="Percent 7 3" xfId="1318"/>
    <cellStyle name="Percent 7 3 2" xfId="1319"/>
    <cellStyle name="Percent 7 4" xfId="1320"/>
    <cellStyle name="Percent 8" xfId="1321"/>
    <cellStyle name="Percent 8 2" xfId="1322"/>
    <cellStyle name="Percent 8 2 2" xfId="1323"/>
    <cellStyle name="Percent 8 3" xfId="1324"/>
    <cellStyle name="Percent 8 3 2" xfId="1325"/>
    <cellStyle name="Percent 8 3 3" xfId="1326"/>
    <cellStyle name="Percent 8 4" xfId="1327"/>
    <cellStyle name="Percent 8 5" xfId="1328"/>
    <cellStyle name="Percent 8 6" xfId="1329"/>
    <cellStyle name="Percent 8 7" xfId="1330"/>
    <cellStyle name="Percent 9" xfId="1331"/>
    <cellStyle name="Percent 9 2" xfId="1332"/>
    <cellStyle name="Percent 9 2 2" xfId="1333"/>
    <cellStyle name="Percent 9 2 2 2" xfId="1334"/>
    <cellStyle name="Percent 9 2 2 2 2" xfId="1335"/>
    <cellStyle name="Percent 9 2 2 2 3" xfId="1336"/>
    <cellStyle name="Percent 9 2 2 3" xfId="1337"/>
    <cellStyle name="Percent 9 2 2 4" xfId="1338"/>
    <cellStyle name="Percent 9 2 3" xfId="1339"/>
    <cellStyle name="Percent 9 2 3 2" xfId="1340"/>
    <cellStyle name="Percent 9 2 3 3" xfId="1341"/>
    <cellStyle name="Percent 9 2 4" xfId="1342"/>
    <cellStyle name="Percent 9 2 5" xfId="1343"/>
    <cellStyle name="Percent 9 3" xfId="1344"/>
    <cellStyle name="Percent 9 3 2" xfId="1345"/>
    <cellStyle name="Percent 9 3 2 2" xfId="1346"/>
    <cellStyle name="Percent 9 3 2 3" xfId="1347"/>
    <cellStyle name="Percent 9 3 3" xfId="1348"/>
    <cellStyle name="Percent 9 3 4" xfId="1349"/>
    <cellStyle name="Percent 9 3 5" xfId="1350"/>
    <cellStyle name="Percent 9 4" xfId="1351"/>
    <cellStyle name="Percent 9 4 2" xfId="1352"/>
    <cellStyle name="Percent 9 4 2 2" xfId="1353"/>
    <cellStyle name="Percent 9 4 2 3" xfId="1354"/>
    <cellStyle name="Percent 9 4 3" xfId="1355"/>
    <cellStyle name="Percent 9 4 4" xfId="1356"/>
    <cellStyle name="Percent 9 5" xfId="1357"/>
    <cellStyle name="Percent 9 5 2" xfId="1358"/>
    <cellStyle name="Percent 9 5 3" xfId="1359"/>
    <cellStyle name="Percent 9 6" xfId="1360"/>
    <cellStyle name="Percent 9 7" xfId="1361"/>
    <cellStyle name="Percent 9 8" xfId="1362"/>
    <cellStyle name="Title 2" xfId="1363"/>
    <cellStyle name="Title 2 2" xfId="1364"/>
    <cellStyle name="Title 3" xfId="1365"/>
    <cellStyle name="Title 3 2" xfId="1366"/>
    <cellStyle name="Total 2" xfId="1367"/>
    <cellStyle name="Total 2 2" xfId="1368"/>
    <cellStyle name="Warning Text 2" xfId="1369"/>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topLeftCell="A37" workbookViewId="0">
      <selection activeCell="M17" sqref="M17"/>
    </sheetView>
  </sheetViews>
  <sheetFormatPr defaultColWidth="8.85546875" defaultRowHeight="15.9"/>
  <cols>
    <col min="1" max="1" width="9.140625" customWidth="1"/>
    <col min="2" max="2" width="9.35546875" customWidth="1"/>
    <col min="3" max="3" width="17.640625" customWidth="1"/>
    <col min="4" max="4" width="13.140625" customWidth="1"/>
    <col min="9" max="9" width="5.7109375" customWidth="1"/>
    <col min="10" max="11" width="8.85546875" style="349"/>
  </cols>
  <sheetData>
    <row r="1" spans="1:9" ht="20.6">
      <c r="A1" s="234" t="s">
        <v>299</v>
      </c>
      <c r="B1" s="235"/>
      <c r="C1" s="235"/>
      <c r="D1" s="235"/>
      <c r="E1" s="235"/>
      <c r="F1" s="235"/>
      <c r="G1" s="235"/>
      <c r="H1" s="235"/>
      <c r="I1" s="235"/>
    </row>
    <row r="2" spans="1:9" ht="21" thickBot="1">
      <c r="A2" s="348"/>
      <c r="B2" s="345"/>
      <c r="C2" s="345"/>
      <c r="D2" s="345"/>
      <c r="E2" s="235"/>
      <c r="F2" s="235"/>
      <c r="G2" s="235"/>
      <c r="H2" s="235"/>
      <c r="I2" s="235"/>
    </row>
    <row r="3" spans="1:9" ht="24" thickTop="1" thickBot="1">
      <c r="A3" s="344" t="s">
        <v>285</v>
      </c>
      <c r="B3" s="344"/>
      <c r="C3" s="344"/>
      <c r="D3" s="345"/>
      <c r="E3" s="235"/>
      <c r="F3" s="301">
        <v>12</v>
      </c>
      <c r="G3" s="235"/>
      <c r="H3" s="235"/>
      <c r="I3" s="235"/>
    </row>
    <row r="4" spans="1:9" ht="23.6" thickTop="1">
      <c r="A4" s="301"/>
      <c r="B4" s="301"/>
      <c r="C4" s="301"/>
      <c r="D4" s="301"/>
      <c r="E4" s="235"/>
      <c r="F4" s="235"/>
      <c r="G4" s="235"/>
      <c r="H4" s="235"/>
      <c r="I4" s="235"/>
    </row>
    <row r="5" spans="1:9">
      <c r="A5" s="236" t="s">
        <v>286</v>
      </c>
      <c r="B5" s="235"/>
      <c r="C5" s="235"/>
      <c r="D5" s="235"/>
      <c r="E5" s="235"/>
      <c r="F5" s="235"/>
      <c r="G5" s="235"/>
      <c r="H5" s="235"/>
      <c r="I5" s="235"/>
    </row>
    <row r="6" spans="1:9">
      <c r="A6" s="235" t="s">
        <v>241</v>
      </c>
      <c r="B6" s="235"/>
      <c r="C6" s="235"/>
      <c r="D6" s="237">
        <v>922500</v>
      </c>
      <c r="E6" s="235"/>
      <c r="F6" s="235"/>
      <c r="G6" s="235"/>
      <c r="H6" s="235"/>
      <c r="I6" s="235"/>
    </row>
    <row r="7" spans="1:9">
      <c r="A7" s="235" t="s">
        <v>242</v>
      </c>
      <c r="B7" s="235"/>
      <c r="C7" s="235"/>
      <c r="D7" s="238">
        <v>42459</v>
      </c>
      <c r="E7" s="235"/>
      <c r="F7" s="235"/>
      <c r="G7" s="235"/>
      <c r="H7" s="235"/>
      <c r="I7" s="235"/>
    </row>
    <row r="8" spans="1:9">
      <c r="A8" s="235" t="s">
        <v>287</v>
      </c>
      <c r="B8" s="235"/>
      <c r="C8" s="235"/>
      <c r="D8" s="242">
        <v>0.65</v>
      </c>
      <c r="E8" s="235"/>
      <c r="F8" s="235"/>
      <c r="G8" s="235"/>
      <c r="H8" s="235"/>
      <c r="I8" s="235"/>
    </row>
    <row r="9" spans="1:9" ht="20.6">
      <c r="A9" s="350" t="s">
        <v>243</v>
      </c>
      <c r="B9" s="350"/>
      <c r="C9" s="350"/>
      <c r="D9" s="351">
        <f>D6*D8</f>
        <v>599625</v>
      </c>
      <c r="E9" s="235"/>
      <c r="F9" s="235"/>
      <c r="G9" s="235"/>
      <c r="H9" s="235"/>
      <c r="I9" s="235"/>
    </row>
    <row r="10" spans="1:9">
      <c r="A10" s="295" t="s">
        <v>107</v>
      </c>
      <c r="B10" s="295"/>
      <c r="C10" s="295"/>
      <c r="D10" s="296">
        <v>0.08</v>
      </c>
      <c r="E10" s="235"/>
      <c r="F10" s="235"/>
      <c r="G10" s="235"/>
      <c r="H10" s="235"/>
      <c r="I10" s="235"/>
    </row>
    <row r="11" spans="1:9">
      <c r="A11" s="295" t="s">
        <v>252</v>
      </c>
      <c r="B11" s="295"/>
      <c r="C11" s="295"/>
      <c r="D11" s="296">
        <v>0.02</v>
      </c>
      <c r="E11" s="235"/>
      <c r="F11" s="235"/>
      <c r="G11" s="235"/>
      <c r="H11" s="235"/>
      <c r="I11" s="235"/>
    </row>
    <row r="12" spans="1:9">
      <c r="A12" s="295" t="s">
        <v>105</v>
      </c>
      <c r="B12" s="295"/>
      <c r="C12" s="295"/>
      <c r="D12" s="297">
        <f>D9*D10*F3/12</f>
        <v>47970</v>
      </c>
      <c r="E12" s="235" t="s">
        <v>288</v>
      </c>
      <c r="F12" s="235"/>
      <c r="G12" s="235"/>
      <c r="H12" s="235"/>
      <c r="I12" s="235"/>
    </row>
    <row r="13" spans="1:9">
      <c r="A13" s="295" t="s">
        <v>289</v>
      </c>
      <c r="B13" s="295"/>
      <c r="C13" s="295"/>
      <c r="D13" s="297">
        <f>D11*D9</f>
        <v>11992.5</v>
      </c>
      <c r="E13" s="235" t="s">
        <v>290</v>
      </c>
      <c r="F13" s="235"/>
      <c r="G13" s="235"/>
      <c r="H13" s="235"/>
      <c r="I13" s="235"/>
    </row>
    <row r="14" spans="1:9">
      <c r="A14" s="295"/>
      <c r="B14" s="295"/>
      <c r="C14" s="295"/>
      <c r="D14" s="296"/>
      <c r="E14" s="235"/>
      <c r="F14" s="235"/>
      <c r="G14" s="235"/>
      <c r="H14" s="235"/>
      <c r="I14" s="235"/>
    </row>
    <row r="15" spans="1:9">
      <c r="A15" s="240"/>
      <c r="B15" s="240"/>
      <c r="C15" s="240"/>
      <c r="D15" s="241"/>
      <c r="E15" s="235"/>
      <c r="F15" s="235"/>
      <c r="G15" s="235"/>
      <c r="H15" s="235"/>
      <c r="I15" s="235"/>
    </row>
    <row r="16" spans="1:9">
      <c r="A16" s="236" t="s">
        <v>291</v>
      </c>
      <c r="B16" s="235"/>
      <c r="C16" s="235"/>
      <c r="D16" s="235"/>
      <c r="E16" s="235"/>
      <c r="F16" s="235"/>
      <c r="G16" s="235"/>
      <c r="H16" s="235"/>
      <c r="I16" s="235"/>
    </row>
    <row r="17" spans="1:9">
      <c r="A17" s="235" t="s">
        <v>242</v>
      </c>
      <c r="B17" s="235"/>
      <c r="C17" s="235"/>
      <c r="D17" s="238">
        <v>42459</v>
      </c>
      <c r="E17" s="235"/>
      <c r="F17" s="235"/>
      <c r="G17" s="235"/>
      <c r="H17" s="235"/>
      <c r="I17" s="235"/>
    </row>
    <row r="18" spans="1:9">
      <c r="A18" s="235" t="s">
        <v>244</v>
      </c>
      <c r="B18" s="235"/>
      <c r="C18" s="235"/>
      <c r="D18" s="300">
        <v>0.75</v>
      </c>
      <c r="E18" s="235"/>
      <c r="F18" s="235"/>
      <c r="G18" s="235"/>
      <c r="H18" s="235"/>
      <c r="I18" s="235"/>
    </row>
    <row r="19" spans="1:9">
      <c r="A19" s="235" t="s">
        <v>300</v>
      </c>
      <c r="B19" s="235"/>
      <c r="C19" s="235"/>
      <c r="D19" s="242">
        <v>0.1</v>
      </c>
      <c r="E19" s="235"/>
      <c r="F19" s="235"/>
      <c r="G19" s="235"/>
      <c r="H19" s="235"/>
      <c r="I19" s="235"/>
    </row>
    <row r="20" spans="1:9" ht="20.6">
      <c r="A20" s="350" t="s">
        <v>243</v>
      </c>
      <c r="B20" s="350"/>
      <c r="C20" s="350"/>
      <c r="D20" s="351">
        <f>D19*D6</f>
        <v>92250</v>
      </c>
      <c r="E20" s="343"/>
      <c r="F20" s="235"/>
      <c r="G20" s="235"/>
      <c r="H20" s="235"/>
      <c r="I20" s="235"/>
    </row>
    <row r="21" spans="1:9">
      <c r="A21" s="295" t="s">
        <v>107</v>
      </c>
      <c r="B21" s="295"/>
      <c r="C21" s="295"/>
      <c r="D21" s="296">
        <v>0.12</v>
      </c>
      <c r="E21" s="235"/>
      <c r="F21" s="235"/>
      <c r="G21" s="235"/>
      <c r="H21" s="235"/>
      <c r="I21" s="235"/>
    </row>
    <row r="22" spans="1:9">
      <c r="A22" s="295" t="s">
        <v>252</v>
      </c>
      <c r="B22" s="295"/>
      <c r="C22" s="295"/>
      <c r="D22" s="296">
        <v>0.02</v>
      </c>
      <c r="E22" s="235"/>
      <c r="F22" s="235"/>
      <c r="G22" s="235"/>
      <c r="H22" s="235"/>
      <c r="I22" s="235"/>
    </row>
    <row r="23" spans="1:9">
      <c r="A23" s="295" t="s">
        <v>105</v>
      </c>
      <c r="B23" s="295"/>
      <c r="C23" s="295"/>
      <c r="D23" s="297">
        <f>D20*D21*F3/12</f>
        <v>11070</v>
      </c>
      <c r="E23" s="235" t="s">
        <v>288</v>
      </c>
      <c r="F23" s="235"/>
      <c r="G23" s="235"/>
      <c r="H23" s="235"/>
      <c r="I23" s="235"/>
    </row>
    <row r="24" spans="1:9">
      <c r="A24" s="295" t="s">
        <v>289</v>
      </c>
      <c r="B24" s="295"/>
      <c r="C24" s="295"/>
      <c r="D24" s="297">
        <f>D22*D20</f>
        <v>1845</v>
      </c>
      <c r="E24" s="235" t="s">
        <v>290</v>
      </c>
      <c r="F24" s="235"/>
      <c r="G24" s="235"/>
      <c r="H24" s="235"/>
      <c r="I24" s="235"/>
    </row>
    <row r="25" spans="1:9">
      <c r="A25" s="295"/>
      <c r="B25" s="295"/>
      <c r="C25" s="295"/>
      <c r="D25" s="296"/>
      <c r="E25" s="235"/>
      <c r="F25" s="235"/>
      <c r="G25" s="235"/>
      <c r="H25" s="235"/>
      <c r="I25" s="235"/>
    </row>
    <row r="26" spans="1:9">
      <c r="A26" s="295"/>
      <c r="B26" s="295"/>
      <c r="C26" s="295"/>
      <c r="D26" s="296"/>
      <c r="E26" s="235"/>
      <c r="F26" s="235"/>
      <c r="G26" s="235"/>
      <c r="H26" s="235"/>
      <c r="I26" s="235"/>
    </row>
    <row r="27" spans="1:9">
      <c r="A27" s="295"/>
      <c r="B27" s="295"/>
      <c r="C27" s="295"/>
      <c r="D27" s="296"/>
      <c r="E27" s="235"/>
      <c r="F27" s="235"/>
      <c r="G27" s="235"/>
      <c r="H27" s="235"/>
      <c r="I27" s="235"/>
    </row>
    <row r="28" spans="1:9">
      <c r="A28" s="236" t="s">
        <v>249</v>
      </c>
      <c r="B28" s="235"/>
      <c r="C28" s="235"/>
      <c r="D28" s="235"/>
      <c r="E28" s="235"/>
      <c r="F28" s="235"/>
      <c r="G28" s="235"/>
      <c r="H28" s="235"/>
      <c r="I28" s="235"/>
    </row>
    <row r="29" spans="1:9">
      <c r="A29" s="235" t="s">
        <v>245</v>
      </c>
      <c r="B29" s="235"/>
      <c r="C29" s="235"/>
      <c r="D29" s="237">
        <v>300000</v>
      </c>
      <c r="E29" s="320" t="s">
        <v>372</v>
      </c>
      <c r="F29" s="235"/>
      <c r="G29" s="235"/>
      <c r="H29" s="235"/>
      <c r="I29" s="235"/>
    </row>
    <row r="30" spans="1:9">
      <c r="A30" s="235" t="s">
        <v>246</v>
      </c>
      <c r="B30" s="235"/>
      <c r="C30" s="235"/>
      <c r="D30" s="235" t="s">
        <v>301</v>
      </c>
      <c r="E30" s="235"/>
      <c r="F30" s="235"/>
      <c r="G30" s="235"/>
      <c r="H30" s="235"/>
      <c r="I30" s="235"/>
    </row>
    <row r="31" spans="1:9">
      <c r="A31" s="235" t="s">
        <v>247</v>
      </c>
      <c r="B31" s="235"/>
      <c r="C31" s="235"/>
      <c r="D31" s="239">
        <v>0.75</v>
      </c>
      <c r="E31" s="235"/>
      <c r="F31" s="235"/>
      <c r="G31" s="235"/>
      <c r="H31" s="235"/>
      <c r="I31" s="235"/>
    </row>
    <row r="32" spans="1:9" ht="20.6">
      <c r="A32" s="350" t="s">
        <v>248</v>
      </c>
      <c r="B32" s="350"/>
      <c r="C32" s="350"/>
      <c r="D32" s="351">
        <f>D29*D31</f>
        <v>225000</v>
      </c>
      <c r="E32" s="343"/>
      <c r="F32" s="235"/>
      <c r="G32" s="235"/>
      <c r="H32" s="235"/>
      <c r="I32" s="235"/>
    </row>
    <row r="33" spans="1:9">
      <c r="A33" s="295" t="s">
        <v>107</v>
      </c>
      <c r="B33" s="295"/>
      <c r="C33" s="295"/>
      <c r="D33" s="296">
        <v>0.12</v>
      </c>
      <c r="E33" s="235"/>
      <c r="F33" s="235"/>
      <c r="G33" s="235"/>
      <c r="H33" s="235"/>
      <c r="I33" s="235"/>
    </row>
    <row r="34" spans="1:9">
      <c r="A34" s="295" t="s">
        <v>252</v>
      </c>
      <c r="B34" s="295"/>
      <c r="C34" s="295"/>
      <c r="D34" s="296">
        <v>0.02</v>
      </c>
      <c r="E34" s="235"/>
      <c r="F34" s="235"/>
      <c r="G34" s="235"/>
      <c r="H34" s="235"/>
      <c r="I34" s="235"/>
    </row>
    <row r="35" spans="1:9">
      <c r="A35" s="295" t="s">
        <v>105</v>
      </c>
      <c r="B35" s="295"/>
      <c r="C35" s="295"/>
      <c r="D35" s="297">
        <f>D32*D33*F3/12/2</f>
        <v>13500</v>
      </c>
      <c r="E35" s="235" t="s">
        <v>292</v>
      </c>
      <c r="F35" s="235"/>
      <c r="G35" s="235"/>
      <c r="H35" s="235"/>
      <c r="I35" s="235"/>
    </row>
    <row r="36" spans="1:9">
      <c r="A36" s="295" t="s">
        <v>289</v>
      </c>
      <c r="B36" s="295"/>
      <c r="C36" s="295"/>
      <c r="D36" s="297">
        <f>D34*D32</f>
        <v>4500</v>
      </c>
      <c r="E36" s="235" t="s">
        <v>290</v>
      </c>
      <c r="F36" s="235"/>
      <c r="G36" s="235"/>
      <c r="H36" s="235"/>
      <c r="I36" s="235"/>
    </row>
    <row r="37" spans="1:9">
      <c r="A37" s="240"/>
      <c r="B37" s="240"/>
      <c r="C37" s="240"/>
      <c r="D37" s="241"/>
      <c r="E37" s="235"/>
      <c r="F37" s="235"/>
      <c r="G37" s="235"/>
      <c r="H37" s="235"/>
      <c r="I37" s="235"/>
    </row>
    <row r="38" spans="1:9">
      <c r="A38" s="240" t="s">
        <v>105</v>
      </c>
      <c r="B38" s="240"/>
      <c r="C38" s="240"/>
      <c r="D38" s="241">
        <f>D12+D23+D35</f>
        <v>72540</v>
      </c>
      <c r="E38" s="235"/>
      <c r="F38" s="235"/>
      <c r="G38" s="235"/>
      <c r="H38" s="235"/>
      <c r="I38" s="235"/>
    </row>
    <row r="39" spans="1:9">
      <c r="A39" s="240" t="s">
        <v>289</v>
      </c>
      <c r="B39" s="240"/>
      <c r="C39" s="240"/>
      <c r="D39" s="241">
        <f>D13+D24+D36</f>
        <v>18337.5</v>
      </c>
      <c r="E39" s="235"/>
      <c r="F39" s="235"/>
      <c r="G39" s="235"/>
      <c r="H39" s="235"/>
      <c r="I39" s="235"/>
    </row>
    <row r="40" spans="1:9">
      <c r="A40" s="240" t="s">
        <v>293</v>
      </c>
      <c r="B40" s="240"/>
      <c r="C40" s="240"/>
      <c r="D40" s="241">
        <f>SUM(D38:D39)</f>
        <v>90877.5</v>
      </c>
      <c r="E40" s="235"/>
      <c r="F40" s="235"/>
      <c r="G40" s="235"/>
      <c r="H40" s="235"/>
      <c r="I40" s="235"/>
    </row>
    <row r="41" spans="1:9">
      <c r="A41" s="240"/>
      <c r="B41" s="240"/>
      <c r="C41" s="240"/>
      <c r="D41" s="241"/>
      <c r="E41" s="235"/>
      <c r="F41" s="235"/>
      <c r="G41" s="235"/>
      <c r="H41" s="235"/>
      <c r="I41" s="235"/>
    </row>
    <row r="42" spans="1:9">
      <c r="A42" s="240"/>
      <c r="B42" s="240"/>
      <c r="C42" s="240"/>
      <c r="D42" s="241"/>
      <c r="E42" s="235"/>
      <c r="F42" s="235"/>
      <c r="G42" s="235"/>
      <c r="H42" s="235"/>
      <c r="I42" s="235"/>
    </row>
    <row r="43" spans="1:9" ht="16.3" thickBot="1">
      <c r="A43" s="346"/>
      <c r="B43" s="346"/>
      <c r="C43" s="346"/>
      <c r="D43" s="347"/>
      <c r="E43" s="345"/>
      <c r="F43" s="235"/>
      <c r="G43" s="235"/>
      <c r="H43" s="235"/>
      <c r="I43" s="235"/>
    </row>
    <row r="44" spans="1:9" ht="24" thickTop="1" thickBot="1">
      <c r="A44" s="344" t="s">
        <v>294</v>
      </c>
      <c r="B44" s="344"/>
      <c r="C44" s="344"/>
      <c r="D44" s="345"/>
      <c r="E44" s="345"/>
      <c r="F44" s="301">
        <v>15</v>
      </c>
      <c r="G44" s="235"/>
      <c r="H44" s="235"/>
      <c r="I44" s="235"/>
    </row>
    <row r="45" spans="1:9" ht="16.3" thickTop="1">
      <c r="A45" s="235"/>
      <c r="B45" s="235"/>
      <c r="C45" s="235"/>
      <c r="D45" s="235"/>
      <c r="E45" s="235"/>
      <c r="F45" s="235"/>
      <c r="G45" s="235"/>
      <c r="H45" s="235"/>
      <c r="I45" s="235"/>
    </row>
    <row r="46" spans="1:9">
      <c r="A46" s="236" t="s">
        <v>295</v>
      </c>
      <c r="B46" s="235"/>
      <c r="C46" s="235"/>
      <c r="D46" s="235"/>
      <c r="E46" s="235"/>
      <c r="F46" s="235"/>
      <c r="G46" s="235"/>
      <c r="H46" s="235"/>
      <c r="I46" s="235"/>
    </row>
    <row r="47" spans="1:9">
      <c r="A47" s="235" t="s">
        <v>250</v>
      </c>
      <c r="B47" s="235"/>
      <c r="C47" s="235"/>
      <c r="D47" s="237">
        <f>Budget!F93</f>
        <v>3175000</v>
      </c>
      <c r="E47" s="235"/>
      <c r="F47" s="235"/>
      <c r="G47" s="235"/>
      <c r="H47" s="235"/>
      <c r="I47" s="235"/>
    </row>
    <row r="48" spans="1:9">
      <c r="A48" s="235" t="s">
        <v>246</v>
      </c>
      <c r="B48" s="235"/>
      <c r="C48" s="235"/>
      <c r="D48" s="235" t="s">
        <v>302</v>
      </c>
      <c r="E48" s="235"/>
      <c r="F48" s="235"/>
      <c r="G48" s="235"/>
      <c r="H48" s="235"/>
      <c r="I48" s="235"/>
    </row>
    <row r="49" spans="1:9">
      <c r="A49" s="235" t="s">
        <v>251</v>
      </c>
      <c r="B49" s="235"/>
      <c r="C49" s="235"/>
      <c r="D49" s="242">
        <v>0.8</v>
      </c>
      <c r="E49" s="320" t="s">
        <v>253</v>
      </c>
      <c r="F49" s="235"/>
      <c r="G49" s="235"/>
      <c r="H49" s="235"/>
      <c r="I49" s="235"/>
    </row>
    <row r="50" spans="1:9">
      <c r="A50" s="235" t="s">
        <v>296</v>
      </c>
      <c r="B50" s="235"/>
      <c r="C50" s="235"/>
      <c r="D50" s="237">
        <f>D49*D47</f>
        <v>2540000</v>
      </c>
      <c r="E50" s="235"/>
      <c r="F50" s="235"/>
      <c r="G50" s="235"/>
      <c r="H50" s="235"/>
      <c r="I50" s="235"/>
    </row>
    <row r="51" spans="1:9">
      <c r="A51" s="295" t="s">
        <v>107</v>
      </c>
      <c r="B51" s="295"/>
      <c r="C51" s="295"/>
      <c r="D51" s="298">
        <v>6.5000000000000002E-2</v>
      </c>
      <c r="E51" s="235"/>
      <c r="F51" s="235"/>
      <c r="G51" s="235"/>
      <c r="H51" s="235"/>
      <c r="I51" s="235"/>
    </row>
    <row r="52" spans="1:9">
      <c r="A52" s="295" t="s">
        <v>252</v>
      </c>
      <c r="B52" s="295"/>
      <c r="C52" s="295"/>
      <c r="D52" s="296">
        <v>0.01</v>
      </c>
      <c r="E52" s="235"/>
      <c r="F52" s="235"/>
      <c r="G52" s="235"/>
      <c r="H52" s="235"/>
      <c r="I52" s="235"/>
    </row>
    <row r="53" spans="1:9">
      <c r="A53" s="295"/>
      <c r="B53" s="295"/>
      <c r="C53" s="295"/>
      <c r="D53" s="296"/>
      <c r="E53" s="235"/>
      <c r="F53" s="235"/>
      <c r="G53" s="235"/>
      <c r="H53" s="235"/>
      <c r="I53" s="235"/>
    </row>
    <row r="54" spans="1:9">
      <c r="A54" s="240" t="s">
        <v>105</v>
      </c>
      <c r="B54" s="295"/>
      <c r="C54" s="295"/>
      <c r="D54" s="299">
        <f>D51*D50*F44/12/2</f>
        <v>103187.5</v>
      </c>
      <c r="E54" s="235" t="s">
        <v>292</v>
      </c>
      <c r="F54" s="235"/>
      <c r="G54" s="235"/>
      <c r="H54" s="235"/>
      <c r="I54" s="235"/>
    </row>
    <row r="55" spans="1:9">
      <c r="A55" s="240" t="s">
        <v>289</v>
      </c>
      <c r="B55" s="295"/>
      <c r="C55" s="295"/>
      <c r="D55" s="299">
        <f>D50*D52</f>
        <v>25400</v>
      </c>
      <c r="E55" s="235" t="s">
        <v>290</v>
      </c>
      <c r="F55" s="235"/>
      <c r="G55" s="235"/>
      <c r="H55" s="235"/>
      <c r="I55" s="235"/>
    </row>
    <row r="56" spans="1:9">
      <c r="A56" s="240" t="s">
        <v>297</v>
      </c>
      <c r="B56" s="240"/>
      <c r="C56" s="240"/>
      <c r="D56" s="241">
        <f>D54+D55</f>
        <v>128587.5</v>
      </c>
      <c r="E56" s="235"/>
      <c r="F56" s="235"/>
      <c r="G56" s="235"/>
      <c r="H56" s="235"/>
      <c r="I56" s="235"/>
    </row>
    <row r="57" spans="1:9">
      <c r="A57" s="235"/>
      <c r="B57" s="235"/>
      <c r="C57" s="235"/>
      <c r="D57" s="235"/>
      <c r="E57" s="235"/>
      <c r="F57" s="235"/>
      <c r="G57" s="235"/>
      <c r="H57" s="235"/>
      <c r="I57" s="235"/>
    </row>
    <row r="58" spans="1:9">
      <c r="A58" s="235"/>
      <c r="B58" s="235"/>
      <c r="C58" s="235"/>
      <c r="D58" s="235"/>
      <c r="E58" s="235"/>
      <c r="F58" s="235"/>
      <c r="G58" s="235"/>
      <c r="H58" s="235"/>
      <c r="I58" s="235"/>
    </row>
    <row r="59" spans="1:9">
      <c r="A59" s="240" t="s">
        <v>298</v>
      </c>
      <c r="B59" s="235"/>
      <c r="C59" s="235"/>
      <c r="D59" s="237">
        <f>D40+D56</f>
        <v>219465</v>
      </c>
      <c r="E59" s="235"/>
      <c r="F59" s="235"/>
      <c r="G59" s="235"/>
      <c r="H59" s="235"/>
      <c r="I59" s="235"/>
    </row>
    <row r="60" spans="1:9">
      <c r="A60" s="235"/>
      <c r="B60" s="235"/>
      <c r="C60" s="235"/>
      <c r="D60" s="235"/>
      <c r="E60" s="235"/>
      <c r="F60" s="235"/>
      <c r="G60" s="237"/>
      <c r="H60" s="235"/>
      <c r="I60" s="235"/>
    </row>
    <row r="61" spans="1:9">
      <c r="A61" s="235"/>
      <c r="B61" s="235"/>
      <c r="C61" s="235"/>
      <c r="D61" s="235"/>
      <c r="E61" s="235"/>
      <c r="F61" s="235"/>
      <c r="G61" s="235"/>
      <c r="H61" s="235"/>
      <c r="I61" s="235"/>
    </row>
    <row r="62" spans="1:9">
      <c r="A62" s="235"/>
      <c r="B62" s="235"/>
      <c r="C62" s="235"/>
      <c r="D62" s="235"/>
      <c r="E62" s="235"/>
      <c r="F62" s="235"/>
      <c r="G62" s="235"/>
      <c r="H62" s="235"/>
      <c r="I62" s="235"/>
    </row>
    <row r="63" spans="1:9">
      <c r="A63" s="235"/>
      <c r="B63" s="235"/>
      <c r="C63" s="235"/>
      <c r="D63" s="235"/>
      <c r="E63" s="235"/>
      <c r="F63" s="235"/>
      <c r="G63" s="235"/>
      <c r="H63" s="235"/>
      <c r="I63" s="235"/>
    </row>
    <row r="64" spans="1:9">
      <c r="A64" s="235"/>
      <c r="B64" s="235"/>
      <c r="C64" s="235"/>
      <c r="D64" s="235"/>
      <c r="E64" s="235"/>
      <c r="F64" s="235"/>
      <c r="G64" s="235"/>
      <c r="H64" s="235"/>
      <c r="I64" s="235"/>
    </row>
    <row r="65" spans="1:9">
      <c r="A65" s="235"/>
      <c r="B65" s="235"/>
      <c r="C65" s="235"/>
      <c r="D65" s="235"/>
      <c r="E65" s="235"/>
      <c r="F65" s="235"/>
      <c r="G65" s="235"/>
      <c r="H65" s="235"/>
      <c r="I65" s="235"/>
    </row>
    <row r="66" spans="1:9">
      <c r="A66" s="235"/>
      <c r="B66" s="235"/>
      <c r="C66" s="235"/>
      <c r="D66" s="235"/>
      <c r="E66" s="235"/>
      <c r="F66" s="235"/>
      <c r="G66" s="235"/>
      <c r="H66" s="235"/>
      <c r="I66" s="235"/>
    </row>
    <row r="67" spans="1:9">
      <c r="A67" s="235"/>
      <c r="B67" s="235"/>
      <c r="C67" s="235"/>
      <c r="D67" s="235"/>
      <c r="E67" s="235"/>
      <c r="F67" s="235"/>
      <c r="G67" s="235"/>
      <c r="H67" s="235"/>
      <c r="I67" s="235"/>
    </row>
    <row r="68" spans="1:9">
      <c r="A68" s="235"/>
      <c r="B68" s="235"/>
      <c r="C68" s="235"/>
      <c r="D68" s="235"/>
      <c r="E68" s="235"/>
      <c r="F68" s="235"/>
      <c r="G68" s="235"/>
      <c r="H68" s="235"/>
      <c r="I68" s="235"/>
    </row>
    <row r="69" spans="1:9">
      <c r="A69" s="235"/>
      <c r="B69" s="235"/>
      <c r="C69" s="235"/>
      <c r="D69" s="235"/>
      <c r="E69" s="235"/>
      <c r="F69" s="235"/>
      <c r="G69" s="235"/>
      <c r="H69" s="235"/>
      <c r="I69" s="235"/>
    </row>
    <row r="70" spans="1:9">
      <c r="A70" s="235"/>
      <c r="B70" s="235"/>
      <c r="C70" s="235"/>
      <c r="D70" s="235"/>
      <c r="E70" s="235"/>
      <c r="F70" s="235"/>
      <c r="G70" s="235"/>
      <c r="H70" s="235"/>
      <c r="I70" s="235"/>
    </row>
    <row r="71" spans="1:9">
      <c r="A71" s="235"/>
      <c r="B71" s="235"/>
      <c r="C71" s="235"/>
      <c r="D71" s="235"/>
      <c r="E71" s="235"/>
      <c r="F71" s="235"/>
      <c r="G71" s="235"/>
      <c r="H71" s="235"/>
      <c r="I71" s="23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N56"/>
  <sheetViews>
    <sheetView showGridLines="0" workbookViewId="0">
      <selection activeCell="H11" sqref="H11"/>
    </sheetView>
  </sheetViews>
  <sheetFormatPr defaultColWidth="10.5703125" defaultRowHeight="12.9"/>
  <cols>
    <col min="1" max="1" width="6.85546875" style="153" customWidth="1"/>
    <col min="2" max="2" width="11.85546875" style="153" customWidth="1"/>
    <col min="3" max="3" width="9.85546875" style="211" customWidth="1"/>
    <col min="4" max="4" width="11.0703125" style="153" customWidth="1"/>
    <col min="5" max="5" width="9.85546875" style="153" customWidth="1"/>
    <col min="6" max="6" width="17.0703125" style="153" customWidth="1"/>
    <col min="7" max="7" width="3" style="153" customWidth="1"/>
    <col min="8" max="8" width="10.5703125" style="153"/>
    <col min="9" max="9" width="16.140625" style="153" customWidth="1"/>
    <col min="10" max="10" width="8.640625" style="226" customWidth="1"/>
    <col min="11" max="11" width="22.85546875" style="153" customWidth="1"/>
    <col min="12" max="12" width="8.2109375" style="226" customWidth="1"/>
    <col min="13" max="13" width="18.0703125" style="153" customWidth="1"/>
    <col min="14" max="14" width="9.140625" style="226" customWidth="1"/>
    <col min="15" max="16384" width="10.5703125" style="153"/>
  </cols>
  <sheetData>
    <row r="4" spans="1:13" ht="20.6">
      <c r="A4" s="229" t="s">
        <v>219</v>
      </c>
      <c r="B4" s="212"/>
      <c r="C4" s="213"/>
      <c r="D4" s="212"/>
      <c r="E4" s="212"/>
      <c r="F4" s="212"/>
    </row>
    <row r="6" spans="1:13">
      <c r="A6" s="153" t="s">
        <v>150</v>
      </c>
      <c r="B6" s="214">
        <v>42459</v>
      </c>
    </row>
    <row r="7" spans="1:13">
      <c r="A7" s="230" t="s">
        <v>202</v>
      </c>
      <c r="B7" s="231">
        <f>XIRR(E11:E38,B11:B38)</f>
        <v>0.37133803963661194</v>
      </c>
      <c r="C7" s="215"/>
      <c r="D7" s="215"/>
    </row>
    <row r="9" spans="1:13">
      <c r="A9" s="216" t="s">
        <v>148</v>
      </c>
      <c r="B9" s="216" t="s">
        <v>149</v>
      </c>
      <c r="C9" s="217" t="s">
        <v>151</v>
      </c>
      <c r="D9" s="216" t="s">
        <v>152</v>
      </c>
      <c r="E9" s="216" t="s">
        <v>153</v>
      </c>
      <c r="F9" s="216" t="s">
        <v>49</v>
      </c>
    </row>
    <row r="10" spans="1:13">
      <c r="A10" s="218"/>
    </row>
    <row r="11" spans="1:13">
      <c r="A11" s="218">
        <v>0</v>
      </c>
      <c r="B11" s="219">
        <f>EDATE($B$6,A11)</f>
        <v>42459</v>
      </c>
      <c r="C11" s="211">
        <f>-'Req. Equity'!$D$10</f>
        <v>-335625</v>
      </c>
      <c r="D11" s="211">
        <v>0</v>
      </c>
      <c r="E11" s="220">
        <f t="shared" ref="E11:E38" si="0">C11+D11</f>
        <v>-335625</v>
      </c>
    </row>
    <row r="12" spans="1:13">
      <c r="A12" s="218">
        <f>A11+1</f>
        <v>1</v>
      </c>
      <c r="B12" s="219">
        <f>EDATE($B$6,A12)</f>
        <v>42490</v>
      </c>
      <c r="C12" s="211">
        <v>0</v>
      </c>
      <c r="D12" s="211">
        <v>0</v>
      </c>
      <c r="E12" s="220">
        <f t="shared" si="0"/>
        <v>0</v>
      </c>
    </row>
    <row r="13" spans="1:13">
      <c r="A13" s="218">
        <f t="shared" ref="A13:A23" si="1">A12+1</f>
        <v>2</v>
      </c>
      <c r="B13" s="219">
        <f t="shared" ref="B13:B38" si="2">EDATE($B$6,A13)</f>
        <v>42520</v>
      </c>
      <c r="C13" s="211">
        <v>0</v>
      </c>
      <c r="D13" s="211">
        <v>0</v>
      </c>
      <c r="E13" s="220">
        <f t="shared" si="0"/>
        <v>0</v>
      </c>
    </row>
    <row r="14" spans="1:13">
      <c r="A14" s="218">
        <f t="shared" si="1"/>
        <v>3</v>
      </c>
      <c r="B14" s="219">
        <f t="shared" si="2"/>
        <v>42551</v>
      </c>
      <c r="C14" s="211">
        <v>0</v>
      </c>
      <c r="D14" s="211">
        <v>0</v>
      </c>
      <c r="E14" s="220">
        <f t="shared" si="0"/>
        <v>0</v>
      </c>
    </row>
    <row r="15" spans="1:13">
      <c r="A15" s="218">
        <f t="shared" si="1"/>
        <v>4</v>
      </c>
      <c r="B15" s="219">
        <f t="shared" si="2"/>
        <v>42581</v>
      </c>
      <c r="C15" s="211">
        <v>0</v>
      </c>
      <c r="D15" s="211">
        <v>0</v>
      </c>
      <c r="E15" s="220">
        <f t="shared" si="0"/>
        <v>0</v>
      </c>
    </row>
    <row r="16" spans="1:13">
      <c r="A16" s="218">
        <f t="shared" si="1"/>
        <v>5</v>
      </c>
      <c r="B16" s="219">
        <f t="shared" si="2"/>
        <v>42612</v>
      </c>
      <c r="C16" s="211">
        <v>0</v>
      </c>
      <c r="D16" s="211">
        <v>0</v>
      </c>
      <c r="E16" s="220">
        <f t="shared" si="0"/>
        <v>0</v>
      </c>
      <c r="I16" s="335" t="s">
        <v>339</v>
      </c>
      <c r="K16" s="335" t="s">
        <v>347</v>
      </c>
      <c r="M16" s="335" t="s">
        <v>348</v>
      </c>
    </row>
    <row r="17" spans="1:14">
      <c r="A17" s="218">
        <f t="shared" si="1"/>
        <v>6</v>
      </c>
      <c r="B17" s="219">
        <f t="shared" si="2"/>
        <v>42643</v>
      </c>
      <c r="C17" s="211">
        <v>0</v>
      </c>
      <c r="D17" s="211">
        <v>0</v>
      </c>
      <c r="E17" s="220">
        <f t="shared" si="0"/>
        <v>0</v>
      </c>
    </row>
    <row r="18" spans="1:14">
      <c r="A18" s="218">
        <f t="shared" si="1"/>
        <v>7</v>
      </c>
      <c r="B18" s="219">
        <f t="shared" si="2"/>
        <v>42673</v>
      </c>
      <c r="C18" s="211">
        <v>0</v>
      </c>
      <c r="D18" s="211">
        <v>0</v>
      </c>
      <c r="E18" s="220">
        <f t="shared" si="0"/>
        <v>0</v>
      </c>
      <c r="I18" s="153" t="s">
        <v>337</v>
      </c>
      <c r="J18" s="336">
        <f>L18+N18</f>
        <v>91555.34987556751</v>
      </c>
      <c r="K18" s="153" t="s">
        <v>335</v>
      </c>
      <c r="L18" s="336">
        <f>'Ph1 IRR'!B8</f>
        <v>63420.518627590682</v>
      </c>
      <c r="M18" s="153" t="s">
        <v>336</v>
      </c>
      <c r="N18" s="336">
        <f>'Ph2 IRR'!B8</f>
        <v>28134.831247976825</v>
      </c>
    </row>
    <row r="19" spans="1:14">
      <c r="A19" s="218">
        <f t="shared" si="1"/>
        <v>8</v>
      </c>
      <c r="B19" s="219">
        <f t="shared" si="2"/>
        <v>42704</v>
      </c>
      <c r="C19" s="211">
        <v>0</v>
      </c>
      <c r="D19" s="211">
        <v>0</v>
      </c>
      <c r="E19" s="220">
        <f t="shared" si="0"/>
        <v>0</v>
      </c>
      <c r="I19" s="153" t="s">
        <v>338</v>
      </c>
      <c r="J19" s="336">
        <f>Profitability!C6-J18</f>
        <v>389694.65012443252</v>
      </c>
      <c r="K19" s="153" t="s">
        <v>349</v>
      </c>
      <c r="L19" s="319">
        <f>'Req. Equity'!D10/'Req. Equity'!D19</f>
        <v>0.52854330708661412</v>
      </c>
      <c r="M19" s="153" t="s">
        <v>350</v>
      </c>
      <c r="N19" s="338">
        <f>100%-L19</f>
        <v>0.47145669291338588</v>
      </c>
    </row>
    <row r="20" spans="1:14">
      <c r="A20" s="218">
        <f t="shared" si="1"/>
        <v>9</v>
      </c>
      <c r="B20" s="219">
        <f t="shared" si="2"/>
        <v>42734</v>
      </c>
      <c r="C20" s="211">
        <v>0</v>
      </c>
      <c r="D20" s="211">
        <v>0</v>
      </c>
      <c r="E20" s="220">
        <f t="shared" si="0"/>
        <v>0</v>
      </c>
      <c r="I20" s="153" t="s">
        <v>340</v>
      </c>
      <c r="J20" s="337">
        <v>0.6</v>
      </c>
      <c r="K20" s="153" t="s">
        <v>351</v>
      </c>
      <c r="L20" s="319">
        <f>28/43</f>
        <v>0.65116279069767447</v>
      </c>
      <c r="M20" s="153" t="s">
        <v>352</v>
      </c>
      <c r="N20" s="319">
        <f>15/43</f>
        <v>0.34883720930232559</v>
      </c>
    </row>
    <row r="21" spans="1:14">
      <c r="A21" s="218">
        <f t="shared" si="1"/>
        <v>10</v>
      </c>
      <c r="B21" s="219">
        <f t="shared" si="2"/>
        <v>42765</v>
      </c>
      <c r="C21" s="211">
        <v>0</v>
      </c>
      <c r="D21" s="211">
        <v>0</v>
      </c>
      <c r="E21" s="220">
        <f t="shared" si="0"/>
        <v>0</v>
      </c>
      <c r="I21" s="153" t="s">
        <v>341</v>
      </c>
      <c r="J21" s="336">
        <f>J19*J20</f>
        <v>233816.79007465951</v>
      </c>
      <c r="K21" s="153" t="s">
        <v>356</v>
      </c>
      <c r="L21" s="339">
        <f>L19/N19</f>
        <v>1.1210855949895613</v>
      </c>
      <c r="N21" s="319"/>
    </row>
    <row r="22" spans="1:14">
      <c r="A22" s="218">
        <f t="shared" si="1"/>
        <v>11</v>
      </c>
      <c r="B22" s="219">
        <f t="shared" si="2"/>
        <v>42794</v>
      </c>
      <c r="C22" s="211">
        <v>0</v>
      </c>
      <c r="D22" s="211">
        <v>0</v>
      </c>
      <c r="E22" s="220">
        <f t="shared" si="0"/>
        <v>0</v>
      </c>
      <c r="I22" s="153" t="s">
        <v>344</v>
      </c>
      <c r="J22" s="337">
        <f>100%-J20</f>
        <v>0.4</v>
      </c>
      <c r="K22" s="153" t="s">
        <v>355</v>
      </c>
      <c r="L22" s="339">
        <f>L20/N20</f>
        <v>1.8666666666666667</v>
      </c>
      <c r="N22" s="319"/>
    </row>
    <row r="23" spans="1:14">
      <c r="A23" s="218">
        <f t="shared" si="1"/>
        <v>12</v>
      </c>
      <c r="B23" s="219">
        <f t="shared" si="2"/>
        <v>42824</v>
      </c>
      <c r="C23" s="211">
        <v>0</v>
      </c>
      <c r="D23" s="211">
        <v>0</v>
      </c>
      <c r="E23" s="220">
        <f t="shared" si="0"/>
        <v>0</v>
      </c>
      <c r="F23" s="153" t="s">
        <v>168</v>
      </c>
      <c r="I23" s="153" t="s">
        <v>345</v>
      </c>
      <c r="J23" s="336">
        <f>J22*J19</f>
        <v>155877.86004977301</v>
      </c>
      <c r="K23" s="153" t="s">
        <v>357</v>
      </c>
      <c r="L23" s="339">
        <f>L21*L22</f>
        <v>2.0926931106471809</v>
      </c>
      <c r="N23" s="319"/>
    </row>
    <row r="24" spans="1:14">
      <c r="A24" s="218">
        <f>A23+1</f>
        <v>13</v>
      </c>
      <c r="B24" s="219">
        <f t="shared" si="2"/>
        <v>42855</v>
      </c>
      <c r="C24" s="211">
        <f>-'Req. Equity'!$D$21</f>
        <v>-299375</v>
      </c>
      <c r="D24" s="211">
        <v>0</v>
      </c>
      <c r="E24" s="220">
        <f t="shared" si="0"/>
        <v>-299375</v>
      </c>
      <c r="F24" s="153" t="s">
        <v>169</v>
      </c>
      <c r="K24" s="153" t="s">
        <v>358</v>
      </c>
      <c r="L24" s="319">
        <f>L23/(L23+1)</f>
        <v>0.67665721614688801</v>
      </c>
      <c r="M24" s="153" t="s">
        <v>360</v>
      </c>
      <c r="N24" s="319">
        <f>100%-L24</f>
        <v>0.32334278385311199</v>
      </c>
    </row>
    <row r="25" spans="1:14">
      <c r="A25" s="218">
        <f t="shared" ref="A25:A38" si="3">A24+1</f>
        <v>14</v>
      </c>
      <c r="B25" s="219">
        <f t="shared" si="2"/>
        <v>42885</v>
      </c>
      <c r="C25" s="211">
        <v>0</v>
      </c>
      <c r="D25" s="211">
        <v>0</v>
      </c>
      <c r="E25" s="220">
        <f t="shared" si="0"/>
        <v>0</v>
      </c>
      <c r="K25" s="153" t="s">
        <v>359</v>
      </c>
      <c r="L25" s="336">
        <f>L24*J21</f>
        <v>158213.81826032043</v>
      </c>
      <c r="M25" s="153" t="s">
        <v>361</v>
      </c>
      <c r="N25" s="336">
        <f>N24*J21</f>
        <v>75602.971814339093</v>
      </c>
    </row>
    <row r="26" spans="1:14">
      <c r="A26" s="218">
        <f t="shared" si="3"/>
        <v>15</v>
      </c>
      <c r="B26" s="219">
        <f t="shared" si="2"/>
        <v>42916</v>
      </c>
      <c r="C26" s="211">
        <v>0</v>
      </c>
      <c r="D26" s="211">
        <v>0</v>
      </c>
      <c r="E26" s="220">
        <f t="shared" si="0"/>
        <v>0</v>
      </c>
      <c r="I26" s="335"/>
    </row>
    <row r="27" spans="1:14">
      <c r="A27" s="218">
        <f t="shared" si="3"/>
        <v>16</v>
      </c>
      <c r="B27" s="219">
        <f t="shared" si="2"/>
        <v>42946</v>
      </c>
      <c r="C27" s="211">
        <v>0</v>
      </c>
      <c r="D27" s="211">
        <v>0</v>
      </c>
      <c r="E27" s="220">
        <f t="shared" si="0"/>
        <v>0</v>
      </c>
    </row>
    <row r="28" spans="1:14">
      <c r="A28" s="218">
        <f t="shared" si="3"/>
        <v>17</v>
      </c>
      <c r="B28" s="219">
        <f t="shared" si="2"/>
        <v>42977</v>
      </c>
      <c r="C28" s="211">
        <f>C26</f>
        <v>0</v>
      </c>
      <c r="D28" s="211">
        <v>0</v>
      </c>
      <c r="E28" s="220">
        <f t="shared" si="0"/>
        <v>0</v>
      </c>
    </row>
    <row r="29" spans="1:14">
      <c r="A29" s="218">
        <f t="shared" si="3"/>
        <v>18</v>
      </c>
      <c r="B29" s="219">
        <f t="shared" si="2"/>
        <v>43008</v>
      </c>
      <c r="C29" s="211">
        <v>0</v>
      </c>
      <c r="D29" s="211">
        <v>0</v>
      </c>
      <c r="E29" s="220">
        <f t="shared" si="0"/>
        <v>0</v>
      </c>
    </row>
    <row r="30" spans="1:14">
      <c r="A30" s="218">
        <f t="shared" si="3"/>
        <v>19</v>
      </c>
      <c r="B30" s="219">
        <f t="shared" si="2"/>
        <v>43038</v>
      </c>
      <c r="C30" s="211">
        <v>0</v>
      </c>
      <c r="D30" s="211">
        <v>0</v>
      </c>
      <c r="E30" s="220">
        <f t="shared" si="0"/>
        <v>0</v>
      </c>
    </row>
    <row r="31" spans="1:14">
      <c r="A31" s="218">
        <f t="shared" si="3"/>
        <v>20</v>
      </c>
      <c r="B31" s="219">
        <f t="shared" si="2"/>
        <v>43069</v>
      </c>
      <c r="C31" s="211">
        <v>0</v>
      </c>
      <c r="D31" s="211">
        <v>0</v>
      </c>
      <c r="E31" s="220">
        <f t="shared" si="0"/>
        <v>0</v>
      </c>
    </row>
    <row r="32" spans="1:14">
      <c r="A32" s="218">
        <f t="shared" si="3"/>
        <v>21</v>
      </c>
      <c r="B32" s="219">
        <f t="shared" si="2"/>
        <v>43099</v>
      </c>
      <c r="C32" s="211">
        <v>0</v>
      </c>
      <c r="D32" s="211">
        <v>0</v>
      </c>
      <c r="E32" s="220">
        <f t="shared" si="0"/>
        <v>0</v>
      </c>
    </row>
    <row r="33" spans="1:12">
      <c r="A33" s="218">
        <f t="shared" si="3"/>
        <v>22</v>
      </c>
      <c r="B33" s="219">
        <f t="shared" si="2"/>
        <v>43130</v>
      </c>
      <c r="C33" s="211">
        <v>0</v>
      </c>
      <c r="D33" s="211">
        <v>0</v>
      </c>
      <c r="E33" s="220">
        <f t="shared" si="0"/>
        <v>0</v>
      </c>
    </row>
    <row r="34" spans="1:12">
      <c r="A34" s="218">
        <f t="shared" si="3"/>
        <v>23</v>
      </c>
      <c r="B34" s="219">
        <f t="shared" si="2"/>
        <v>43159</v>
      </c>
      <c r="C34" s="211">
        <v>0</v>
      </c>
      <c r="D34" s="211">
        <v>0</v>
      </c>
      <c r="E34" s="220">
        <f t="shared" si="0"/>
        <v>0</v>
      </c>
      <c r="F34" s="153" t="s">
        <v>173</v>
      </c>
    </row>
    <row r="35" spans="1:12">
      <c r="A35" s="218">
        <f t="shared" si="3"/>
        <v>24</v>
      </c>
      <c r="B35" s="219">
        <f t="shared" si="2"/>
        <v>43189</v>
      </c>
      <c r="C35" s="211">
        <v>0</v>
      </c>
      <c r="D35" s="211">
        <v>0</v>
      </c>
      <c r="E35" s="220">
        <f t="shared" si="0"/>
        <v>0</v>
      </c>
      <c r="F35" s="153" t="s">
        <v>170</v>
      </c>
    </row>
    <row r="36" spans="1:12">
      <c r="A36" s="218">
        <f t="shared" si="3"/>
        <v>25</v>
      </c>
      <c r="B36" s="219">
        <f t="shared" si="2"/>
        <v>43220</v>
      </c>
      <c r="C36" s="211">
        <v>0</v>
      </c>
      <c r="D36" s="211">
        <v>0</v>
      </c>
      <c r="E36" s="220">
        <f t="shared" si="0"/>
        <v>0</v>
      </c>
    </row>
    <row r="37" spans="1:12">
      <c r="A37" s="218">
        <f t="shared" si="3"/>
        <v>26</v>
      </c>
      <c r="B37" s="219">
        <f t="shared" si="2"/>
        <v>43250</v>
      </c>
      <c r="C37" s="211">
        <v>0</v>
      </c>
      <c r="D37" s="211">
        <v>0</v>
      </c>
      <c r="E37" s="220">
        <f t="shared" si="0"/>
        <v>0</v>
      </c>
      <c r="L37" s="319"/>
    </row>
    <row r="38" spans="1:12">
      <c r="A38" s="218">
        <f t="shared" si="3"/>
        <v>27</v>
      </c>
      <c r="B38" s="219">
        <f t="shared" si="2"/>
        <v>43281</v>
      </c>
      <c r="C38" s="211">
        <v>0</v>
      </c>
      <c r="D38" s="211">
        <f>Profitability!$C$6+Profitability!$G$4</f>
        <v>1116250</v>
      </c>
      <c r="E38" s="220">
        <f t="shared" si="0"/>
        <v>1116250</v>
      </c>
      <c r="F38" s="153" t="s">
        <v>171</v>
      </c>
      <c r="H38" s="220"/>
      <c r="L38" s="319"/>
    </row>
    <row r="39" spans="1:12">
      <c r="A39" s="218"/>
    </row>
    <row r="40" spans="1:12" ht="13.3" thickBot="1">
      <c r="A40" s="221"/>
      <c r="B40" s="222"/>
      <c r="C40" s="223">
        <f>SUM(C11:C38)</f>
        <v>-635000</v>
      </c>
      <c r="D40" s="223">
        <f>SUM(D11:D38)</f>
        <v>1116250</v>
      </c>
      <c r="E40" s="224">
        <f>SUM(E11:E38)</f>
        <v>481250</v>
      </c>
      <c r="F40" s="225"/>
    </row>
    <row r="41" spans="1:12">
      <c r="A41" s="218"/>
      <c r="H41" s="220"/>
    </row>
    <row r="42" spans="1:12">
      <c r="A42" s="226"/>
    </row>
    <row r="43" spans="1:12">
      <c r="A43" s="218"/>
      <c r="C43" s="153"/>
    </row>
    <row r="44" spans="1:12">
      <c r="A44" s="218"/>
      <c r="C44" s="153"/>
    </row>
    <row r="45" spans="1:12">
      <c r="A45" s="218"/>
      <c r="C45" s="153"/>
    </row>
    <row r="46" spans="1:12">
      <c r="A46" s="218"/>
      <c r="C46" s="153"/>
    </row>
    <row r="47" spans="1:12">
      <c r="A47" s="218"/>
      <c r="C47" s="153"/>
    </row>
    <row r="48" spans="1:12">
      <c r="A48" s="218"/>
      <c r="C48" s="153"/>
    </row>
    <row r="49" spans="1:3">
      <c r="A49" s="218"/>
      <c r="C49" s="153"/>
    </row>
    <row r="50" spans="1:3">
      <c r="A50" s="218"/>
      <c r="C50" s="153"/>
    </row>
    <row r="51" spans="1:3">
      <c r="A51" s="218"/>
      <c r="C51" s="153"/>
    </row>
    <row r="52" spans="1:3">
      <c r="A52" s="218"/>
      <c r="C52" s="153"/>
    </row>
    <row r="53" spans="1:3">
      <c r="A53" s="218"/>
      <c r="C53" s="153"/>
    </row>
    <row r="54" spans="1:3">
      <c r="A54" s="218"/>
      <c r="C54" s="153"/>
    </row>
    <row r="55" spans="1:3">
      <c r="A55" s="218"/>
      <c r="C55" s="153"/>
    </row>
    <row r="56" spans="1:3">
      <c r="A56" s="218"/>
      <c r="C56" s="15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55"/>
  <sheetViews>
    <sheetView showGridLines="0" topLeftCell="A4" workbookViewId="0">
      <selection activeCell="K27" sqref="K27"/>
    </sheetView>
  </sheetViews>
  <sheetFormatPr defaultColWidth="10.5703125" defaultRowHeight="12.9"/>
  <cols>
    <col min="1" max="1" width="8.0703125" style="153" customWidth="1"/>
    <col min="2" max="2" width="11.0703125" style="153" customWidth="1"/>
    <col min="3" max="3" width="10.7109375" style="211" customWidth="1"/>
    <col min="4" max="4" width="10.35546875" style="211" customWidth="1"/>
    <col min="5" max="5" width="10.7109375" style="153" customWidth="1"/>
    <col min="6" max="6" width="11" style="153" customWidth="1"/>
    <col min="7" max="7" width="14.5703125" style="153" customWidth="1"/>
    <col min="8" max="8" width="2.0703125" style="187" customWidth="1"/>
    <col min="9" max="16384" width="10.5703125" style="153"/>
  </cols>
  <sheetData>
    <row r="4" spans="1:8" ht="20.6">
      <c r="A4" s="229" t="s">
        <v>374</v>
      </c>
      <c r="B4" s="212"/>
      <c r="C4" s="213"/>
      <c r="D4" s="213"/>
      <c r="E4" s="212"/>
      <c r="F4" s="212"/>
      <c r="G4" s="212"/>
      <c r="H4" s="227"/>
    </row>
    <row r="6" spans="1:8">
      <c r="A6" s="153" t="s">
        <v>150</v>
      </c>
      <c r="B6" s="214">
        <v>42459</v>
      </c>
    </row>
    <row r="7" spans="1:8">
      <c r="A7" s="232" t="s">
        <v>346</v>
      </c>
      <c r="B7" s="231">
        <f>XIRR(F11:F38,B11:B38)</f>
        <v>0.25250286459922777</v>
      </c>
      <c r="C7" s="215" t="s">
        <v>217</v>
      </c>
      <c r="D7" s="319">
        <f>XIRR(D11:D38,B11:B38)</f>
        <v>7.9885169863700881E-2</v>
      </c>
      <c r="E7" s="215"/>
    </row>
    <row r="8" spans="1:8">
      <c r="A8" s="153" t="s">
        <v>335</v>
      </c>
      <c r="B8" s="334">
        <v>63420.518627590682</v>
      </c>
      <c r="C8" s="153"/>
    </row>
    <row r="9" spans="1:8">
      <c r="A9" s="216" t="s">
        <v>148</v>
      </c>
      <c r="B9" s="216" t="s">
        <v>149</v>
      </c>
      <c r="C9" s="217" t="s">
        <v>151</v>
      </c>
      <c r="D9" s="217" t="s">
        <v>218</v>
      </c>
      <c r="E9" s="216" t="s">
        <v>152</v>
      </c>
      <c r="F9" s="216" t="s">
        <v>153</v>
      </c>
      <c r="G9" s="216" t="s">
        <v>49</v>
      </c>
      <c r="H9" s="228"/>
    </row>
    <row r="10" spans="1:8">
      <c r="A10" s="218"/>
    </row>
    <row r="11" spans="1:8">
      <c r="A11" s="218">
        <v>0</v>
      </c>
      <c r="B11" s="219">
        <f>EDATE($B$6,A11)</f>
        <v>42459</v>
      </c>
      <c r="C11" s="211">
        <f>-'Req. Equity'!$D$10</f>
        <v>-335625</v>
      </c>
      <c r="D11" s="211">
        <f>C11</f>
        <v>-335625</v>
      </c>
      <c r="E11" s="211">
        <v>0</v>
      </c>
      <c r="F11" s="220">
        <f t="shared" ref="F11:F38" si="0">C11+E11</f>
        <v>-335625</v>
      </c>
    </row>
    <row r="12" spans="1:8">
      <c r="A12" s="218">
        <f>A11+1</f>
        <v>1</v>
      </c>
      <c r="B12" s="219">
        <f t="shared" ref="B12:B35" si="1">EDATE($B$6,A12)</f>
        <v>42490</v>
      </c>
      <c r="C12" s="211">
        <v>0</v>
      </c>
      <c r="D12" s="211">
        <f t="shared" ref="D12:D37" si="2">C12</f>
        <v>0</v>
      </c>
      <c r="E12" s="211">
        <v>0</v>
      </c>
      <c r="F12" s="220">
        <f t="shared" si="0"/>
        <v>0</v>
      </c>
    </row>
    <row r="13" spans="1:8">
      <c r="A13" s="218">
        <f t="shared" ref="A13:A23" si="3">A12+1</f>
        <v>2</v>
      </c>
      <c r="B13" s="219">
        <f t="shared" si="1"/>
        <v>42520</v>
      </c>
      <c r="C13" s="211">
        <v>0</v>
      </c>
      <c r="D13" s="211">
        <f t="shared" si="2"/>
        <v>0</v>
      </c>
      <c r="E13" s="211">
        <v>0</v>
      </c>
      <c r="F13" s="220">
        <f t="shared" si="0"/>
        <v>0</v>
      </c>
    </row>
    <row r="14" spans="1:8">
      <c r="A14" s="218">
        <f t="shared" si="3"/>
        <v>3</v>
      </c>
      <c r="B14" s="219">
        <f t="shared" si="1"/>
        <v>42551</v>
      </c>
      <c r="C14" s="211">
        <v>0</v>
      </c>
      <c r="D14" s="211">
        <f t="shared" si="2"/>
        <v>0</v>
      </c>
      <c r="E14" s="211">
        <v>0</v>
      </c>
      <c r="F14" s="220">
        <f t="shared" si="0"/>
        <v>0</v>
      </c>
    </row>
    <row r="15" spans="1:8">
      <c r="A15" s="218">
        <f t="shared" si="3"/>
        <v>4</v>
      </c>
      <c r="B15" s="219">
        <f t="shared" si="1"/>
        <v>42581</v>
      </c>
      <c r="C15" s="211">
        <v>0</v>
      </c>
      <c r="D15" s="211">
        <f t="shared" si="2"/>
        <v>0</v>
      </c>
      <c r="E15" s="211">
        <v>0</v>
      </c>
      <c r="F15" s="220">
        <f t="shared" si="0"/>
        <v>0</v>
      </c>
    </row>
    <row r="16" spans="1:8">
      <c r="A16" s="218">
        <f t="shared" si="3"/>
        <v>5</v>
      </c>
      <c r="B16" s="219">
        <f t="shared" si="1"/>
        <v>42612</v>
      </c>
      <c r="C16" s="211">
        <v>0</v>
      </c>
      <c r="D16" s="211">
        <f t="shared" si="2"/>
        <v>0</v>
      </c>
      <c r="E16" s="211">
        <v>0</v>
      </c>
      <c r="F16" s="220">
        <f t="shared" si="0"/>
        <v>0</v>
      </c>
    </row>
    <row r="17" spans="1:7">
      <c r="A17" s="218">
        <f t="shared" si="3"/>
        <v>6</v>
      </c>
      <c r="B17" s="219">
        <f t="shared" si="1"/>
        <v>42643</v>
      </c>
      <c r="C17" s="211">
        <v>0</v>
      </c>
      <c r="D17" s="211">
        <f t="shared" si="2"/>
        <v>0</v>
      </c>
      <c r="E17" s="211">
        <v>0</v>
      </c>
      <c r="F17" s="220">
        <f t="shared" si="0"/>
        <v>0</v>
      </c>
    </row>
    <row r="18" spans="1:7">
      <c r="A18" s="218">
        <f t="shared" si="3"/>
        <v>7</v>
      </c>
      <c r="B18" s="219">
        <f t="shared" si="1"/>
        <v>42673</v>
      </c>
      <c r="C18" s="211">
        <v>0</v>
      </c>
      <c r="D18" s="211">
        <f t="shared" si="2"/>
        <v>0</v>
      </c>
      <c r="E18" s="211">
        <v>0</v>
      </c>
      <c r="F18" s="220">
        <f t="shared" si="0"/>
        <v>0</v>
      </c>
    </row>
    <row r="19" spans="1:7">
      <c r="A19" s="218">
        <f t="shared" si="3"/>
        <v>8</v>
      </c>
      <c r="B19" s="219">
        <f t="shared" si="1"/>
        <v>42704</v>
      </c>
      <c r="C19" s="211">
        <v>0</v>
      </c>
      <c r="D19" s="211">
        <f t="shared" si="2"/>
        <v>0</v>
      </c>
      <c r="E19" s="211">
        <v>0</v>
      </c>
      <c r="F19" s="220">
        <f t="shared" si="0"/>
        <v>0</v>
      </c>
    </row>
    <row r="20" spans="1:7">
      <c r="A20" s="218">
        <f t="shared" si="3"/>
        <v>9</v>
      </c>
      <c r="B20" s="219">
        <f t="shared" si="1"/>
        <v>42734</v>
      </c>
      <c r="C20" s="211">
        <v>0</v>
      </c>
      <c r="D20" s="211">
        <f t="shared" si="2"/>
        <v>0</v>
      </c>
      <c r="E20" s="211">
        <v>0</v>
      </c>
      <c r="F20" s="220">
        <f t="shared" si="0"/>
        <v>0</v>
      </c>
    </row>
    <row r="21" spans="1:7">
      <c r="A21" s="218">
        <f t="shared" si="3"/>
        <v>10</v>
      </c>
      <c r="B21" s="219">
        <f t="shared" si="1"/>
        <v>42765</v>
      </c>
      <c r="C21" s="211">
        <v>0</v>
      </c>
      <c r="D21" s="211">
        <f t="shared" si="2"/>
        <v>0</v>
      </c>
      <c r="E21" s="211">
        <v>0</v>
      </c>
      <c r="F21" s="220">
        <f t="shared" si="0"/>
        <v>0</v>
      </c>
    </row>
    <row r="22" spans="1:7">
      <c r="A22" s="218">
        <f t="shared" si="3"/>
        <v>11</v>
      </c>
      <c r="B22" s="219">
        <f t="shared" si="1"/>
        <v>42794</v>
      </c>
      <c r="C22" s="211">
        <v>0</v>
      </c>
      <c r="D22" s="211">
        <f t="shared" si="2"/>
        <v>0</v>
      </c>
      <c r="E22" s="211">
        <v>0</v>
      </c>
      <c r="F22" s="220">
        <f t="shared" si="0"/>
        <v>0</v>
      </c>
    </row>
    <row r="23" spans="1:7">
      <c r="A23" s="218">
        <f t="shared" si="3"/>
        <v>12</v>
      </c>
      <c r="B23" s="219">
        <f t="shared" si="1"/>
        <v>42824</v>
      </c>
      <c r="C23" s="211">
        <v>0</v>
      </c>
      <c r="D23" s="211">
        <f t="shared" si="2"/>
        <v>0</v>
      </c>
      <c r="E23" s="211">
        <v>0</v>
      </c>
      <c r="F23" s="220">
        <f t="shared" si="0"/>
        <v>0</v>
      </c>
      <c r="G23" s="153" t="s">
        <v>168</v>
      </c>
    </row>
    <row r="24" spans="1:7">
      <c r="A24" s="218">
        <f>A23+1</f>
        <v>13</v>
      </c>
      <c r="B24" s="219">
        <f t="shared" si="1"/>
        <v>42855</v>
      </c>
      <c r="C24" s="211">
        <v>0</v>
      </c>
      <c r="D24" s="211">
        <f t="shared" si="2"/>
        <v>0</v>
      </c>
      <c r="E24" s="211">
        <v>0</v>
      </c>
      <c r="F24" s="220">
        <f t="shared" si="0"/>
        <v>0</v>
      </c>
      <c r="G24" s="153" t="s">
        <v>169</v>
      </c>
    </row>
    <row r="25" spans="1:7">
      <c r="A25" s="218">
        <f t="shared" ref="A25:A38" si="4">A24+1</f>
        <v>14</v>
      </c>
      <c r="B25" s="219">
        <f t="shared" si="1"/>
        <v>42885</v>
      </c>
      <c r="C25" s="211">
        <v>0</v>
      </c>
      <c r="D25" s="211">
        <f t="shared" si="2"/>
        <v>0</v>
      </c>
      <c r="E25" s="211">
        <v>0</v>
      </c>
      <c r="F25" s="220">
        <f t="shared" si="0"/>
        <v>0</v>
      </c>
    </row>
    <row r="26" spans="1:7">
      <c r="A26" s="218">
        <f t="shared" si="4"/>
        <v>15</v>
      </c>
      <c r="B26" s="219">
        <f t="shared" si="1"/>
        <v>42916</v>
      </c>
      <c r="C26" s="211">
        <v>0</v>
      </c>
      <c r="D26" s="211">
        <f t="shared" si="2"/>
        <v>0</v>
      </c>
      <c r="E26" s="211">
        <v>0</v>
      </c>
      <c r="F26" s="220">
        <f t="shared" si="0"/>
        <v>0</v>
      </c>
    </row>
    <row r="27" spans="1:7">
      <c r="A27" s="218">
        <f t="shared" si="4"/>
        <v>16</v>
      </c>
      <c r="B27" s="219">
        <f t="shared" si="1"/>
        <v>42946</v>
      </c>
      <c r="C27" s="211">
        <v>0</v>
      </c>
      <c r="D27" s="211">
        <f t="shared" si="2"/>
        <v>0</v>
      </c>
      <c r="E27" s="211">
        <v>0</v>
      </c>
      <c r="F27" s="220">
        <f t="shared" si="0"/>
        <v>0</v>
      </c>
    </row>
    <row r="28" spans="1:7">
      <c r="A28" s="218">
        <f t="shared" si="4"/>
        <v>17</v>
      </c>
      <c r="B28" s="219">
        <f t="shared" si="1"/>
        <v>42977</v>
      </c>
      <c r="C28" s="211">
        <f>C26</f>
        <v>0</v>
      </c>
      <c r="D28" s="211">
        <f t="shared" si="2"/>
        <v>0</v>
      </c>
      <c r="E28" s="211">
        <v>0</v>
      </c>
      <c r="F28" s="220">
        <f t="shared" si="0"/>
        <v>0</v>
      </c>
    </row>
    <row r="29" spans="1:7">
      <c r="A29" s="218">
        <f t="shared" si="4"/>
        <v>18</v>
      </c>
      <c r="B29" s="219">
        <f t="shared" si="1"/>
        <v>43008</v>
      </c>
      <c r="C29" s="211">
        <v>0</v>
      </c>
      <c r="D29" s="211">
        <f t="shared" si="2"/>
        <v>0</v>
      </c>
      <c r="E29" s="211">
        <v>0</v>
      </c>
      <c r="F29" s="220">
        <f t="shared" si="0"/>
        <v>0</v>
      </c>
    </row>
    <row r="30" spans="1:7">
      <c r="A30" s="218">
        <f t="shared" si="4"/>
        <v>19</v>
      </c>
      <c r="B30" s="219">
        <f t="shared" si="1"/>
        <v>43038</v>
      </c>
      <c r="C30" s="211">
        <v>0</v>
      </c>
      <c r="D30" s="211">
        <f t="shared" si="2"/>
        <v>0</v>
      </c>
      <c r="E30" s="211">
        <v>0</v>
      </c>
      <c r="F30" s="220">
        <f t="shared" si="0"/>
        <v>0</v>
      </c>
    </row>
    <row r="31" spans="1:7">
      <c r="A31" s="218">
        <f t="shared" si="4"/>
        <v>20</v>
      </c>
      <c r="B31" s="219">
        <f t="shared" si="1"/>
        <v>43069</v>
      </c>
      <c r="C31" s="211">
        <v>0</v>
      </c>
      <c r="D31" s="211">
        <f t="shared" si="2"/>
        <v>0</v>
      </c>
      <c r="E31" s="211">
        <v>0</v>
      </c>
      <c r="F31" s="220">
        <f t="shared" si="0"/>
        <v>0</v>
      </c>
    </row>
    <row r="32" spans="1:7">
      <c r="A32" s="218">
        <f t="shared" si="4"/>
        <v>21</v>
      </c>
      <c r="B32" s="219">
        <f t="shared" si="1"/>
        <v>43099</v>
      </c>
      <c r="C32" s="211">
        <v>0</v>
      </c>
      <c r="D32" s="211">
        <f t="shared" si="2"/>
        <v>0</v>
      </c>
      <c r="E32" s="211">
        <v>0</v>
      </c>
      <c r="F32" s="220">
        <f t="shared" si="0"/>
        <v>0</v>
      </c>
    </row>
    <row r="33" spans="1:7">
      <c r="A33" s="218">
        <f t="shared" si="4"/>
        <v>22</v>
      </c>
      <c r="B33" s="219">
        <f t="shared" si="1"/>
        <v>43130</v>
      </c>
      <c r="C33" s="211">
        <v>0</v>
      </c>
      <c r="D33" s="211">
        <f t="shared" si="2"/>
        <v>0</v>
      </c>
      <c r="E33" s="211">
        <v>0</v>
      </c>
      <c r="F33" s="220">
        <f t="shared" si="0"/>
        <v>0</v>
      </c>
    </row>
    <row r="34" spans="1:7">
      <c r="A34" s="218">
        <f t="shared" si="4"/>
        <v>23</v>
      </c>
      <c r="B34" s="219">
        <f t="shared" si="1"/>
        <v>43159</v>
      </c>
      <c r="C34" s="211">
        <v>0</v>
      </c>
      <c r="D34" s="211">
        <f t="shared" si="2"/>
        <v>0</v>
      </c>
      <c r="E34" s="211">
        <v>0</v>
      </c>
      <c r="F34" s="220">
        <f t="shared" si="0"/>
        <v>0</v>
      </c>
      <c r="G34" s="153" t="s">
        <v>173</v>
      </c>
    </row>
    <row r="35" spans="1:7">
      <c r="A35" s="218">
        <f t="shared" si="4"/>
        <v>24</v>
      </c>
      <c r="B35" s="219">
        <f t="shared" si="1"/>
        <v>43189</v>
      </c>
      <c r="C35" s="211">
        <v>0</v>
      </c>
      <c r="D35" s="211">
        <f t="shared" si="2"/>
        <v>0</v>
      </c>
      <c r="E35" s="211">
        <v>0</v>
      </c>
      <c r="F35" s="220">
        <f t="shared" si="0"/>
        <v>0</v>
      </c>
      <c r="G35" s="153" t="s">
        <v>170</v>
      </c>
    </row>
    <row r="36" spans="1:7">
      <c r="A36" s="218">
        <f t="shared" si="4"/>
        <v>25</v>
      </c>
      <c r="B36" s="219">
        <f>EDATE($B$6,A36)</f>
        <v>43220</v>
      </c>
      <c r="C36" s="211">
        <v>0</v>
      </c>
      <c r="D36" s="211">
        <f t="shared" si="2"/>
        <v>0</v>
      </c>
      <c r="E36" s="211">
        <v>0</v>
      </c>
      <c r="F36" s="220">
        <f t="shared" si="0"/>
        <v>0</v>
      </c>
    </row>
    <row r="37" spans="1:7">
      <c r="A37" s="218">
        <f t="shared" si="4"/>
        <v>26</v>
      </c>
      <c r="B37" s="219">
        <f>EDATE($B$6,A37)</f>
        <v>43250</v>
      </c>
      <c r="C37" s="211">
        <v>0</v>
      </c>
      <c r="D37" s="211">
        <f t="shared" si="2"/>
        <v>0</v>
      </c>
      <c r="E37" s="211">
        <v>0</v>
      </c>
      <c r="F37" s="220">
        <f t="shared" si="0"/>
        <v>0</v>
      </c>
    </row>
    <row r="38" spans="1:7">
      <c r="A38" s="218">
        <f t="shared" si="4"/>
        <v>27</v>
      </c>
      <c r="B38" s="219">
        <f>EDATE($B$6,A38)</f>
        <v>43281</v>
      </c>
      <c r="C38" s="211">
        <v>0</v>
      </c>
      <c r="D38" s="211">
        <f>-SUM(D11:D37)+B8</f>
        <v>399045.51862759067</v>
      </c>
      <c r="E38" s="211">
        <f>D38+'Project IRR'!L25</f>
        <v>557259.33688791108</v>
      </c>
      <c r="F38" s="220">
        <f t="shared" si="0"/>
        <v>557259.33688791108</v>
      </c>
      <c r="G38" s="153" t="s">
        <v>171</v>
      </c>
    </row>
    <row r="39" spans="1:7">
      <c r="A39" s="218"/>
      <c r="F39" s="220">
        <f>SUM(F11:F38)</f>
        <v>221634.33688791108</v>
      </c>
      <c r="G39" s="153" t="s">
        <v>343</v>
      </c>
    </row>
    <row r="40" spans="1:7">
      <c r="A40" s="218"/>
      <c r="F40" s="340">
        <f>-(F39-SUM(F11:F37))/SUM(F11:F37)</f>
        <v>1.660363014936048</v>
      </c>
      <c r="G40" s="153" t="s">
        <v>362</v>
      </c>
    </row>
    <row r="41" spans="1:7">
      <c r="A41" s="226"/>
    </row>
    <row r="42" spans="1:7">
      <c r="A42" s="218"/>
      <c r="G42" s="220"/>
    </row>
    <row r="43" spans="1:7">
      <c r="A43" s="218"/>
    </row>
    <row r="44" spans="1:7">
      <c r="A44" s="218"/>
    </row>
    <row r="45" spans="1:7">
      <c r="A45" s="218"/>
    </row>
    <row r="46" spans="1:7">
      <c r="A46" s="218"/>
    </row>
    <row r="47" spans="1:7">
      <c r="A47" s="218"/>
    </row>
    <row r="48" spans="1:7">
      <c r="A48" s="218"/>
    </row>
    <row r="49" spans="1:1">
      <c r="A49" s="218"/>
    </row>
    <row r="50" spans="1:1">
      <c r="A50" s="218"/>
    </row>
    <row r="51" spans="1:1">
      <c r="A51" s="218"/>
    </row>
    <row r="52" spans="1:1">
      <c r="A52" s="218"/>
    </row>
    <row r="53" spans="1:1">
      <c r="A53" s="218"/>
    </row>
    <row r="54" spans="1:1">
      <c r="A54" s="218"/>
    </row>
    <row r="55" spans="1:1">
      <c r="A55" s="2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55"/>
  <sheetViews>
    <sheetView showGridLines="0" topLeftCell="A7" workbookViewId="0">
      <selection activeCell="L33" sqref="L33"/>
    </sheetView>
  </sheetViews>
  <sheetFormatPr defaultColWidth="10.5703125" defaultRowHeight="12.9"/>
  <cols>
    <col min="1" max="1" width="8.0703125" style="153" customWidth="1"/>
    <col min="2" max="2" width="11.0703125" style="153" customWidth="1"/>
    <col min="3" max="3" width="10.7109375" style="211" customWidth="1"/>
    <col min="4" max="4" width="10.35546875" style="211" customWidth="1"/>
    <col min="5" max="5" width="10.7109375" style="153" customWidth="1"/>
    <col min="6" max="6" width="11" style="153" customWidth="1"/>
    <col min="7" max="7" width="14.5703125" style="153" customWidth="1"/>
    <col min="8" max="8" width="2.0703125" style="187" customWidth="1"/>
    <col min="9" max="16384" width="10.5703125" style="153"/>
  </cols>
  <sheetData>
    <row r="4" spans="1:8" ht="20.6">
      <c r="A4" s="229" t="s">
        <v>354</v>
      </c>
      <c r="B4" s="212"/>
      <c r="C4" s="213"/>
      <c r="D4" s="213"/>
      <c r="E4" s="212"/>
      <c r="F4" s="212"/>
      <c r="G4" s="212"/>
      <c r="H4" s="227"/>
    </row>
    <row r="6" spans="1:8">
      <c r="A6" s="153" t="s">
        <v>150</v>
      </c>
      <c r="B6" s="214">
        <v>42459</v>
      </c>
    </row>
    <row r="7" spans="1:8">
      <c r="A7" s="232" t="s">
        <v>353</v>
      </c>
      <c r="B7" s="231">
        <f>XIRR(F24:F38,B24:B38)</f>
        <v>0.2903544008731842</v>
      </c>
      <c r="C7" s="215" t="s">
        <v>217</v>
      </c>
      <c r="D7" s="319">
        <f>XIRR(D24:D38,B24:B38)</f>
        <v>7.9998227953910858E-2</v>
      </c>
      <c r="E7" s="215"/>
    </row>
    <row r="8" spans="1:8">
      <c r="A8" s="153" t="s">
        <v>336</v>
      </c>
      <c r="B8" s="334">
        <v>28134.831247976825</v>
      </c>
      <c r="C8" s="153"/>
    </row>
    <row r="9" spans="1:8">
      <c r="A9" s="216" t="s">
        <v>148</v>
      </c>
      <c r="B9" s="216" t="s">
        <v>149</v>
      </c>
      <c r="C9" s="217" t="s">
        <v>151</v>
      </c>
      <c r="D9" s="217" t="s">
        <v>218</v>
      </c>
      <c r="E9" s="216" t="s">
        <v>152</v>
      </c>
      <c r="F9" s="216" t="s">
        <v>153</v>
      </c>
      <c r="G9" s="216" t="s">
        <v>49</v>
      </c>
      <c r="H9" s="228"/>
    </row>
    <row r="10" spans="1:8">
      <c r="A10" s="218"/>
    </row>
    <row r="11" spans="1:8">
      <c r="A11" s="218">
        <v>0</v>
      </c>
      <c r="B11" s="219">
        <f>EDATE($B$6,A11)</f>
        <v>42459</v>
      </c>
      <c r="C11" s="211">
        <v>0</v>
      </c>
      <c r="D11" s="211">
        <f>C11</f>
        <v>0</v>
      </c>
      <c r="E11" s="211">
        <v>0</v>
      </c>
      <c r="F11" s="220">
        <f>C11+E11</f>
        <v>0</v>
      </c>
    </row>
    <row r="12" spans="1:8">
      <c r="A12" s="218">
        <f>A11+1</f>
        <v>1</v>
      </c>
      <c r="B12" s="219">
        <f t="shared" ref="B12:B35" si="0">EDATE($B$6,A12)</f>
        <v>42490</v>
      </c>
      <c r="C12" s="211">
        <v>0</v>
      </c>
      <c r="D12" s="211">
        <f t="shared" ref="D12:D37" si="1">C12</f>
        <v>0</v>
      </c>
      <c r="E12" s="211">
        <v>0</v>
      </c>
      <c r="F12" s="220">
        <f t="shared" ref="F12:F35" si="2">C12+E12</f>
        <v>0</v>
      </c>
    </row>
    <row r="13" spans="1:8">
      <c r="A13" s="218">
        <f t="shared" ref="A13:A23" si="3">A12+1</f>
        <v>2</v>
      </c>
      <c r="B13" s="219">
        <f t="shared" si="0"/>
        <v>42520</v>
      </c>
      <c r="C13" s="211">
        <v>0</v>
      </c>
      <c r="D13" s="211">
        <f t="shared" si="1"/>
        <v>0</v>
      </c>
      <c r="E13" s="211">
        <v>0</v>
      </c>
      <c r="F13" s="220">
        <f t="shared" si="2"/>
        <v>0</v>
      </c>
    </row>
    <row r="14" spans="1:8">
      <c r="A14" s="218">
        <f t="shared" si="3"/>
        <v>3</v>
      </c>
      <c r="B14" s="219">
        <f t="shared" si="0"/>
        <v>42551</v>
      </c>
      <c r="C14" s="211">
        <v>0</v>
      </c>
      <c r="D14" s="211">
        <f t="shared" si="1"/>
        <v>0</v>
      </c>
      <c r="E14" s="211">
        <v>0</v>
      </c>
      <c r="F14" s="220">
        <f t="shared" si="2"/>
        <v>0</v>
      </c>
    </row>
    <row r="15" spans="1:8">
      <c r="A15" s="218">
        <f t="shared" si="3"/>
        <v>4</v>
      </c>
      <c r="B15" s="219">
        <f t="shared" si="0"/>
        <v>42581</v>
      </c>
      <c r="C15" s="211">
        <v>0</v>
      </c>
      <c r="D15" s="211">
        <f t="shared" si="1"/>
        <v>0</v>
      </c>
      <c r="E15" s="211">
        <v>0</v>
      </c>
      <c r="F15" s="220">
        <f t="shared" si="2"/>
        <v>0</v>
      </c>
    </row>
    <row r="16" spans="1:8">
      <c r="A16" s="218">
        <f t="shared" si="3"/>
        <v>5</v>
      </c>
      <c r="B16" s="219">
        <f t="shared" si="0"/>
        <v>42612</v>
      </c>
      <c r="C16" s="211">
        <v>0</v>
      </c>
      <c r="D16" s="211">
        <f t="shared" si="1"/>
        <v>0</v>
      </c>
      <c r="E16" s="211">
        <v>0</v>
      </c>
      <c r="F16" s="220">
        <f t="shared" si="2"/>
        <v>0</v>
      </c>
    </row>
    <row r="17" spans="1:11">
      <c r="A17" s="218">
        <f t="shared" si="3"/>
        <v>6</v>
      </c>
      <c r="B17" s="219">
        <f t="shared" si="0"/>
        <v>42643</v>
      </c>
      <c r="C17" s="211">
        <v>0</v>
      </c>
      <c r="D17" s="211">
        <f t="shared" si="1"/>
        <v>0</v>
      </c>
      <c r="E17" s="211">
        <v>0</v>
      </c>
      <c r="F17" s="220">
        <f t="shared" si="2"/>
        <v>0</v>
      </c>
      <c r="J17" s="153" t="s">
        <v>378</v>
      </c>
    </row>
    <row r="18" spans="1:11">
      <c r="A18" s="218">
        <f t="shared" si="3"/>
        <v>7</v>
      </c>
      <c r="B18" s="219">
        <f t="shared" si="0"/>
        <v>42673</v>
      </c>
      <c r="C18" s="211">
        <v>0</v>
      </c>
      <c r="D18" s="211">
        <f t="shared" si="1"/>
        <v>0</v>
      </c>
      <c r="E18" s="211">
        <v>0</v>
      </c>
      <c r="F18" s="220">
        <f t="shared" si="2"/>
        <v>0</v>
      </c>
      <c r="J18" s="153" t="s">
        <v>377</v>
      </c>
      <c r="K18" s="153">
        <v>335000</v>
      </c>
    </row>
    <row r="19" spans="1:11">
      <c r="A19" s="218">
        <f t="shared" si="3"/>
        <v>8</v>
      </c>
      <c r="B19" s="219">
        <f t="shared" si="0"/>
        <v>42704</v>
      </c>
      <c r="C19" s="211">
        <v>0</v>
      </c>
      <c r="D19" s="211">
        <f t="shared" si="1"/>
        <v>0</v>
      </c>
      <c r="E19" s="211">
        <v>0</v>
      </c>
      <c r="F19" s="220">
        <f t="shared" si="2"/>
        <v>0</v>
      </c>
      <c r="J19" s="153" t="s">
        <v>375</v>
      </c>
      <c r="K19" s="153">
        <f>335000*0.15</f>
        <v>50250</v>
      </c>
    </row>
    <row r="20" spans="1:11">
      <c r="A20" s="218">
        <f t="shared" si="3"/>
        <v>9</v>
      </c>
      <c r="B20" s="219">
        <f t="shared" si="0"/>
        <v>42734</v>
      </c>
      <c r="C20" s="211">
        <v>0</v>
      </c>
      <c r="D20" s="211">
        <f t="shared" si="1"/>
        <v>0</v>
      </c>
      <c r="E20" s="211">
        <v>0</v>
      </c>
      <c r="F20" s="220">
        <f t="shared" si="2"/>
        <v>0</v>
      </c>
      <c r="J20" s="153" t="s">
        <v>376</v>
      </c>
      <c r="K20" s="153">
        <f>335000-K19</f>
        <v>284750</v>
      </c>
    </row>
    <row r="21" spans="1:11">
      <c r="A21" s="218">
        <f t="shared" si="3"/>
        <v>10</v>
      </c>
      <c r="B21" s="219">
        <f t="shared" si="0"/>
        <v>42765</v>
      </c>
      <c r="C21" s="211">
        <v>0</v>
      </c>
      <c r="D21" s="211">
        <f t="shared" si="1"/>
        <v>0</v>
      </c>
      <c r="E21" s="211">
        <v>0</v>
      </c>
      <c r="F21" s="220">
        <f t="shared" si="2"/>
        <v>0</v>
      </c>
    </row>
    <row r="22" spans="1:11">
      <c r="A22" s="218">
        <f t="shared" si="3"/>
        <v>11</v>
      </c>
      <c r="B22" s="219">
        <f t="shared" si="0"/>
        <v>42794</v>
      </c>
      <c r="C22" s="211">
        <v>0</v>
      </c>
      <c r="D22" s="211">
        <f t="shared" si="1"/>
        <v>0</v>
      </c>
      <c r="E22" s="211">
        <v>0</v>
      </c>
      <c r="F22" s="220">
        <f t="shared" si="2"/>
        <v>0</v>
      </c>
    </row>
    <row r="23" spans="1:11">
      <c r="A23" s="218">
        <f t="shared" si="3"/>
        <v>12</v>
      </c>
      <c r="B23" s="219">
        <f t="shared" si="0"/>
        <v>42824</v>
      </c>
      <c r="C23" s="211">
        <v>0</v>
      </c>
      <c r="D23" s="211">
        <f t="shared" si="1"/>
        <v>0</v>
      </c>
      <c r="E23" s="211">
        <v>0</v>
      </c>
      <c r="F23" s="220">
        <f t="shared" si="2"/>
        <v>0</v>
      </c>
      <c r="G23" s="153" t="s">
        <v>168</v>
      </c>
      <c r="J23" s="153" t="s">
        <v>379</v>
      </c>
    </row>
    <row r="24" spans="1:11">
      <c r="A24" s="218">
        <f>A23+1</f>
        <v>13</v>
      </c>
      <c r="B24" s="219">
        <f t="shared" si="0"/>
        <v>42855</v>
      </c>
      <c r="C24" s="211">
        <f>-'Req. Equity'!D21</f>
        <v>-299375</v>
      </c>
      <c r="D24" s="211">
        <f t="shared" si="1"/>
        <v>-299375</v>
      </c>
      <c r="E24" s="211">
        <v>0</v>
      </c>
      <c r="F24" s="220">
        <f t="shared" si="2"/>
        <v>-299375</v>
      </c>
      <c r="G24" s="153" t="s">
        <v>169</v>
      </c>
      <c r="J24" s="153" t="s">
        <v>380</v>
      </c>
      <c r="K24" s="153">
        <v>300000</v>
      </c>
    </row>
    <row r="25" spans="1:11">
      <c r="A25" s="218">
        <f t="shared" ref="A25:A38" si="4">A24+1</f>
        <v>14</v>
      </c>
      <c r="B25" s="219">
        <f t="shared" si="0"/>
        <v>42885</v>
      </c>
      <c r="C25" s="211">
        <v>0</v>
      </c>
      <c r="D25" s="211">
        <f t="shared" si="1"/>
        <v>0</v>
      </c>
      <c r="E25" s="211">
        <v>0</v>
      </c>
      <c r="F25" s="220">
        <f t="shared" si="2"/>
        <v>0</v>
      </c>
      <c r="J25" s="153" t="s">
        <v>375</v>
      </c>
      <c r="K25" s="153">
        <v>15000</v>
      </c>
    </row>
    <row r="26" spans="1:11">
      <c r="A26" s="218">
        <f t="shared" si="4"/>
        <v>15</v>
      </c>
      <c r="B26" s="219">
        <f t="shared" si="0"/>
        <v>42916</v>
      </c>
      <c r="C26" s="211">
        <v>0</v>
      </c>
      <c r="D26" s="211">
        <f t="shared" si="1"/>
        <v>0</v>
      </c>
      <c r="E26" s="211">
        <v>0</v>
      </c>
      <c r="F26" s="220">
        <f t="shared" si="2"/>
        <v>0</v>
      </c>
      <c r="J26" s="153" t="s">
        <v>376</v>
      </c>
      <c r="K26" s="153">
        <f>K24-K25</f>
        <v>285000</v>
      </c>
    </row>
    <row r="27" spans="1:11">
      <c r="A27" s="218">
        <f t="shared" si="4"/>
        <v>16</v>
      </c>
      <c r="B27" s="219">
        <f t="shared" si="0"/>
        <v>42946</v>
      </c>
      <c r="C27" s="211">
        <v>0</v>
      </c>
      <c r="D27" s="211">
        <f t="shared" si="1"/>
        <v>0</v>
      </c>
      <c r="E27" s="211">
        <v>0</v>
      </c>
      <c r="F27" s="220">
        <f t="shared" si="2"/>
        <v>0</v>
      </c>
    </row>
    <row r="28" spans="1:11">
      <c r="A28" s="218">
        <f t="shared" si="4"/>
        <v>17</v>
      </c>
      <c r="B28" s="219">
        <f t="shared" si="0"/>
        <v>42977</v>
      </c>
      <c r="C28" s="211">
        <f>C26</f>
        <v>0</v>
      </c>
      <c r="D28" s="211">
        <f t="shared" si="1"/>
        <v>0</v>
      </c>
      <c r="E28" s="211">
        <v>0</v>
      </c>
      <c r="F28" s="220">
        <f t="shared" si="2"/>
        <v>0</v>
      </c>
    </row>
    <row r="29" spans="1:11">
      <c r="A29" s="218">
        <f t="shared" si="4"/>
        <v>18</v>
      </c>
      <c r="B29" s="219">
        <f t="shared" si="0"/>
        <v>43008</v>
      </c>
      <c r="C29" s="211">
        <v>0</v>
      </c>
      <c r="D29" s="211">
        <f t="shared" si="1"/>
        <v>0</v>
      </c>
      <c r="E29" s="211">
        <v>0</v>
      </c>
      <c r="F29" s="220">
        <f t="shared" si="2"/>
        <v>0</v>
      </c>
    </row>
    <row r="30" spans="1:11">
      <c r="A30" s="218">
        <f t="shared" si="4"/>
        <v>19</v>
      </c>
      <c r="B30" s="219">
        <f t="shared" si="0"/>
        <v>43038</v>
      </c>
      <c r="C30" s="211">
        <v>0</v>
      </c>
      <c r="D30" s="211">
        <f t="shared" si="1"/>
        <v>0</v>
      </c>
      <c r="E30" s="211">
        <v>0</v>
      </c>
      <c r="F30" s="220">
        <f t="shared" si="2"/>
        <v>0</v>
      </c>
    </row>
    <row r="31" spans="1:11">
      <c r="A31" s="218">
        <f t="shared" si="4"/>
        <v>20</v>
      </c>
      <c r="B31" s="219">
        <f t="shared" si="0"/>
        <v>43069</v>
      </c>
      <c r="C31" s="211">
        <v>0</v>
      </c>
      <c r="D31" s="211">
        <f t="shared" si="1"/>
        <v>0</v>
      </c>
      <c r="E31" s="211">
        <v>0</v>
      </c>
      <c r="F31" s="220">
        <f t="shared" si="2"/>
        <v>0</v>
      </c>
    </row>
    <row r="32" spans="1:11">
      <c r="A32" s="218">
        <f t="shared" si="4"/>
        <v>21</v>
      </c>
      <c r="B32" s="219">
        <f t="shared" si="0"/>
        <v>43099</v>
      </c>
      <c r="C32" s="211">
        <v>0</v>
      </c>
      <c r="D32" s="211">
        <f t="shared" si="1"/>
        <v>0</v>
      </c>
      <c r="E32" s="211">
        <v>0</v>
      </c>
      <c r="F32" s="220">
        <f t="shared" si="2"/>
        <v>0</v>
      </c>
    </row>
    <row r="33" spans="1:7">
      <c r="A33" s="218">
        <f t="shared" si="4"/>
        <v>22</v>
      </c>
      <c r="B33" s="219">
        <f t="shared" si="0"/>
        <v>43130</v>
      </c>
      <c r="C33" s="211">
        <v>0</v>
      </c>
      <c r="D33" s="211">
        <f t="shared" si="1"/>
        <v>0</v>
      </c>
      <c r="E33" s="211">
        <v>0</v>
      </c>
      <c r="F33" s="220">
        <f t="shared" si="2"/>
        <v>0</v>
      </c>
    </row>
    <row r="34" spans="1:7">
      <c r="A34" s="218">
        <f t="shared" si="4"/>
        <v>23</v>
      </c>
      <c r="B34" s="219">
        <f t="shared" si="0"/>
        <v>43159</v>
      </c>
      <c r="C34" s="211">
        <v>0</v>
      </c>
      <c r="D34" s="211">
        <f t="shared" si="1"/>
        <v>0</v>
      </c>
      <c r="E34" s="211">
        <v>0</v>
      </c>
      <c r="F34" s="220">
        <f t="shared" si="2"/>
        <v>0</v>
      </c>
      <c r="G34" s="153" t="s">
        <v>173</v>
      </c>
    </row>
    <row r="35" spans="1:7">
      <c r="A35" s="218">
        <f t="shared" si="4"/>
        <v>24</v>
      </c>
      <c r="B35" s="219">
        <f t="shared" si="0"/>
        <v>43189</v>
      </c>
      <c r="C35" s="211">
        <v>0</v>
      </c>
      <c r="D35" s="211">
        <f t="shared" si="1"/>
        <v>0</v>
      </c>
      <c r="E35" s="211">
        <v>0</v>
      </c>
      <c r="F35" s="220">
        <f t="shared" si="2"/>
        <v>0</v>
      </c>
      <c r="G35" s="153" t="s">
        <v>170</v>
      </c>
    </row>
    <row r="36" spans="1:7">
      <c r="A36" s="218">
        <f t="shared" si="4"/>
        <v>25</v>
      </c>
      <c r="B36" s="219">
        <f>EDATE($B$6,A36)</f>
        <v>43220</v>
      </c>
      <c r="C36" s="211">
        <v>0</v>
      </c>
      <c r="D36" s="211">
        <f t="shared" si="1"/>
        <v>0</v>
      </c>
      <c r="E36" s="211">
        <v>0</v>
      </c>
      <c r="F36" s="220">
        <f>C36+E36</f>
        <v>0</v>
      </c>
    </row>
    <row r="37" spans="1:7">
      <c r="A37" s="218">
        <f t="shared" si="4"/>
        <v>26</v>
      </c>
      <c r="B37" s="219">
        <f>EDATE($B$6,A37)</f>
        <v>43250</v>
      </c>
      <c r="C37" s="211">
        <v>0</v>
      </c>
      <c r="D37" s="211">
        <f t="shared" si="1"/>
        <v>0</v>
      </c>
      <c r="E37" s="211">
        <v>0</v>
      </c>
      <c r="F37" s="220">
        <f>C37+E37</f>
        <v>0</v>
      </c>
    </row>
    <row r="38" spans="1:7">
      <c r="A38" s="218">
        <f t="shared" si="4"/>
        <v>27</v>
      </c>
      <c r="B38" s="219">
        <f>EDATE($B$6,A38)</f>
        <v>43281</v>
      </c>
      <c r="C38" s="211">
        <v>0</v>
      </c>
      <c r="D38" s="211">
        <f>-SUM(D11:D37)+B8</f>
        <v>327509.83124797681</v>
      </c>
      <c r="E38" s="211">
        <f>D38+'Project IRR'!N25</f>
        <v>403112.80306231591</v>
      </c>
      <c r="F38" s="220">
        <f>C38+E38</f>
        <v>403112.80306231591</v>
      </c>
      <c r="G38" s="153" t="s">
        <v>171</v>
      </c>
    </row>
    <row r="39" spans="1:7">
      <c r="A39" s="218"/>
      <c r="F39" s="220">
        <f>SUM(F11:F38)</f>
        <v>103737.80306231591</v>
      </c>
      <c r="G39" s="153" t="s">
        <v>342</v>
      </c>
    </row>
    <row r="40" spans="1:7">
      <c r="A40" s="218"/>
      <c r="F40" s="340">
        <f>-(F39-SUM(F11:F37))/SUM(F11:F37)</f>
        <v>1.3465145822540825</v>
      </c>
      <c r="G40" s="153" t="s">
        <v>363</v>
      </c>
    </row>
    <row r="41" spans="1:7">
      <c r="A41" s="226"/>
    </row>
    <row r="42" spans="1:7">
      <c r="A42" s="218"/>
    </row>
    <row r="43" spans="1:7">
      <c r="A43" s="218"/>
    </row>
    <row r="44" spans="1:7">
      <c r="A44" s="218"/>
    </row>
    <row r="45" spans="1:7">
      <c r="A45" s="218"/>
    </row>
    <row r="46" spans="1:7">
      <c r="A46" s="218"/>
    </row>
    <row r="47" spans="1:7">
      <c r="A47" s="218"/>
    </row>
    <row r="48" spans="1:7">
      <c r="A48" s="218"/>
    </row>
    <row r="49" spans="1:1">
      <c r="A49" s="218"/>
    </row>
    <row r="50" spans="1:1">
      <c r="A50" s="218"/>
    </row>
    <row r="51" spans="1:1">
      <c r="A51" s="218"/>
    </row>
    <row r="52" spans="1:1">
      <c r="A52" s="218"/>
    </row>
    <row r="53" spans="1:1">
      <c r="A53" s="218"/>
    </row>
    <row r="54" spans="1:1">
      <c r="A54" s="218"/>
    </row>
    <row r="55" spans="1:1">
      <c r="A55" s="21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55"/>
  <sheetViews>
    <sheetView showGridLines="0" tabSelected="1" topLeftCell="A7" workbookViewId="0">
      <selection activeCell="K27" sqref="K27"/>
    </sheetView>
  </sheetViews>
  <sheetFormatPr defaultColWidth="10.5703125" defaultRowHeight="12.9"/>
  <cols>
    <col min="1" max="1" width="8.0703125" style="153" customWidth="1"/>
    <col min="2" max="2" width="11.0703125" style="153" customWidth="1"/>
    <col min="3" max="3" width="10.7109375" style="211" customWidth="1"/>
    <col min="4" max="4" width="10.35546875" style="211" customWidth="1"/>
    <col min="5" max="5" width="10.7109375" style="153" customWidth="1"/>
    <col min="6" max="6" width="11" style="153" customWidth="1"/>
    <col min="7" max="7" width="14.5703125" style="153" customWidth="1"/>
    <col min="8" max="8" width="2.0703125" style="187" customWidth="1"/>
    <col min="9" max="16384" width="10.5703125" style="153"/>
  </cols>
  <sheetData>
    <row r="4" spans="1:8" ht="20.6">
      <c r="A4" s="229" t="s">
        <v>364</v>
      </c>
      <c r="B4" s="212"/>
      <c r="C4" s="213"/>
      <c r="D4" s="213"/>
      <c r="E4" s="212"/>
      <c r="F4" s="212"/>
      <c r="G4" s="212"/>
      <c r="H4" s="227"/>
    </row>
    <row r="6" spans="1:8">
      <c r="A6" s="153" t="s">
        <v>150</v>
      </c>
      <c r="B6" s="214">
        <v>42459</v>
      </c>
    </row>
    <row r="7" spans="1:8" ht="25.75">
      <c r="A7" s="232" t="s">
        <v>365</v>
      </c>
      <c r="B7" s="231">
        <f>XIRR(F11:F38,B11:B38)</f>
        <v>0.26237509846687324</v>
      </c>
      <c r="C7" s="215" t="s">
        <v>217</v>
      </c>
      <c r="D7" s="319">
        <f>XIRR(D11:D38,B11:B38)</f>
        <v>7.9714456200599693E-2</v>
      </c>
      <c r="E7" s="215"/>
    </row>
    <row r="8" spans="1:8" ht="25.75">
      <c r="A8" s="341" t="s">
        <v>366</v>
      </c>
      <c r="B8" s="334">
        <v>91312.86201727025</v>
      </c>
      <c r="C8" s="153"/>
    </row>
    <row r="9" spans="1:8">
      <c r="A9" s="216" t="s">
        <v>148</v>
      </c>
      <c r="B9" s="216" t="s">
        <v>149</v>
      </c>
      <c r="C9" s="217" t="s">
        <v>151</v>
      </c>
      <c r="D9" s="217" t="s">
        <v>218</v>
      </c>
      <c r="E9" s="216" t="s">
        <v>152</v>
      </c>
      <c r="F9" s="216" t="s">
        <v>153</v>
      </c>
      <c r="G9" s="216" t="s">
        <v>49</v>
      </c>
      <c r="H9" s="228"/>
    </row>
    <row r="10" spans="1:8">
      <c r="A10" s="218"/>
    </row>
    <row r="11" spans="1:8">
      <c r="A11" s="218">
        <v>0</v>
      </c>
      <c r="B11" s="219">
        <f>EDATE($B$6,A11)</f>
        <v>42459</v>
      </c>
      <c r="C11" s="211">
        <f>-'Req. Equity'!D10</f>
        <v>-335625</v>
      </c>
      <c r="D11" s="211">
        <f>C11</f>
        <v>-335625</v>
      </c>
      <c r="E11" s="211">
        <v>0</v>
      </c>
      <c r="F11" s="220">
        <f>C11+E11</f>
        <v>-335625</v>
      </c>
    </row>
    <row r="12" spans="1:8">
      <c r="A12" s="218">
        <f>A11+1</f>
        <v>1</v>
      </c>
      <c r="B12" s="219">
        <f t="shared" ref="B12:B35" si="0">EDATE($B$6,A12)</f>
        <v>42490</v>
      </c>
      <c r="C12" s="211">
        <v>0</v>
      </c>
      <c r="D12" s="211">
        <f t="shared" ref="D12:D37" si="1">C12</f>
        <v>0</v>
      </c>
      <c r="E12" s="211">
        <v>0</v>
      </c>
      <c r="F12" s="220">
        <f t="shared" ref="F12:F35" si="2">C12+E12</f>
        <v>0</v>
      </c>
    </row>
    <row r="13" spans="1:8">
      <c r="A13" s="218">
        <f t="shared" ref="A13:A23" si="3">A12+1</f>
        <v>2</v>
      </c>
      <c r="B13" s="219">
        <f t="shared" si="0"/>
        <v>42520</v>
      </c>
      <c r="C13" s="211">
        <v>0</v>
      </c>
      <c r="D13" s="211">
        <f t="shared" si="1"/>
        <v>0</v>
      </c>
      <c r="E13" s="211">
        <v>0</v>
      </c>
      <c r="F13" s="220">
        <f t="shared" si="2"/>
        <v>0</v>
      </c>
    </row>
    <row r="14" spans="1:8">
      <c r="A14" s="218">
        <f t="shared" si="3"/>
        <v>3</v>
      </c>
      <c r="B14" s="219">
        <f t="shared" si="0"/>
        <v>42551</v>
      </c>
      <c r="C14" s="211">
        <v>0</v>
      </c>
      <c r="D14" s="211">
        <f t="shared" si="1"/>
        <v>0</v>
      </c>
      <c r="E14" s="211">
        <v>0</v>
      </c>
      <c r="F14" s="220">
        <f t="shared" si="2"/>
        <v>0</v>
      </c>
    </row>
    <row r="15" spans="1:8">
      <c r="A15" s="218">
        <f t="shared" si="3"/>
        <v>4</v>
      </c>
      <c r="B15" s="219">
        <f t="shared" si="0"/>
        <v>42581</v>
      </c>
      <c r="C15" s="211">
        <v>0</v>
      </c>
      <c r="D15" s="211">
        <f t="shared" si="1"/>
        <v>0</v>
      </c>
      <c r="E15" s="211">
        <v>0</v>
      </c>
      <c r="F15" s="220">
        <f t="shared" si="2"/>
        <v>0</v>
      </c>
    </row>
    <row r="16" spans="1:8">
      <c r="A16" s="218">
        <f t="shared" si="3"/>
        <v>5</v>
      </c>
      <c r="B16" s="219">
        <f t="shared" si="0"/>
        <v>42612</v>
      </c>
      <c r="C16" s="211">
        <v>0</v>
      </c>
      <c r="D16" s="211">
        <f t="shared" si="1"/>
        <v>0</v>
      </c>
      <c r="E16" s="211">
        <v>0</v>
      </c>
      <c r="F16" s="220">
        <f t="shared" si="2"/>
        <v>0</v>
      </c>
    </row>
    <row r="17" spans="1:7">
      <c r="A17" s="218">
        <f t="shared" si="3"/>
        <v>6</v>
      </c>
      <c r="B17" s="219">
        <f t="shared" si="0"/>
        <v>42643</v>
      </c>
      <c r="C17" s="211">
        <v>0</v>
      </c>
      <c r="D17" s="211">
        <f t="shared" si="1"/>
        <v>0</v>
      </c>
      <c r="E17" s="211">
        <v>0</v>
      </c>
      <c r="F17" s="220">
        <f t="shared" si="2"/>
        <v>0</v>
      </c>
    </row>
    <row r="18" spans="1:7">
      <c r="A18" s="218">
        <f t="shared" si="3"/>
        <v>7</v>
      </c>
      <c r="B18" s="219">
        <f t="shared" si="0"/>
        <v>42673</v>
      </c>
      <c r="C18" s="211">
        <v>0</v>
      </c>
      <c r="D18" s="211">
        <f t="shared" si="1"/>
        <v>0</v>
      </c>
      <c r="E18" s="211">
        <v>0</v>
      </c>
      <c r="F18" s="220">
        <f t="shared" si="2"/>
        <v>0</v>
      </c>
    </row>
    <row r="19" spans="1:7">
      <c r="A19" s="218">
        <f t="shared" si="3"/>
        <v>8</v>
      </c>
      <c r="B19" s="219">
        <f t="shared" si="0"/>
        <v>42704</v>
      </c>
      <c r="C19" s="211">
        <v>0</v>
      </c>
      <c r="D19" s="211">
        <f t="shared" si="1"/>
        <v>0</v>
      </c>
      <c r="E19" s="211">
        <v>0</v>
      </c>
      <c r="F19" s="220">
        <f t="shared" si="2"/>
        <v>0</v>
      </c>
    </row>
    <row r="20" spans="1:7">
      <c r="A20" s="218">
        <f t="shared" si="3"/>
        <v>9</v>
      </c>
      <c r="B20" s="219">
        <f t="shared" si="0"/>
        <v>42734</v>
      </c>
      <c r="C20" s="211">
        <v>0</v>
      </c>
      <c r="D20" s="211">
        <f t="shared" si="1"/>
        <v>0</v>
      </c>
      <c r="E20" s="211">
        <v>0</v>
      </c>
      <c r="F20" s="220">
        <f t="shared" si="2"/>
        <v>0</v>
      </c>
    </row>
    <row r="21" spans="1:7">
      <c r="A21" s="218">
        <f t="shared" si="3"/>
        <v>10</v>
      </c>
      <c r="B21" s="219">
        <f t="shared" si="0"/>
        <v>42765</v>
      </c>
      <c r="C21" s="211">
        <v>0</v>
      </c>
      <c r="D21" s="211">
        <f t="shared" si="1"/>
        <v>0</v>
      </c>
      <c r="E21" s="211">
        <v>0</v>
      </c>
      <c r="F21" s="220">
        <f t="shared" si="2"/>
        <v>0</v>
      </c>
    </row>
    <row r="22" spans="1:7">
      <c r="A22" s="218">
        <f t="shared" si="3"/>
        <v>11</v>
      </c>
      <c r="B22" s="219">
        <f t="shared" si="0"/>
        <v>42794</v>
      </c>
      <c r="C22" s="211">
        <v>0</v>
      </c>
      <c r="D22" s="211">
        <f t="shared" si="1"/>
        <v>0</v>
      </c>
      <c r="E22" s="211">
        <v>0</v>
      </c>
      <c r="F22" s="220">
        <f t="shared" si="2"/>
        <v>0</v>
      </c>
    </row>
    <row r="23" spans="1:7">
      <c r="A23" s="218">
        <f t="shared" si="3"/>
        <v>12</v>
      </c>
      <c r="B23" s="219">
        <f t="shared" si="0"/>
        <v>42824</v>
      </c>
      <c r="C23" s="211">
        <v>0</v>
      </c>
      <c r="D23" s="211">
        <f t="shared" si="1"/>
        <v>0</v>
      </c>
      <c r="E23" s="211">
        <v>0</v>
      </c>
      <c r="F23" s="220">
        <f t="shared" si="2"/>
        <v>0</v>
      </c>
      <c r="G23" s="153" t="s">
        <v>168</v>
      </c>
    </row>
    <row r="24" spans="1:7">
      <c r="A24" s="218">
        <f>A23+1</f>
        <v>13</v>
      </c>
      <c r="B24" s="219">
        <f t="shared" si="0"/>
        <v>42855</v>
      </c>
      <c r="C24" s="211">
        <f>-'Req. Equity'!D21</f>
        <v>-299375</v>
      </c>
      <c r="D24" s="211">
        <f t="shared" si="1"/>
        <v>-299375</v>
      </c>
      <c r="E24" s="211">
        <v>0</v>
      </c>
      <c r="F24" s="220">
        <f t="shared" si="2"/>
        <v>-299375</v>
      </c>
      <c r="G24" s="153" t="s">
        <v>169</v>
      </c>
    </row>
    <row r="25" spans="1:7">
      <c r="A25" s="218">
        <f t="shared" ref="A25:A38" si="4">A24+1</f>
        <v>14</v>
      </c>
      <c r="B25" s="219">
        <f t="shared" si="0"/>
        <v>42885</v>
      </c>
      <c r="C25" s="211">
        <v>0</v>
      </c>
      <c r="D25" s="211">
        <f t="shared" si="1"/>
        <v>0</v>
      </c>
      <c r="E25" s="211">
        <v>0</v>
      </c>
      <c r="F25" s="220">
        <f t="shared" si="2"/>
        <v>0</v>
      </c>
    </row>
    <row r="26" spans="1:7">
      <c r="A26" s="218">
        <f t="shared" si="4"/>
        <v>15</v>
      </c>
      <c r="B26" s="219">
        <f t="shared" si="0"/>
        <v>42916</v>
      </c>
      <c r="C26" s="211">
        <v>0</v>
      </c>
      <c r="D26" s="211">
        <f t="shared" si="1"/>
        <v>0</v>
      </c>
      <c r="E26" s="211">
        <v>0</v>
      </c>
      <c r="F26" s="220">
        <f t="shared" si="2"/>
        <v>0</v>
      </c>
    </row>
    <row r="27" spans="1:7">
      <c r="A27" s="218">
        <f t="shared" si="4"/>
        <v>16</v>
      </c>
      <c r="B27" s="219">
        <f t="shared" si="0"/>
        <v>42946</v>
      </c>
      <c r="C27" s="211">
        <v>0</v>
      </c>
      <c r="D27" s="211">
        <f t="shared" si="1"/>
        <v>0</v>
      </c>
      <c r="E27" s="211">
        <v>0</v>
      </c>
      <c r="F27" s="220">
        <f t="shared" si="2"/>
        <v>0</v>
      </c>
    </row>
    <row r="28" spans="1:7">
      <c r="A28" s="218">
        <f t="shared" si="4"/>
        <v>17</v>
      </c>
      <c r="B28" s="219">
        <f t="shared" si="0"/>
        <v>42977</v>
      </c>
      <c r="C28" s="211">
        <f>C26</f>
        <v>0</v>
      </c>
      <c r="D28" s="211">
        <f t="shared" si="1"/>
        <v>0</v>
      </c>
      <c r="E28" s="211">
        <v>0</v>
      </c>
      <c r="F28" s="220">
        <f t="shared" si="2"/>
        <v>0</v>
      </c>
    </row>
    <row r="29" spans="1:7">
      <c r="A29" s="218">
        <f t="shared" si="4"/>
        <v>18</v>
      </c>
      <c r="B29" s="219">
        <f t="shared" si="0"/>
        <v>43008</v>
      </c>
      <c r="C29" s="211">
        <v>0</v>
      </c>
      <c r="D29" s="211">
        <f t="shared" si="1"/>
        <v>0</v>
      </c>
      <c r="E29" s="211">
        <v>0</v>
      </c>
      <c r="F29" s="220">
        <f t="shared" si="2"/>
        <v>0</v>
      </c>
    </row>
    <row r="30" spans="1:7">
      <c r="A30" s="218">
        <f t="shared" si="4"/>
        <v>19</v>
      </c>
      <c r="B30" s="219">
        <f t="shared" si="0"/>
        <v>43038</v>
      </c>
      <c r="C30" s="211">
        <v>0</v>
      </c>
      <c r="D30" s="211">
        <f t="shared" si="1"/>
        <v>0</v>
      </c>
      <c r="E30" s="211">
        <v>0</v>
      </c>
      <c r="F30" s="220">
        <f t="shared" si="2"/>
        <v>0</v>
      </c>
    </row>
    <row r="31" spans="1:7">
      <c r="A31" s="218">
        <f t="shared" si="4"/>
        <v>20</v>
      </c>
      <c r="B31" s="219">
        <f t="shared" si="0"/>
        <v>43069</v>
      </c>
      <c r="C31" s="211">
        <v>0</v>
      </c>
      <c r="D31" s="211">
        <f t="shared" si="1"/>
        <v>0</v>
      </c>
      <c r="E31" s="211">
        <v>0</v>
      </c>
      <c r="F31" s="220">
        <f t="shared" si="2"/>
        <v>0</v>
      </c>
    </row>
    <row r="32" spans="1:7">
      <c r="A32" s="218">
        <f t="shared" si="4"/>
        <v>21</v>
      </c>
      <c r="B32" s="219">
        <f t="shared" si="0"/>
        <v>43099</v>
      </c>
      <c r="C32" s="211">
        <v>0</v>
      </c>
      <c r="D32" s="211">
        <f t="shared" si="1"/>
        <v>0</v>
      </c>
      <c r="E32" s="211">
        <v>0</v>
      </c>
      <c r="F32" s="220">
        <f t="shared" si="2"/>
        <v>0</v>
      </c>
    </row>
    <row r="33" spans="1:9">
      <c r="A33" s="218">
        <f t="shared" si="4"/>
        <v>22</v>
      </c>
      <c r="B33" s="219">
        <f t="shared" si="0"/>
        <v>43130</v>
      </c>
      <c r="C33" s="211">
        <v>0</v>
      </c>
      <c r="D33" s="211">
        <f t="shared" si="1"/>
        <v>0</v>
      </c>
      <c r="E33" s="211">
        <v>0</v>
      </c>
      <c r="F33" s="220">
        <f t="shared" si="2"/>
        <v>0</v>
      </c>
    </row>
    <row r="34" spans="1:9">
      <c r="A34" s="218">
        <f t="shared" si="4"/>
        <v>23</v>
      </c>
      <c r="B34" s="219">
        <f t="shared" si="0"/>
        <v>43159</v>
      </c>
      <c r="C34" s="211">
        <v>0</v>
      </c>
      <c r="D34" s="211">
        <f t="shared" si="1"/>
        <v>0</v>
      </c>
      <c r="E34" s="211">
        <v>0</v>
      </c>
      <c r="F34" s="220">
        <f t="shared" si="2"/>
        <v>0</v>
      </c>
      <c r="G34" s="153" t="s">
        <v>173</v>
      </c>
    </row>
    <row r="35" spans="1:9">
      <c r="A35" s="218">
        <f t="shared" si="4"/>
        <v>24</v>
      </c>
      <c r="B35" s="219">
        <f t="shared" si="0"/>
        <v>43189</v>
      </c>
      <c r="C35" s="211">
        <v>0</v>
      </c>
      <c r="D35" s="211">
        <f t="shared" si="1"/>
        <v>0</v>
      </c>
      <c r="E35" s="211">
        <v>0</v>
      </c>
      <c r="F35" s="220">
        <f t="shared" si="2"/>
        <v>0</v>
      </c>
      <c r="G35" s="153" t="s">
        <v>170</v>
      </c>
    </row>
    <row r="36" spans="1:9">
      <c r="A36" s="218">
        <f t="shared" si="4"/>
        <v>25</v>
      </c>
      <c r="B36" s="219">
        <f>EDATE($B$6,A36)</f>
        <v>43220</v>
      </c>
      <c r="C36" s="211">
        <v>0</v>
      </c>
      <c r="D36" s="211">
        <f t="shared" si="1"/>
        <v>0</v>
      </c>
      <c r="E36" s="211">
        <v>0</v>
      </c>
      <c r="F36" s="220">
        <f>C36+E36</f>
        <v>0</v>
      </c>
    </row>
    <row r="37" spans="1:9">
      <c r="A37" s="218">
        <f t="shared" si="4"/>
        <v>26</v>
      </c>
      <c r="B37" s="219">
        <f>EDATE($B$6,A37)</f>
        <v>43250</v>
      </c>
      <c r="C37" s="211">
        <v>0</v>
      </c>
      <c r="D37" s="211">
        <f t="shared" si="1"/>
        <v>0</v>
      </c>
      <c r="E37" s="211">
        <v>0</v>
      </c>
      <c r="F37" s="220">
        <f>C37+E37</f>
        <v>0</v>
      </c>
    </row>
    <row r="38" spans="1:9">
      <c r="A38" s="218">
        <f t="shared" si="4"/>
        <v>27</v>
      </c>
      <c r="B38" s="219">
        <f>EDATE($B$6,A38)</f>
        <v>43281</v>
      </c>
      <c r="C38" s="211">
        <v>0</v>
      </c>
      <c r="D38" s="211">
        <f>-SUM(D11:D37)+B8</f>
        <v>726312.86201727029</v>
      </c>
      <c r="E38" s="211">
        <f>D38+'Project IRR'!L25+'Project IRR'!N25</f>
        <v>960129.65209192981</v>
      </c>
      <c r="F38" s="220">
        <f>C38+E38</f>
        <v>960129.65209192981</v>
      </c>
      <c r="G38" s="153" t="s">
        <v>171</v>
      </c>
    </row>
    <row r="39" spans="1:9">
      <c r="A39" s="218"/>
      <c r="F39" s="220">
        <f>SUM(F11:F38)</f>
        <v>325129.65209192981</v>
      </c>
      <c r="G39" s="153" t="s">
        <v>367</v>
      </c>
      <c r="I39" s="220"/>
    </row>
    <row r="40" spans="1:9">
      <c r="A40" s="218"/>
      <c r="F40" s="340">
        <f>-(F39-SUM(F11:F37))/SUM(F11:F37)</f>
        <v>1.5120152001447713</v>
      </c>
      <c r="G40" s="153" t="s">
        <v>368</v>
      </c>
    </row>
    <row r="41" spans="1:9">
      <c r="A41" s="226"/>
    </row>
    <row r="42" spans="1:9">
      <c r="A42" s="218"/>
    </row>
    <row r="43" spans="1:9">
      <c r="A43" s="218"/>
    </row>
    <row r="44" spans="1:9">
      <c r="A44" s="218"/>
    </row>
    <row r="45" spans="1:9">
      <c r="A45" s="218"/>
    </row>
    <row r="46" spans="1:9">
      <c r="A46" s="218"/>
    </row>
    <row r="47" spans="1:9">
      <c r="A47" s="218"/>
    </row>
    <row r="48" spans="1:9">
      <c r="A48" s="218"/>
    </row>
    <row r="49" spans="1:1">
      <c r="A49" s="218"/>
    </row>
    <row r="50" spans="1:1">
      <c r="A50" s="218"/>
    </row>
    <row r="51" spans="1:1">
      <c r="A51" s="218"/>
    </row>
    <row r="52" spans="1:1">
      <c r="A52" s="218"/>
    </row>
    <row r="53" spans="1:1">
      <c r="A53" s="218"/>
    </row>
    <row r="54" spans="1:1">
      <c r="A54" s="218"/>
    </row>
    <row r="55" spans="1:1">
      <c r="A55" s="2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8"/>
  <sheetViews>
    <sheetView showGridLines="0" topLeftCell="A71" zoomScale="75" zoomScaleNormal="75" workbookViewId="0">
      <selection activeCell="A18" sqref="A17:M93"/>
    </sheetView>
  </sheetViews>
  <sheetFormatPr defaultColWidth="10.85546875" defaultRowHeight="15.9"/>
  <cols>
    <col min="1" max="1" width="4.5" style="26" customWidth="1"/>
    <col min="2" max="5" width="10.85546875" style="25"/>
    <col min="6" max="6" width="14" style="6" bestFit="1" customWidth="1"/>
    <col min="7" max="7" width="14" style="25" bestFit="1" customWidth="1"/>
    <col min="8" max="8" width="11.5" style="25" bestFit="1" customWidth="1"/>
    <col min="9" max="9" width="12" style="26" customWidth="1"/>
    <col min="10" max="12" width="10.85546875" style="25"/>
    <col min="13" max="13" width="40.85546875" style="25" customWidth="1"/>
    <col min="14" max="16" width="21.0703125" style="6" customWidth="1"/>
    <col min="17" max="16384" width="10.85546875" style="25"/>
  </cols>
  <sheetData>
    <row r="1" spans="1:16" ht="23.15">
      <c r="A1" s="3" t="s">
        <v>45</v>
      </c>
      <c r="B1" s="4"/>
      <c r="C1" s="4"/>
      <c r="D1" s="4"/>
      <c r="E1" s="4"/>
      <c r="F1" s="12"/>
      <c r="G1" s="4"/>
      <c r="H1" s="4"/>
      <c r="I1" s="65"/>
      <c r="J1" s="4"/>
      <c r="K1" s="4"/>
      <c r="L1" s="4"/>
      <c r="M1" s="4"/>
      <c r="N1" s="12"/>
      <c r="O1" s="12"/>
      <c r="P1" s="12"/>
    </row>
    <row r="2" spans="1:16">
      <c r="G2" s="14"/>
      <c r="H2" s="14"/>
      <c r="I2" s="59"/>
    </row>
    <row r="3" spans="1:16" ht="16.3" thickBot="1">
      <c r="A3" s="32"/>
      <c r="B3" s="9"/>
      <c r="C3" s="9"/>
      <c r="D3" s="9"/>
      <c r="E3" s="9"/>
      <c r="F3" s="385" t="s">
        <v>46</v>
      </c>
      <c r="G3" s="384" t="s">
        <v>47</v>
      </c>
      <c r="H3" s="386" t="s">
        <v>48</v>
      </c>
      <c r="I3" s="70"/>
    </row>
    <row r="4" spans="1:16" ht="16.3" thickBot="1">
      <c r="A4" s="32" t="s">
        <v>110</v>
      </c>
      <c r="B4" s="9"/>
      <c r="C4" s="9"/>
      <c r="D4" s="9"/>
      <c r="E4" s="9"/>
      <c r="F4" s="385"/>
      <c r="G4" s="384"/>
      <c r="H4" s="386"/>
      <c r="I4" s="70" t="s">
        <v>112</v>
      </c>
      <c r="K4" s="44" t="s">
        <v>116</v>
      </c>
      <c r="L4" s="45"/>
    </row>
    <row r="5" spans="1:16">
      <c r="A5" s="26" t="str">
        <f>A22</f>
        <v>A</v>
      </c>
      <c r="B5" s="33" t="str">
        <f>B22</f>
        <v xml:space="preserve">LAND </v>
      </c>
      <c r="F5" s="6">
        <f>F26</f>
        <v>961931.25</v>
      </c>
      <c r="G5" s="27">
        <f t="shared" ref="G5:G11" si="0">F5/$G$19</f>
        <v>56584.191176470587</v>
      </c>
      <c r="H5" s="22">
        <f t="shared" ref="H5:H11" si="1">F5/$H$19</f>
        <v>130.0151073565824</v>
      </c>
      <c r="I5" s="68">
        <f>I26</f>
        <v>0.30297047244094488</v>
      </c>
      <c r="K5" s="38" t="s">
        <v>113</v>
      </c>
      <c r="L5" s="39">
        <f>I5</f>
        <v>0.30297047244094488</v>
      </c>
    </row>
    <row r="6" spans="1:16">
      <c r="A6" s="26" t="str">
        <f>A28</f>
        <v>B</v>
      </c>
      <c r="B6" s="33" t="str">
        <f>B28</f>
        <v>HARD COSTS</v>
      </c>
      <c r="F6" s="6">
        <f>F35</f>
        <v>1193753.1599965</v>
      </c>
      <c r="G6" s="27">
        <f t="shared" si="0"/>
        <v>70220.774117441179</v>
      </c>
      <c r="H6" s="22">
        <f t="shared" si="1"/>
        <v>161.34827229514005</v>
      </c>
      <c r="I6" s="68">
        <f>I35</f>
        <v>0.37598524724299215</v>
      </c>
      <c r="K6" s="40" t="s">
        <v>114</v>
      </c>
      <c r="L6" s="41">
        <f>I6</f>
        <v>0.37598524724299215</v>
      </c>
    </row>
    <row r="7" spans="1:16" ht="16.3" thickBot="1">
      <c r="A7" s="26" t="str">
        <f>A37</f>
        <v>C</v>
      </c>
      <c r="B7" s="33" t="str">
        <f>B37</f>
        <v>ARCHITECTS &amp; ENGINEERS</v>
      </c>
      <c r="F7" s="6">
        <f>F43</f>
        <v>52500</v>
      </c>
      <c r="G7" s="27">
        <f t="shared" si="0"/>
        <v>3088.2352941176468</v>
      </c>
      <c r="H7" s="22">
        <f t="shared" si="1"/>
        <v>7.0959261758265741</v>
      </c>
      <c r="I7" s="68">
        <f>I43</f>
        <v>1.6535433070866142E-2</v>
      </c>
      <c r="K7" s="42" t="s">
        <v>115</v>
      </c>
      <c r="L7" s="43">
        <f>SUM(I7:I14)</f>
        <v>0.32104428031606297</v>
      </c>
    </row>
    <row r="8" spans="1:16">
      <c r="A8" s="26" t="str">
        <f>A45</f>
        <v>D</v>
      </c>
      <c r="B8" s="33" t="str">
        <f>B45</f>
        <v>OTHER CONSULTANTS COSTS</v>
      </c>
      <c r="F8" s="6">
        <f>F50</f>
        <v>52573</v>
      </c>
      <c r="G8" s="27">
        <f t="shared" si="0"/>
        <v>3092.5294117647059</v>
      </c>
      <c r="H8" s="22">
        <f t="shared" si="1"/>
        <v>7.1057928922234384</v>
      </c>
      <c r="I8" s="68">
        <f>I50</f>
        <v>1.6558425196850395E-2</v>
      </c>
      <c r="K8" s="62" t="s">
        <v>128</v>
      </c>
      <c r="L8" s="63"/>
      <c r="N8" s="64">
        <f>SUM(I7+I8+I10+I11+I13+I14)</f>
        <v>8.9727384234767518E-2</v>
      </c>
      <c r="O8" s="63" t="s">
        <v>122</v>
      </c>
      <c r="P8" s="93"/>
    </row>
    <row r="9" spans="1:16">
      <c r="A9" s="26" t="str">
        <f>A52</f>
        <v>E</v>
      </c>
      <c r="B9" s="33" t="str">
        <f>B52</f>
        <v>FEES &amp; PERMITS</v>
      </c>
      <c r="F9" s="6">
        <f>F57</f>
        <v>481516.14505811303</v>
      </c>
      <c r="G9" s="27">
        <f t="shared" si="0"/>
        <v>28324.479121065473</v>
      </c>
      <c r="H9" s="22">
        <f t="shared" si="1"/>
        <v>65.081962243828002</v>
      </c>
      <c r="I9" s="68">
        <f>I57</f>
        <v>0.15165862836476002</v>
      </c>
      <c r="K9" s="61"/>
    </row>
    <row r="10" spans="1:16">
      <c r="A10" s="26" t="str">
        <f>A59</f>
        <v>F</v>
      </c>
      <c r="B10" s="33" t="str">
        <f>B59</f>
        <v>MARKETING, LEGAL &amp; ADMINISTRATION</v>
      </c>
      <c r="F10" s="6">
        <f>F65</f>
        <v>54678.849976685633</v>
      </c>
      <c r="G10" s="27">
        <f t="shared" si="0"/>
        <v>3216.402939805037</v>
      </c>
      <c r="H10" s="22">
        <f t="shared" si="1"/>
        <v>7.3904206250220543</v>
      </c>
      <c r="I10" s="68">
        <f>I65</f>
        <v>1.7221685032026972E-2</v>
      </c>
    </row>
    <row r="11" spans="1:16">
      <c r="A11" s="26" t="str">
        <f>A67</f>
        <v>G</v>
      </c>
      <c r="B11" s="33" t="str">
        <f>B67</f>
        <v xml:space="preserve">GOVERNMENT TAXES </v>
      </c>
      <c r="F11" s="6">
        <f>F71</f>
        <v>150000</v>
      </c>
      <c r="G11" s="27">
        <f t="shared" si="0"/>
        <v>8823.5294117647063</v>
      </c>
      <c r="H11" s="22">
        <f t="shared" si="1"/>
        <v>20.274074788075929</v>
      </c>
      <c r="I11" s="68">
        <f>I71</f>
        <v>4.7244094488188976E-2</v>
      </c>
    </row>
    <row r="12" spans="1:16" ht="16" customHeight="1">
      <c r="A12" s="26" t="str">
        <f>A73</f>
        <v>H</v>
      </c>
      <c r="B12" s="33" t="str">
        <f>B73</f>
        <v>FINANCING COSTS</v>
      </c>
      <c r="F12" s="6">
        <f>F81</f>
        <v>252915</v>
      </c>
      <c r="G12" s="27">
        <f>F12/$G$19</f>
        <v>14877.35294117647</v>
      </c>
      <c r="H12" s="22">
        <f>F12/$H$19</f>
        <v>34.184117500174821</v>
      </c>
      <c r="I12" s="68">
        <f>I81</f>
        <v>7.9658267716535433E-2</v>
      </c>
    </row>
    <row r="13" spans="1:16">
      <c r="A13" s="26" t="str">
        <f>A83</f>
        <v>I</v>
      </c>
      <c r="B13" s="33" t="str">
        <f>B83</f>
        <v>SOFT CONTINGENCY</v>
      </c>
      <c r="F13" s="6">
        <f>F85</f>
        <v>31892.594968701247</v>
      </c>
      <c r="G13" s="27">
        <f>F13/$G$19</f>
        <v>1876.034998158897</v>
      </c>
      <c r="H13" s="22">
        <f>F13/$H$19</f>
        <v>4.3106190372084212</v>
      </c>
      <c r="I13" s="68">
        <f>I85</f>
        <v>1.0044911801165747E-2</v>
      </c>
    </row>
    <row r="14" spans="1:16">
      <c r="A14" s="26" t="str">
        <f>A87</f>
        <v>J</v>
      </c>
      <c r="B14" s="33" t="str">
        <f>B87</f>
        <v>OFFSETTING INCOME</v>
      </c>
      <c r="F14" s="6">
        <f>F91</f>
        <v>-56760</v>
      </c>
      <c r="G14" s="27">
        <f>F14/$G$19</f>
        <v>-3338.8235294117649</v>
      </c>
      <c r="H14" s="22">
        <f>F14/$H$19</f>
        <v>-7.6717098998079312</v>
      </c>
      <c r="I14" s="68">
        <f>I91</f>
        <v>-1.7877165354330708E-2</v>
      </c>
    </row>
    <row r="15" spans="1:16">
      <c r="A15" s="18"/>
      <c r="B15" s="19" t="s">
        <v>44</v>
      </c>
      <c r="C15" s="20"/>
      <c r="D15" s="20"/>
      <c r="E15" s="20"/>
      <c r="F15" s="21">
        <f>SUM(F5:F14)</f>
        <v>3175000.0000000005</v>
      </c>
      <c r="G15" s="21">
        <f>SUM(G5:G14)</f>
        <v>186764.70588235292</v>
      </c>
      <c r="H15" s="35">
        <f>SUM(H5:H14)</f>
        <v>429.13458301427374</v>
      </c>
      <c r="I15" s="71">
        <f>I93</f>
        <v>1</v>
      </c>
    </row>
    <row r="16" spans="1:16">
      <c r="B16" s="33"/>
      <c r="G16" s="34"/>
      <c r="H16" s="34"/>
      <c r="I16" s="72"/>
    </row>
    <row r="17" spans="1:20">
      <c r="G17" s="387" t="s">
        <v>57</v>
      </c>
      <c r="H17" s="387" t="s">
        <v>58</v>
      </c>
      <c r="I17" s="72"/>
    </row>
    <row r="18" spans="1:20">
      <c r="G18" s="387"/>
      <c r="H18" s="387"/>
      <c r="I18" s="72"/>
    </row>
    <row r="19" spans="1:20">
      <c r="G19" s="14">
        <f>Units!B3</f>
        <v>17</v>
      </c>
      <c r="H19" s="286">
        <f>'Building SQFT'!D8</f>
        <v>7398.6113580000001</v>
      </c>
      <c r="I19" s="176"/>
    </row>
    <row r="20" spans="1:20" ht="16" customHeight="1">
      <c r="A20" s="8"/>
      <c r="B20" s="9"/>
      <c r="C20" s="9"/>
      <c r="D20" s="9"/>
      <c r="E20" s="9"/>
      <c r="F20" s="385" t="s">
        <v>46</v>
      </c>
      <c r="G20" s="384" t="s">
        <v>47</v>
      </c>
      <c r="H20" s="386" t="s">
        <v>48</v>
      </c>
      <c r="I20" s="70"/>
      <c r="J20" s="384" t="s">
        <v>49</v>
      </c>
      <c r="K20" s="384"/>
      <c r="L20" s="384"/>
      <c r="M20" s="384"/>
      <c r="N20" s="67" t="s">
        <v>158</v>
      </c>
      <c r="O20" s="67" t="s">
        <v>160</v>
      </c>
      <c r="P20" s="67" t="s">
        <v>162</v>
      </c>
      <c r="Q20" s="384" t="s">
        <v>49</v>
      </c>
      <c r="R20" s="384"/>
      <c r="S20" s="384"/>
      <c r="T20" s="384"/>
    </row>
    <row r="21" spans="1:20">
      <c r="A21" s="36"/>
      <c r="B21" s="9"/>
      <c r="C21" s="9"/>
      <c r="D21" s="9"/>
      <c r="E21" s="9"/>
      <c r="F21" s="385"/>
      <c r="G21" s="384"/>
      <c r="H21" s="386"/>
      <c r="I21" s="70" t="s">
        <v>112</v>
      </c>
      <c r="J21" s="384"/>
      <c r="K21" s="384"/>
      <c r="L21" s="384"/>
      <c r="M21" s="384"/>
      <c r="N21" s="67" t="s">
        <v>159</v>
      </c>
      <c r="O21" s="67" t="s">
        <v>161</v>
      </c>
      <c r="P21" s="67" t="s">
        <v>160</v>
      </c>
      <c r="Q21" s="384"/>
      <c r="R21" s="384"/>
      <c r="S21" s="384"/>
      <c r="T21" s="384"/>
    </row>
    <row r="22" spans="1:20">
      <c r="A22" s="1" t="s">
        <v>26</v>
      </c>
      <c r="B22" s="2" t="s">
        <v>25</v>
      </c>
      <c r="F22" s="48"/>
      <c r="G22" s="49"/>
      <c r="H22" s="50"/>
      <c r="I22" s="73"/>
    </row>
    <row r="23" spans="1:20">
      <c r="A23" s="26">
        <v>1</v>
      </c>
      <c r="B23" s="25" t="s">
        <v>0</v>
      </c>
      <c r="F23" s="50">
        <v>922500</v>
      </c>
      <c r="G23" s="52">
        <f>F23/$G$19</f>
        <v>54264.705882352944</v>
      </c>
      <c r="H23" s="75">
        <f>F23/$H$19</f>
        <v>124.68555994666696</v>
      </c>
      <c r="I23" s="68">
        <f>F23/$F$93</f>
        <v>0.29055118110236222</v>
      </c>
      <c r="J23" s="25" t="s">
        <v>140</v>
      </c>
      <c r="N23" s="6">
        <f>F23</f>
        <v>922500</v>
      </c>
      <c r="O23" s="6">
        <v>0</v>
      </c>
      <c r="P23" s="6">
        <f>O23+N23</f>
        <v>922500</v>
      </c>
    </row>
    <row r="24" spans="1:20">
      <c r="A24" s="26">
        <v>2</v>
      </c>
      <c r="B24" s="25" t="s">
        <v>1</v>
      </c>
      <c r="F24" s="60">
        <f>4500*(105%)*2.25</f>
        <v>10631.25</v>
      </c>
      <c r="G24" s="52">
        <f>F24/$G$19</f>
        <v>625.36764705882354</v>
      </c>
      <c r="H24" s="75">
        <f>F24/$H$19</f>
        <v>1.4369250506048814</v>
      </c>
      <c r="I24" s="68">
        <f>F24/$F$93</f>
        <v>3.3484251968503936E-3</v>
      </c>
      <c r="J24" s="25" t="s">
        <v>265</v>
      </c>
      <c r="O24" s="6">
        <v>4500</v>
      </c>
      <c r="P24" s="6">
        <f>O24+N24</f>
        <v>4500</v>
      </c>
    </row>
    <row r="25" spans="1:20">
      <c r="A25" s="26">
        <v>3</v>
      </c>
      <c r="B25" s="25" t="s">
        <v>264</v>
      </c>
      <c r="F25" s="50">
        <v>28800</v>
      </c>
      <c r="G25" s="52">
        <f>F25/$G$19</f>
        <v>1694.1176470588234</v>
      </c>
      <c r="H25" s="75">
        <f>F25/$H$19</f>
        <v>3.892622359310578</v>
      </c>
      <c r="I25" s="68">
        <f>F25/$F$93</f>
        <v>9.0708661417322842E-3</v>
      </c>
      <c r="N25" s="6">
        <f>F25</f>
        <v>28800</v>
      </c>
      <c r="O25" s="6">
        <v>0</v>
      </c>
      <c r="P25" s="6">
        <f>O25+N25</f>
        <v>28800</v>
      </c>
    </row>
    <row r="26" spans="1:20" ht="16.3" thickBot="1">
      <c r="A26" s="15"/>
      <c r="B26" s="16" t="s">
        <v>60</v>
      </c>
      <c r="C26" s="16"/>
      <c r="D26" s="16"/>
      <c r="E26" s="16"/>
      <c r="F26" s="51">
        <f>SUM(F23:F25)</f>
        <v>961931.25</v>
      </c>
      <c r="G26" s="53">
        <f>F26/$G$19</f>
        <v>56584.191176470587</v>
      </c>
      <c r="H26" s="76">
        <f>F26/$H$19</f>
        <v>130.0151073565824</v>
      </c>
      <c r="I26" s="74">
        <f>F26/$F$93</f>
        <v>0.30297047244094488</v>
      </c>
      <c r="J26" s="16"/>
      <c r="K26" s="16"/>
      <c r="L26" s="16"/>
      <c r="M26" s="16"/>
      <c r="N26" s="94">
        <f>SUM(N23:N25)</f>
        <v>951300</v>
      </c>
      <c r="O26" s="94">
        <f>SUM(O23:O25)</f>
        <v>4500</v>
      </c>
      <c r="P26" s="94">
        <f>SUM(P23:P25)</f>
        <v>955800</v>
      </c>
    </row>
    <row r="27" spans="1:20" ht="7" customHeight="1">
      <c r="B27" s="28" t="s">
        <v>2</v>
      </c>
      <c r="F27" s="50"/>
      <c r="G27" s="52"/>
      <c r="H27" s="75"/>
      <c r="I27" s="73"/>
    </row>
    <row r="28" spans="1:20">
      <c r="A28" s="1" t="s">
        <v>27</v>
      </c>
      <c r="B28" s="2" t="s">
        <v>3</v>
      </c>
      <c r="F28" s="50"/>
      <c r="G28" s="52"/>
      <c r="H28" s="75"/>
      <c r="I28" s="73"/>
    </row>
    <row r="29" spans="1:20">
      <c r="A29" s="26">
        <v>1</v>
      </c>
      <c r="B29" s="25" t="s">
        <v>59</v>
      </c>
      <c r="F29" s="50">
        <f>H19*135</f>
        <v>998812.53333000001</v>
      </c>
      <c r="G29" s="52">
        <f t="shared" ref="G29:G35" si="2">F29/$G$19</f>
        <v>58753.678431176471</v>
      </c>
      <c r="H29" s="75">
        <f>F29/$H$19</f>
        <v>135</v>
      </c>
      <c r="I29" s="68">
        <f t="shared" ref="I29:I35" si="3">F29/$F$93</f>
        <v>0.31458662467086612</v>
      </c>
      <c r="P29" s="6">
        <f t="shared" ref="P29:P34" si="4">O29+N29</f>
        <v>0</v>
      </c>
    </row>
    <row r="30" spans="1:20">
      <c r="A30" s="26">
        <v>2</v>
      </c>
      <c r="B30" s="25" t="s">
        <v>100</v>
      </c>
      <c r="F30" s="50">
        <v>95000</v>
      </c>
      <c r="G30" s="52">
        <f t="shared" si="2"/>
        <v>5588.2352941176468</v>
      </c>
      <c r="H30" s="75">
        <f t="shared" ref="H30:H34" si="5">F30/$H$19</f>
        <v>12.840247365781421</v>
      </c>
      <c r="I30" s="68">
        <f t="shared" si="3"/>
        <v>2.9921259842519685E-2</v>
      </c>
      <c r="J30" s="25" t="s">
        <v>141</v>
      </c>
      <c r="P30" s="6">
        <f t="shared" si="4"/>
        <v>0</v>
      </c>
    </row>
    <row r="31" spans="1:20">
      <c r="A31" s="26">
        <v>3</v>
      </c>
      <c r="B31" s="25" t="s">
        <v>4</v>
      </c>
      <c r="F31" s="50">
        <v>0</v>
      </c>
      <c r="G31" s="52">
        <f t="shared" si="2"/>
        <v>0</v>
      </c>
      <c r="H31" s="75">
        <f t="shared" si="5"/>
        <v>0</v>
      </c>
      <c r="I31" s="68">
        <f t="shared" si="3"/>
        <v>0</v>
      </c>
      <c r="J31" s="25" t="s">
        <v>142</v>
      </c>
      <c r="P31" s="6">
        <f t="shared" si="4"/>
        <v>0</v>
      </c>
    </row>
    <row r="32" spans="1:20">
      <c r="A32" s="26">
        <v>4</v>
      </c>
      <c r="B32" s="25" t="s">
        <v>5</v>
      </c>
      <c r="F32" s="50">
        <v>40000</v>
      </c>
      <c r="G32" s="52">
        <f t="shared" si="2"/>
        <v>2352.9411764705883</v>
      </c>
      <c r="H32" s="75">
        <f t="shared" si="5"/>
        <v>5.406419943486914</v>
      </c>
      <c r="I32" s="68">
        <f t="shared" si="3"/>
        <v>1.2598425196850394E-2</v>
      </c>
      <c r="J32" s="25" t="s">
        <v>226</v>
      </c>
      <c r="P32" s="6">
        <f t="shared" si="4"/>
        <v>0</v>
      </c>
    </row>
    <row r="33" spans="1:20">
      <c r="A33" s="26">
        <v>6</v>
      </c>
      <c r="B33" s="25" t="s">
        <v>33</v>
      </c>
      <c r="F33" s="302">
        <v>10000</v>
      </c>
      <c r="G33" s="52">
        <f>F33/$G$19</f>
        <v>588.23529411764707</v>
      </c>
      <c r="H33" s="303">
        <f>F33/$H$19</f>
        <v>1.3516049858717285</v>
      </c>
      <c r="I33" s="304">
        <f t="shared" si="3"/>
        <v>3.1496062992125984E-3</v>
      </c>
      <c r="N33" s="305"/>
      <c r="O33" s="305"/>
      <c r="P33" s="305"/>
    </row>
    <row r="34" spans="1:20">
      <c r="A34" s="26">
        <v>8</v>
      </c>
      <c r="B34" s="25" t="s">
        <v>6</v>
      </c>
      <c r="E34" s="175">
        <v>0.05</v>
      </c>
      <c r="F34" s="50">
        <f>E34*F29</f>
        <v>49940.6266665</v>
      </c>
      <c r="G34" s="52">
        <f t="shared" si="2"/>
        <v>2937.6839215588234</v>
      </c>
      <c r="H34" s="75">
        <f t="shared" si="5"/>
        <v>6.75</v>
      </c>
      <c r="I34" s="68">
        <f t="shared" si="3"/>
        <v>1.5729331233543309E-2</v>
      </c>
      <c r="P34" s="6">
        <f t="shared" si="4"/>
        <v>0</v>
      </c>
    </row>
    <row r="35" spans="1:20" ht="16.3" thickBot="1">
      <c r="A35" s="15"/>
      <c r="B35" s="16" t="s">
        <v>61</v>
      </c>
      <c r="C35" s="16"/>
      <c r="D35" s="16"/>
      <c r="E35" s="16"/>
      <c r="F35" s="51">
        <f>SUM(F29:F34)</f>
        <v>1193753.1599965</v>
      </c>
      <c r="G35" s="53">
        <f t="shared" si="2"/>
        <v>70220.774117441179</v>
      </c>
      <c r="H35" s="76">
        <f>F35/$H$19</f>
        <v>161.34827229514005</v>
      </c>
      <c r="I35" s="74">
        <f t="shared" si="3"/>
        <v>0.37598524724299215</v>
      </c>
      <c r="J35" s="16"/>
      <c r="K35" s="16"/>
      <c r="L35" s="16"/>
      <c r="M35" s="16"/>
      <c r="N35" s="94">
        <f>SUM(N29:N34)</f>
        <v>0</v>
      </c>
      <c r="O35" s="94">
        <f>SUM(O29:O34)</f>
        <v>0</v>
      </c>
      <c r="P35" s="94">
        <f>SUM(P29:P34)</f>
        <v>0</v>
      </c>
    </row>
    <row r="36" spans="1:20" ht="7" customHeight="1">
      <c r="B36" s="28"/>
      <c r="F36" s="50"/>
      <c r="G36" s="52"/>
      <c r="H36" s="75"/>
      <c r="I36" s="73"/>
    </row>
    <row r="37" spans="1:20">
      <c r="A37" s="1" t="s">
        <v>36</v>
      </c>
      <c r="B37" s="2" t="s">
        <v>7</v>
      </c>
      <c r="F37" s="50"/>
      <c r="G37" s="52"/>
      <c r="H37" s="75"/>
      <c r="I37" s="73"/>
    </row>
    <row r="38" spans="1:20">
      <c r="A38" s="26">
        <v>1</v>
      </c>
      <c r="B38" s="25" t="s">
        <v>8</v>
      </c>
      <c r="F38" s="50">
        <v>15000</v>
      </c>
      <c r="G38" s="52">
        <f>F38/$G$19</f>
        <v>882.35294117647061</v>
      </c>
      <c r="H38" s="75">
        <f>F38/$H$19</f>
        <v>2.0274074788075929</v>
      </c>
      <c r="I38" s="68">
        <f t="shared" ref="I38:I43" si="6">F38/$F$93</f>
        <v>4.7244094488188976E-3</v>
      </c>
      <c r="O38" s="6">
        <f>0.75*F38</f>
        <v>11250</v>
      </c>
      <c r="P38" s="6">
        <f t="shared" ref="P38:P42" si="7">O38+N38</f>
        <v>11250</v>
      </c>
    </row>
    <row r="39" spans="1:20">
      <c r="A39" s="26">
        <v>2</v>
      </c>
      <c r="B39" s="25" t="s">
        <v>9</v>
      </c>
      <c r="F39" s="50">
        <v>10000</v>
      </c>
      <c r="G39" s="52">
        <f t="shared" ref="G39:G42" si="8">F39/$G$19</f>
        <v>588.23529411764707</v>
      </c>
      <c r="H39" s="75">
        <f t="shared" ref="H39:H42" si="9">F39/$H$19</f>
        <v>1.3516049858717285</v>
      </c>
      <c r="I39" s="68">
        <f t="shared" si="6"/>
        <v>3.1496062992125984E-3</v>
      </c>
      <c r="J39" s="25" t="s">
        <v>240</v>
      </c>
      <c r="O39" s="6">
        <f t="shared" ref="O39:O42" si="10">0.75*F39</f>
        <v>7500</v>
      </c>
      <c r="P39" s="6">
        <f t="shared" si="7"/>
        <v>7500</v>
      </c>
    </row>
    <row r="40" spans="1:20">
      <c r="A40" s="26">
        <v>3</v>
      </c>
      <c r="B40" s="25" t="s">
        <v>10</v>
      </c>
      <c r="F40" s="50">
        <v>7500</v>
      </c>
      <c r="G40" s="52">
        <f t="shared" si="8"/>
        <v>441.1764705882353</v>
      </c>
      <c r="H40" s="75">
        <f t="shared" si="9"/>
        <v>1.0137037394037964</v>
      </c>
      <c r="I40" s="68">
        <f t="shared" si="6"/>
        <v>2.3622047244094488E-3</v>
      </c>
      <c r="O40" s="6">
        <f t="shared" si="10"/>
        <v>5625</v>
      </c>
      <c r="P40" s="6">
        <f t="shared" si="7"/>
        <v>5625</v>
      </c>
    </row>
    <row r="41" spans="1:20">
      <c r="A41" s="26">
        <v>4</v>
      </c>
      <c r="B41" s="25" t="s">
        <v>11</v>
      </c>
      <c r="F41" s="50">
        <v>5000</v>
      </c>
      <c r="G41" s="52">
        <f t="shared" si="8"/>
        <v>294.11764705882354</v>
      </c>
      <c r="H41" s="75">
        <f t="shared" si="9"/>
        <v>0.67580249293586425</v>
      </c>
      <c r="I41" s="68">
        <f t="shared" si="6"/>
        <v>1.5748031496062992E-3</v>
      </c>
      <c r="O41" s="6">
        <f t="shared" si="10"/>
        <v>3750</v>
      </c>
      <c r="P41" s="6">
        <f t="shared" si="7"/>
        <v>3750</v>
      </c>
    </row>
    <row r="42" spans="1:20">
      <c r="A42" s="26">
        <v>5</v>
      </c>
      <c r="B42" s="25" t="s">
        <v>12</v>
      </c>
      <c r="F42" s="50">
        <v>15000</v>
      </c>
      <c r="G42" s="52">
        <f t="shared" si="8"/>
        <v>882.35294117647061</v>
      </c>
      <c r="H42" s="75">
        <f t="shared" si="9"/>
        <v>2.0274074788075929</v>
      </c>
      <c r="I42" s="68">
        <f t="shared" si="6"/>
        <v>4.7244094488188976E-3</v>
      </c>
      <c r="O42" s="6">
        <f t="shared" si="10"/>
        <v>11250</v>
      </c>
      <c r="P42" s="6">
        <f t="shared" si="7"/>
        <v>11250</v>
      </c>
    </row>
    <row r="43" spans="1:20" ht="16.3" thickBot="1">
      <c r="A43" s="15"/>
      <c r="B43" s="16"/>
      <c r="C43" s="16"/>
      <c r="D43" s="16"/>
      <c r="E43" s="16"/>
      <c r="F43" s="51">
        <f>SUM(F38:F42)</f>
        <v>52500</v>
      </c>
      <c r="G43" s="53">
        <f>F43/$G$19</f>
        <v>3088.2352941176468</v>
      </c>
      <c r="H43" s="76">
        <f>F43/$H$19</f>
        <v>7.0959261758265741</v>
      </c>
      <c r="I43" s="74">
        <f t="shared" si="6"/>
        <v>1.6535433070866142E-2</v>
      </c>
      <c r="J43" s="306">
        <f>F43/F35</f>
        <v>4.3978941174198802E-2</v>
      </c>
      <c r="K43" s="16" t="s">
        <v>143</v>
      </c>
      <c r="L43" s="16"/>
      <c r="M43" s="16"/>
      <c r="N43" s="94">
        <f>SUM(N38:N42)</f>
        <v>0</v>
      </c>
      <c r="O43" s="94">
        <f>SUM(O38:O42)</f>
        <v>39375</v>
      </c>
      <c r="P43" s="94">
        <f>SUM(P38:P42)</f>
        <v>39375</v>
      </c>
      <c r="Q43" s="25" t="s">
        <v>117</v>
      </c>
      <c r="T43" s="47">
        <f>J43</f>
        <v>4.3978941174198802E-2</v>
      </c>
    </row>
    <row r="44" spans="1:20" ht="7" customHeight="1">
      <c r="B44" s="28"/>
      <c r="F44" s="50"/>
      <c r="G44" s="52"/>
      <c r="H44" s="75"/>
      <c r="I44" s="73"/>
    </row>
    <row r="45" spans="1:20">
      <c r="A45" s="1" t="s">
        <v>37</v>
      </c>
      <c r="B45" s="2" t="s">
        <v>13</v>
      </c>
      <c r="F45" s="50"/>
      <c r="G45" s="52"/>
      <c r="H45" s="75"/>
      <c r="I45" s="73"/>
    </row>
    <row r="46" spans="1:20">
      <c r="A46" s="26">
        <v>1</v>
      </c>
      <c r="B46" s="25" t="s">
        <v>14</v>
      </c>
      <c r="F46" s="50">
        <v>5000</v>
      </c>
      <c r="G46" s="52">
        <f>F46/$G$19</f>
        <v>294.11764705882354</v>
      </c>
      <c r="H46" s="75">
        <f>F46/$H$19</f>
        <v>0.67580249293586425</v>
      </c>
      <c r="I46" s="68">
        <f>F46/$F$93</f>
        <v>1.5748031496062992E-3</v>
      </c>
      <c r="N46" s="6">
        <v>0</v>
      </c>
      <c r="O46" s="6">
        <f>F46*0.75</f>
        <v>3750</v>
      </c>
      <c r="P46" s="6">
        <f t="shared" ref="P46:P49" si="11">O46+N46</f>
        <v>3750</v>
      </c>
    </row>
    <row r="47" spans="1:20" ht="15.75" customHeight="1">
      <c r="A47" s="26">
        <f>A46+1</f>
        <v>2</v>
      </c>
      <c r="B47" s="25" t="s">
        <v>101</v>
      </c>
      <c r="F47" s="50">
        <f>17276+3297+2000</f>
        <v>22573</v>
      </c>
      <c r="G47" s="52">
        <f t="shared" ref="G47:G49" si="12">F47/$G$19</f>
        <v>1327.8235294117646</v>
      </c>
      <c r="H47" s="75">
        <f t="shared" ref="H47:H49" si="13">F47/$H$19</f>
        <v>3.0509779346082526</v>
      </c>
      <c r="I47" s="68">
        <f>F47/$F$93</f>
        <v>7.1096062992125984E-3</v>
      </c>
      <c r="J47" s="25" t="s">
        <v>305</v>
      </c>
      <c r="N47" s="6">
        <f>F47-2000</f>
        <v>20573</v>
      </c>
      <c r="O47" s="6">
        <v>2000</v>
      </c>
      <c r="P47" s="6">
        <f t="shared" si="11"/>
        <v>22573</v>
      </c>
      <c r="Q47" s="25" t="s">
        <v>118</v>
      </c>
    </row>
    <row r="48" spans="1:20">
      <c r="A48" s="26">
        <f>A47+1</f>
        <v>3</v>
      </c>
      <c r="B48" s="25" t="s">
        <v>15</v>
      </c>
      <c r="F48" s="50">
        <v>20000</v>
      </c>
      <c r="G48" s="52">
        <f t="shared" si="12"/>
        <v>1176.4705882352941</v>
      </c>
      <c r="H48" s="75">
        <f t="shared" si="13"/>
        <v>2.703209971743457</v>
      </c>
      <c r="I48" s="68">
        <f>F48/$F$93</f>
        <v>6.2992125984251968E-3</v>
      </c>
      <c r="N48" s="6">
        <v>0</v>
      </c>
      <c r="O48" s="6">
        <f t="shared" ref="O48:O49" si="14">F48*0.75</f>
        <v>15000</v>
      </c>
      <c r="P48" s="6">
        <f t="shared" si="11"/>
        <v>15000</v>
      </c>
    </row>
    <row r="49" spans="1:16">
      <c r="A49" s="26">
        <f>A48+1</f>
        <v>4</v>
      </c>
      <c r="B49" s="25" t="s">
        <v>16</v>
      </c>
      <c r="F49" s="50">
        <v>5000</v>
      </c>
      <c r="G49" s="52">
        <f t="shared" si="12"/>
        <v>294.11764705882354</v>
      </c>
      <c r="H49" s="75">
        <f t="shared" si="13"/>
        <v>0.67580249293586425</v>
      </c>
      <c r="I49" s="68">
        <f>F49/$F$93</f>
        <v>1.5748031496062992E-3</v>
      </c>
      <c r="O49" s="6">
        <f t="shared" si="14"/>
        <v>3750</v>
      </c>
      <c r="P49" s="6">
        <f t="shared" si="11"/>
        <v>3750</v>
      </c>
    </row>
    <row r="50" spans="1:16" ht="16.3" thickBot="1">
      <c r="A50" s="15"/>
      <c r="B50" s="16"/>
      <c r="C50" s="16"/>
      <c r="D50" s="16"/>
      <c r="E50" s="16"/>
      <c r="F50" s="51">
        <f>SUM(F46:F49)</f>
        <v>52573</v>
      </c>
      <c r="G50" s="53">
        <f>F50/$G$19</f>
        <v>3092.5294117647059</v>
      </c>
      <c r="H50" s="76">
        <f>F50/$H$19</f>
        <v>7.1057928922234384</v>
      </c>
      <c r="I50" s="74">
        <f>F50/$F$93</f>
        <v>1.6558425196850395E-2</v>
      </c>
      <c r="J50" s="16"/>
      <c r="K50" s="16"/>
      <c r="L50" s="16"/>
      <c r="M50" s="16"/>
      <c r="N50" s="94">
        <f>SUM(N46:N49)</f>
        <v>20573</v>
      </c>
      <c r="O50" s="94">
        <f>SUM(O46:O49)</f>
        <v>24500</v>
      </c>
      <c r="P50" s="94">
        <f>SUM(P46:P49)</f>
        <v>45073</v>
      </c>
    </row>
    <row r="51" spans="1:16" ht="7" customHeight="1">
      <c r="B51" s="28"/>
      <c r="F51" s="50"/>
      <c r="G51" s="52"/>
      <c r="H51" s="75"/>
      <c r="I51" s="73"/>
    </row>
    <row r="52" spans="1:16">
      <c r="A52" s="1" t="s">
        <v>38</v>
      </c>
      <c r="B52" s="2" t="s">
        <v>17</v>
      </c>
      <c r="F52" s="50"/>
      <c r="G52" s="52"/>
      <c r="H52" s="75"/>
      <c r="I52" s="73"/>
    </row>
    <row r="53" spans="1:16">
      <c r="A53" s="26">
        <v>1</v>
      </c>
      <c r="B53" s="25" t="s">
        <v>18</v>
      </c>
      <c r="F53" s="50">
        <f>3100000*1%</f>
        <v>31000</v>
      </c>
      <c r="G53" s="52">
        <f>F53/$G$19</f>
        <v>1823.5294117647059</v>
      </c>
      <c r="H53" s="75">
        <f>F53/$H$19</f>
        <v>4.1899754562023581</v>
      </c>
      <c r="I53" s="68">
        <f>F53/$F$93</f>
        <v>9.7637795275590557E-3</v>
      </c>
      <c r="J53" s="25" t="s">
        <v>320</v>
      </c>
      <c r="P53" s="6">
        <f>O53+N53</f>
        <v>0</v>
      </c>
    </row>
    <row r="54" spans="1:16">
      <c r="A54" s="26">
        <v>2</v>
      </c>
      <c r="B54" s="25" t="s">
        <v>19</v>
      </c>
      <c r="F54" s="50">
        <f>G19*49.83+(H19*0.0929*16.42)</f>
        <v>12133.084940497647</v>
      </c>
      <c r="G54" s="52">
        <f>F54/$G$19</f>
        <v>713.71087885280281</v>
      </c>
      <c r="H54" s="75">
        <f>F54/$H$19</f>
        <v>1.6399138099581805</v>
      </c>
      <c r="I54" s="68">
        <f>F54/$F$93</f>
        <v>3.8214440757472906E-3</v>
      </c>
      <c r="J54" s="25" t="s">
        <v>308</v>
      </c>
      <c r="P54" s="6">
        <f>O54+N54</f>
        <v>0</v>
      </c>
    </row>
    <row r="55" spans="1:16">
      <c r="A55" s="26">
        <v>3</v>
      </c>
      <c r="B55" s="25" t="s">
        <v>102</v>
      </c>
      <c r="F55" s="50">
        <f>'Dev charges'!B9</f>
        <v>413383.06011761539</v>
      </c>
      <c r="G55" s="52">
        <f>F55/$G$19</f>
        <v>24316.650595153846</v>
      </c>
      <c r="H55" s="75">
        <f>F55/$H$19</f>
        <v>55.87306051298814</v>
      </c>
      <c r="I55" s="68">
        <f>F55/$F$93</f>
        <v>0.13019938901342218</v>
      </c>
      <c r="J55" s="25" t="s">
        <v>307</v>
      </c>
      <c r="P55" s="6">
        <f>O55+N55</f>
        <v>0</v>
      </c>
    </row>
    <row r="56" spans="1:16">
      <c r="A56" s="26">
        <v>4</v>
      </c>
      <c r="B56" s="25" t="s">
        <v>20</v>
      </c>
      <c r="F56" s="50">
        <v>25000</v>
      </c>
      <c r="G56" s="52">
        <f>F56/$G$19</f>
        <v>1470.5882352941176</v>
      </c>
      <c r="H56" s="75">
        <f>F56/$H$19</f>
        <v>3.3790124646793211</v>
      </c>
      <c r="I56" s="68">
        <f>F56/$F$93</f>
        <v>7.874015748031496E-3</v>
      </c>
      <c r="O56" s="6">
        <v>25000</v>
      </c>
      <c r="P56" s="6">
        <f>O56+N56</f>
        <v>25000</v>
      </c>
    </row>
    <row r="57" spans="1:16" ht="16.3" thickBot="1">
      <c r="A57" s="15"/>
      <c r="B57" s="16"/>
      <c r="C57" s="16"/>
      <c r="D57" s="16"/>
      <c r="E57" s="16"/>
      <c r="F57" s="51">
        <f>SUM(F53:F56)</f>
        <v>481516.14505811303</v>
      </c>
      <c r="G57" s="53">
        <f>F57/$G$19</f>
        <v>28324.479121065473</v>
      </c>
      <c r="H57" s="76">
        <f>F57/$H$19</f>
        <v>65.081962243828002</v>
      </c>
      <c r="I57" s="74">
        <f>F57/$F$93</f>
        <v>0.15165862836476002</v>
      </c>
      <c r="J57" s="16"/>
      <c r="K57" s="16"/>
      <c r="L57" s="16"/>
      <c r="M57" s="16"/>
      <c r="N57" s="94">
        <f>SUM(N53:N56)</f>
        <v>0</v>
      </c>
      <c r="O57" s="94">
        <f>SUM(O53:O56)</f>
        <v>25000</v>
      </c>
      <c r="P57" s="94">
        <f>SUM(P53:P56)</f>
        <v>25000</v>
      </c>
    </row>
    <row r="58" spans="1:16" ht="7" customHeight="1">
      <c r="B58" s="28"/>
      <c r="F58" s="50"/>
      <c r="G58" s="52"/>
      <c r="H58" s="75"/>
      <c r="I58" s="73"/>
    </row>
    <row r="59" spans="1:16">
      <c r="A59" s="1" t="s">
        <v>39</v>
      </c>
      <c r="B59" s="2" t="s">
        <v>21</v>
      </c>
      <c r="F59" s="50"/>
      <c r="G59" s="52"/>
      <c r="H59" s="75"/>
      <c r="I59" s="73"/>
    </row>
    <row r="60" spans="1:16">
      <c r="A60" s="26">
        <v>1</v>
      </c>
      <c r="B60" s="25" t="s">
        <v>22</v>
      </c>
      <c r="F60" s="50">
        <v>5000</v>
      </c>
      <c r="G60" s="52">
        <f>F60/$G$19</f>
        <v>294.11764705882354</v>
      </c>
      <c r="H60" s="75">
        <f>F60/$H$19</f>
        <v>0.67580249293586425</v>
      </c>
      <c r="I60" s="68">
        <f t="shared" ref="I60:I65" si="15">F60/$F$93</f>
        <v>1.5748031496062992E-3</v>
      </c>
      <c r="O60" s="6">
        <v>5000</v>
      </c>
      <c r="P60" s="6">
        <f t="shared" ref="P60:P64" si="16">O60+N60</f>
        <v>5000</v>
      </c>
    </row>
    <row r="61" spans="1:16">
      <c r="A61" s="26">
        <f>A60+1</f>
        <v>2</v>
      </c>
      <c r="B61" s="25" t="s">
        <v>103</v>
      </c>
      <c r="F61" s="50">
        <f>Units!E24*0.75</f>
        <v>14190</v>
      </c>
      <c r="G61" s="52">
        <f t="shared" ref="G61:G64" si="17">F61/$G$19</f>
        <v>834.70588235294122</v>
      </c>
      <c r="H61" s="75">
        <f>F61/$H$19</f>
        <v>1.9179274749519828</v>
      </c>
      <c r="I61" s="68">
        <f t="shared" si="15"/>
        <v>4.4692913385826769E-3</v>
      </c>
      <c r="J61" s="25" t="s">
        <v>212</v>
      </c>
      <c r="P61" s="6">
        <f t="shared" si="16"/>
        <v>0</v>
      </c>
    </row>
    <row r="62" spans="1:16">
      <c r="A62" s="26">
        <f>A61+1</f>
        <v>3</v>
      </c>
      <c r="B62" s="25" t="s">
        <v>23</v>
      </c>
      <c r="F62" s="50">
        <v>5000</v>
      </c>
      <c r="G62" s="52">
        <f t="shared" si="17"/>
        <v>294.11764705882354</v>
      </c>
      <c r="H62" s="75">
        <f t="shared" ref="H62:H64" si="18">F62/$H$19</f>
        <v>0.67580249293586425</v>
      </c>
      <c r="I62" s="68">
        <f t="shared" si="15"/>
        <v>1.5748031496062992E-3</v>
      </c>
      <c r="N62" s="6">
        <v>6000</v>
      </c>
      <c r="O62" s="6">
        <v>0</v>
      </c>
      <c r="P62" s="6">
        <f t="shared" si="16"/>
        <v>6000</v>
      </c>
    </row>
    <row r="63" spans="1:16">
      <c r="A63" s="26">
        <f t="shared" ref="A63:A64" si="19">A62+1</f>
        <v>4</v>
      </c>
      <c r="B63" s="25" t="s">
        <v>108</v>
      </c>
      <c r="F63" s="50">
        <v>20000</v>
      </c>
      <c r="G63" s="52">
        <f>F63/$G$19</f>
        <v>1176.4705882352941</v>
      </c>
      <c r="H63" s="75">
        <f>F63/$H$19</f>
        <v>2.703209971743457</v>
      </c>
      <c r="I63" s="68">
        <f t="shared" si="15"/>
        <v>6.2992125984251968E-3</v>
      </c>
      <c r="J63" s="25" t="s">
        <v>331</v>
      </c>
      <c r="N63" s="6">
        <v>25000</v>
      </c>
      <c r="O63" s="6">
        <v>0</v>
      </c>
      <c r="P63" s="6">
        <f t="shared" si="16"/>
        <v>25000</v>
      </c>
    </row>
    <row r="64" spans="1:16">
      <c r="A64" s="26">
        <f t="shared" si="19"/>
        <v>5</v>
      </c>
      <c r="B64" s="25" t="s">
        <v>24</v>
      </c>
      <c r="F64" s="50">
        <f>Proforma!G21/12*2</f>
        <v>10488.849976685633</v>
      </c>
      <c r="G64" s="52">
        <f t="shared" si="17"/>
        <v>616.99117509915493</v>
      </c>
      <c r="H64" s="75">
        <f t="shared" si="18"/>
        <v>1.4176781924548865</v>
      </c>
      <c r="I64" s="68">
        <f t="shared" si="15"/>
        <v>3.3035747958064985E-3</v>
      </c>
      <c r="J64" s="25" t="s">
        <v>332</v>
      </c>
      <c r="P64" s="6">
        <f t="shared" si="16"/>
        <v>0</v>
      </c>
    </row>
    <row r="65" spans="1:17" ht="16.5" customHeight="1" thickBot="1">
      <c r="A65" s="15"/>
      <c r="B65" s="16"/>
      <c r="C65" s="16"/>
      <c r="D65" s="16"/>
      <c r="E65" s="16"/>
      <c r="F65" s="51">
        <f>SUM(F60:F64)</f>
        <v>54678.849976685633</v>
      </c>
      <c r="G65" s="53">
        <f>F65/$G$19</f>
        <v>3216.402939805037</v>
      </c>
      <c r="H65" s="76">
        <f>F65/$H$19</f>
        <v>7.3904206250220543</v>
      </c>
      <c r="I65" s="74">
        <f t="shared" si="15"/>
        <v>1.7221685032026972E-2</v>
      </c>
      <c r="J65" s="16"/>
      <c r="K65" s="16"/>
      <c r="L65" s="16"/>
      <c r="M65" s="16"/>
      <c r="N65" s="94">
        <f>SUM(N60:N64)</f>
        <v>31000</v>
      </c>
      <c r="O65" s="94">
        <f>SUM(O60:O64)</f>
        <v>5000</v>
      </c>
      <c r="P65" s="94">
        <f>SUM(P60:P64)</f>
        <v>36000</v>
      </c>
    </row>
    <row r="66" spans="1:17" ht="7" customHeight="1">
      <c r="F66" s="50"/>
      <c r="G66" s="52"/>
      <c r="H66" s="75"/>
      <c r="I66" s="73"/>
    </row>
    <row r="67" spans="1:17">
      <c r="A67" s="1" t="s">
        <v>40</v>
      </c>
      <c r="B67" s="2" t="s">
        <v>35</v>
      </c>
      <c r="F67" s="50"/>
      <c r="G67" s="52"/>
      <c r="H67" s="75"/>
      <c r="I67" s="73"/>
    </row>
    <row r="68" spans="1:17" ht="15.75" customHeight="1">
      <c r="A68" s="26">
        <v>1</v>
      </c>
      <c r="B68" s="25" t="s">
        <v>64</v>
      </c>
      <c r="F68" s="50">
        <f>(F35+F43+F50+F53+F62+F63+F78+F79)*13%</f>
        <v>180066.40079954499</v>
      </c>
      <c r="G68" s="52">
        <f>F68/$G$19</f>
        <v>10592.141223502647</v>
      </c>
      <c r="H68" s="75">
        <f>F68/$H$19</f>
        <v>24.3378645108642</v>
      </c>
      <c r="I68" s="68">
        <f>F68/$F$93</f>
        <v>5.6713827023478741E-2</v>
      </c>
      <c r="N68" s="6">
        <v>0</v>
      </c>
      <c r="O68" s="6">
        <v>0</v>
      </c>
      <c r="P68" s="6">
        <f>O68+N68</f>
        <v>0</v>
      </c>
    </row>
    <row r="69" spans="1:17">
      <c r="A69" s="26">
        <v>2</v>
      </c>
      <c r="B69" s="25" t="s">
        <v>63</v>
      </c>
      <c r="F69" s="69">
        <f>-F68</f>
        <v>-180066.40079954499</v>
      </c>
      <c r="G69" s="78">
        <f>F69/$G$19</f>
        <v>-10592.141223502647</v>
      </c>
      <c r="H69" s="79">
        <f>F69/$H$19</f>
        <v>-24.3378645108642</v>
      </c>
      <c r="I69" s="80">
        <f>F69/$F$93</f>
        <v>-5.6713827023478741E-2</v>
      </c>
      <c r="N69" s="6">
        <v>0</v>
      </c>
      <c r="O69" s="6">
        <v>0</v>
      </c>
      <c r="P69" s="6">
        <f>O69+N69</f>
        <v>0</v>
      </c>
    </row>
    <row r="70" spans="1:17">
      <c r="A70" s="26">
        <v>3</v>
      </c>
      <c r="B70" s="25" t="s">
        <v>62</v>
      </c>
      <c r="F70" s="69">
        <v>150000</v>
      </c>
      <c r="G70" s="52">
        <f>F70/$G$19</f>
        <v>8823.5294117647063</v>
      </c>
      <c r="H70" s="75">
        <f>F70/$H$19</f>
        <v>20.274074788075929</v>
      </c>
      <c r="I70" s="68">
        <f>F70/$F$93</f>
        <v>4.7244094488188976E-2</v>
      </c>
      <c r="N70" s="6">
        <v>0</v>
      </c>
      <c r="O70" s="6">
        <v>0</v>
      </c>
      <c r="P70" s="6">
        <f>O70+N70</f>
        <v>0</v>
      </c>
    </row>
    <row r="71" spans="1:17" ht="16.3" thickBot="1">
      <c r="A71" s="15"/>
      <c r="B71" s="16"/>
      <c r="C71" s="16"/>
      <c r="D71" s="16"/>
      <c r="E71" s="16"/>
      <c r="F71" s="51">
        <f>SUM(F68:F70)</f>
        <v>150000</v>
      </c>
      <c r="G71" s="53">
        <f>F71/$G$19</f>
        <v>8823.5294117647063</v>
      </c>
      <c r="H71" s="76">
        <f>F71/$H$19</f>
        <v>20.274074788075929</v>
      </c>
      <c r="I71" s="74">
        <f>F71/$F$93</f>
        <v>4.7244094488188976E-2</v>
      </c>
      <c r="J71" s="16"/>
      <c r="K71" s="16"/>
      <c r="L71" s="16"/>
      <c r="M71" s="16"/>
      <c r="N71" s="94">
        <f>SUM(N68:N70)</f>
        <v>0</v>
      </c>
      <c r="O71" s="94">
        <f>SUM(O68:O70)</f>
        <v>0</v>
      </c>
      <c r="P71" s="94">
        <f>SUM(P68:P70)</f>
        <v>0</v>
      </c>
    </row>
    <row r="72" spans="1:17" ht="7" customHeight="1">
      <c r="B72" s="28"/>
      <c r="F72" s="50"/>
      <c r="G72" s="52"/>
      <c r="H72" s="75"/>
      <c r="I72" s="73"/>
    </row>
    <row r="73" spans="1:17">
      <c r="A73" s="1" t="s">
        <v>41</v>
      </c>
      <c r="B73" s="2" t="s">
        <v>28</v>
      </c>
      <c r="F73" s="50"/>
      <c r="G73" s="52"/>
      <c r="H73" s="75"/>
      <c r="I73" s="73"/>
    </row>
    <row r="74" spans="1:17">
      <c r="A74" s="26">
        <v>1</v>
      </c>
      <c r="B74" s="25" t="s">
        <v>154</v>
      </c>
      <c r="F74" s="302">
        <f>Financing!D38</f>
        <v>72540</v>
      </c>
      <c r="G74" s="52">
        <f t="shared" ref="G74:G77" si="20">F74/$G$19</f>
        <v>4267.0588235294117</v>
      </c>
      <c r="H74" s="303">
        <f t="shared" ref="H74:H77" si="21">F74/$H$19</f>
        <v>9.8045425675135185</v>
      </c>
      <c r="I74" s="304">
        <f>F74/$F$93</f>
        <v>2.2847244094488187E-2</v>
      </c>
      <c r="N74" s="305">
        <v>0</v>
      </c>
      <c r="O74" s="305">
        <f>F74</f>
        <v>72540</v>
      </c>
      <c r="P74" s="305">
        <f t="shared" ref="P74:P80" si="22">O74+N74</f>
        <v>72540</v>
      </c>
      <c r="Q74" s="25" t="s">
        <v>227</v>
      </c>
    </row>
    <row r="75" spans="1:17">
      <c r="A75" s="26">
        <v>2</v>
      </c>
      <c r="B75" s="25" t="s">
        <v>303</v>
      </c>
      <c r="F75" s="302">
        <f>Financing!D39</f>
        <v>18337.5</v>
      </c>
      <c r="G75" s="52">
        <f t="shared" si="20"/>
        <v>1078.6764705882354</v>
      </c>
      <c r="H75" s="303">
        <f t="shared" si="21"/>
        <v>2.4785056428422823</v>
      </c>
      <c r="I75" s="304">
        <f t="shared" ref="I75:I77" si="23">F75/$F$93</f>
        <v>5.7755905511811022E-3</v>
      </c>
      <c r="N75" s="305">
        <f>F75</f>
        <v>18337.5</v>
      </c>
      <c r="O75" s="305"/>
      <c r="P75" s="305">
        <f t="shared" si="22"/>
        <v>18337.5</v>
      </c>
    </row>
    <row r="76" spans="1:17">
      <c r="A76" s="26">
        <v>3</v>
      </c>
      <c r="B76" s="25" t="s">
        <v>29</v>
      </c>
      <c r="F76" s="302">
        <f>Financing!D54</f>
        <v>103187.5</v>
      </c>
      <c r="G76" s="52">
        <f t="shared" si="20"/>
        <v>6069.8529411764703</v>
      </c>
      <c r="H76" s="303">
        <f t="shared" si="21"/>
        <v>13.946873947963898</v>
      </c>
      <c r="I76" s="304">
        <f t="shared" si="23"/>
        <v>3.2500000000000001E-2</v>
      </c>
      <c r="N76" s="305">
        <v>0</v>
      </c>
      <c r="O76" s="305">
        <v>0</v>
      </c>
      <c r="P76" s="305">
        <f t="shared" si="22"/>
        <v>0</v>
      </c>
      <c r="Q76" s="25" t="s">
        <v>119</v>
      </c>
    </row>
    <row r="77" spans="1:17">
      <c r="A77" s="26">
        <v>4</v>
      </c>
      <c r="B77" s="25" t="s">
        <v>304</v>
      </c>
      <c r="F77" s="302">
        <f>Financing!D55</f>
        <v>25400</v>
      </c>
      <c r="G77" s="52">
        <f t="shared" si="20"/>
        <v>1494.1176470588234</v>
      </c>
      <c r="H77" s="303">
        <f t="shared" si="21"/>
        <v>3.4330766641141905</v>
      </c>
      <c r="I77" s="304">
        <f t="shared" si="23"/>
        <v>8.0000000000000002E-3</v>
      </c>
      <c r="N77" s="305"/>
      <c r="O77" s="305"/>
      <c r="P77" s="305">
        <f t="shared" si="22"/>
        <v>0</v>
      </c>
    </row>
    <row r="78" spans="1:17">
      <c r="A78" s="26">
        <f>A77+1</f>
        <v>5</v>
      </c>
      <c r="B78" s="25" t="s">
        <v>109</v>
      </c>
      <c r="F78" s="50">
        <v>15000</v>
      </c>
      <c r="G78" s="52">
        <f t="shared" ref="G78:G81" si="24">F78/$G$19</f>
        <v>882.35294117647061</v>
      </c>
      <c r="H78" s="75">
        <f t="shared" ref="H78:H81" si="25">F78/$H$19</f>
        <v>2.0274074788075929</v>
      </c>
      <c r="I78" s="68">
        <f>F78/$F$93</f>
        <v>4.7244094488188976E-3</v>
      </c>
      <c r="N78" s="6">
        <v>7500</v>
      </c>
      <c r="P78" s="305">
        <f t="shared" si="22"/>
        <v>7500</v>
      </c>
      <c r="Q78" s="25" t="s">
        <v>121</v>
      </c>
    </row>
    <row r="79" spans="1:17">
      <c r="A79" s="26">
        <f>A78+1</f>
        <v>6</v>
      </c>
      <c r="B79" s="25" t="s">
        <v>30</v>
      </c>
      <c r="F79" s="50">
        <f>1800*6+4500</f>
        <v>15300</v>
      </c>
      <c r="G79" s="52">
        <f t="shared" si="24"/>
        <v>900</v>
      </c>
      <c r="H79" s="75">
        <f t="shared" si="25"/>
        <v>2.0679556283837446</v>
      </c>
      <c r="I79" s="68">
        <f>F79/$F$93</f>
        <v>4.8188976377952757E-3</v>
      </c>
      <c r="J79" s="25" t="s">
        <v>306</v>
      </c>
      <c r="N79" s="6">
        <v>0</v>
      </c>
      <c r="O79" s="6">
        <v>0</v>
      </c>
      <c r="P79" s="305">
        <f t="shared" si="22"/>
        <v>0</v>
      </c>
    </row>
    <row r="80" spans="1:17">
      <c r="A80" s="26">
        <f>A79+1</f>
        <v>7</v>
      </c>
      <c r="B80" s="25" t="s">
        <v>31</v>
      </c>
      <c r="F80" s="50">
        <f>350*9</f>
        <v>3150</v>
      </c>
      <c r="G80" s="52">
        <f t="shared" si="24"/>
        <v>185.29411764705881</v>
      </c>
      <c r="H80" s="75">
        <f t="shared" si="25"/>
        <v>0.42575557054959445</v>
      </c>
      <c r="I80" s="68">
        <f>F80/$F$93</f>
        <v>9.9212598425196851E-4</v>
      </c>
      <c r="J80" s="25" t="s">
        <v>309</v>
      </c>
      <c r="N80" s="6">
        <v>350</v>
      </c>
      <c r="O80" s="6">
        <f>350*3</f>
        <v>1050</v>
      </c>
      <c r="P80" s="305">
        <f t="shared" si="22"/>
        <v>1400</v>
      </c>
    </row>
    <row r="81" spans="1:18" ht="16.3" thickBot="1">
      <c r="A81" s="15"/>
      <c r="B81" s="16"/>
      <c r="C81" s="16"/>
      <c r="D81" s="16"/>
      <c r="E81" s="16"/>
      <c r="F81" s="51">
        <f>SUM(F73:F80)</f>
        <v>252915</v>
      </c>
      <c r="G81" s="53">
        <f t="shared" si="24"/>
        <v>14877.35294117647</v>
      </c>
      <c r="H81" s="76">
        <f t="shared" si="25"/>
        <v>34.184117500174821</v>
      </c>
      <c r="I81" s="74">
        <f>F81/$F$93</f>
        <v>7.9658267716535433E-2</v>
      </c>
      <c r="J81" s="16"/>
      <c r="K81" s="16"/>
      <c r="L81" s="16"/>
      <c r="M81" s="16"/>
      <c r="N81" s="94">
        <f>SUM(N73:N80)</f>
        <v>26187.5</v>
      </c>
      <c r="O81" s="94">
        <f>SUM(O73:O80)</f>
        <v>73590</v>
      </c>
      <c r="P81" s="94">
        <f>SUM(P73:P80)</f>
        <v>99777.5</v>
      </c>
    </row>
    <row r="82" spans="1:18" ht="7" customHeight="1">
      <c r="B82" s="28"/>
      <c r="F82" s="50"/>
      <c r="G82" s="52"/>
      <c r="H82" s="75"/>
      <c r="I82" s="73"/>
    </row>
    <row r="83" spans="1:18">
      <c r="A83" s="1" t="s">
        <v>42</v>
      </c>
      <c r="B83" s="2" t="s">
        <v>111</v>
      </c>
      <c r="F83" s="50"/>
      <c r="G83" s="52"/>
      <c r="H83" s="75"/>
      <c r="I83" s="73"/>
    </row>
    <row r="84" spans="1:18">
      <c r="A84" s="26">
        <v>1</v>
      </c>
      <c r="B84" s="25" t="s">
        <v>32</v>
      </c>
      <c r="F84" s="50">
        <f>3175000-F26-F43-F57-F65-F71-F81-F91-F35-F50</f>
        <v>31892.594968701247</v>
      </c>
      <c r="G84" s="52">
        <f>F84/$G$19</f>
        <v>1876.034998158897</v>
      </c>
      <c r="H84" s="75">
        <f>F84/$H$19</f>
        <v>4.3106190372084212</v>
      </c>
      <c r="I84" s="68">
        <f>F84/$F$93</f>
        <v>1.0044911801165747E-2</v>
      </c>
      <c r="J84" s="77"/>
      <c r="N84" s="6">
        <v>0</v>
      </c>
      <c r="O84" s="6">
        <v>25000</v>
      </c>
      <c r="P84" s="6">
        <f>O84+N84</f>
        <v>25000</v>
      </c>
      <c r="Q84" s="29"/>
    </row>
    <row r="85" spans="1:18" ht="16.3" thickBot="1">
      <c r="A85" s="15"/>
      <c r="B85" s="16"/>
      <c r="C85" s="16"/>
      <c r="D85" s="16"/>
      <c r="E85" s="16"/>
      <c r="F85" s="51">
        <f>SUM(F84)</f>
        <v>31892.594968701247</v>
      </c>
      <c r="G85" s="53">
        <f>F85/$G$19</f>
        <v>1876.034998158897</v>
      </c>
      <c r="H85" s="76">
        <f>F85/$H$19</f>
        <v>4.3106190372084212</v>
      </c>
      <c r="I85" s="74">
        <f>F85/$F$93</f>
        <v>1.0044911801165747E-2</v>
      </c>
      <c r="J85" s="16"/>
      <c r="K85" s="16"/>
      <c r="L85" s="16"/>
      <c r="M85" s="16"/>
      <c r="N85" s="94">
        <f>SUM(N84)</f>
        <v>0</v>
      </c>
      <c r="O85" s="94">
        <f>SUM(O84)</f>
        <v>25000</v>
      </c>
      <c r="P85" s="94">
        <f>SUM(P84)</f>
        <v>25000</v>
      </c>
    </row>
    <row r="86" spans="1:18" ht="7" customHeight="1">
      <c r="B86" s="28"/>
      <c r="F86" s="50"/>
      <c r="G86" s="52"/>
      <c r="H86" s="75"/>
      <c r="I86" s="73"/>
    </row>
    <row r="87" spans="1:18">
      <c r="A87" s="1" t="s">
        <v>43</v>
      </c>
      <c r="B87" s="2" t="s">
        <v>177</v>
      </c>
      <c r="F87" s="50"/>
      <c r="G87" s="52"/>
      <c r="H87" s="75"/>
      <c r="I87" s="73"/>
    </row>
    <row r="88" spans="1:18">
      <c r="A88" s="26">
        <v>1</v>
      </c>
      <c r="B88" s="25" t="s">
        <v>65</v>
      </c>
      <c r="F88" s="50">
        <f>-Proforma!F6*6*0.5</f>
        <v>-56760</v>
      </c>
      <c r="G88" s="52">
        <f>F88/$G$19</f>
        <v>-3338.8235294117649</v>
      </c>
      <c r="H88" s="75">
        <f>F88/$H$19</f>
        <v>-7.6717098998079312</v>
      </c>
      <c r="I88" s="68">
        <f>F88/$F$93</f>
        <v>-1.7877165354330708E-2</v>
      </c>
      <c r="N88" s="6">
        <v>0</v>
      </c>
      <c r="O88" s="6">
        <v>0</v>
      </c>
      <c r="P88" s="6">
        <f>O88+N88</f>
        <v>0</v>
      </c>
    </row>
    <row r="89" spans="1:18">
      <c r="A89" s="26">
        <v>2</v>
      </c>
      <c r="B89" s="25" t="s">
        <v>211</v>
      </c>
      <c r="F89" s="50">
        <v>0</v>
      </c>
      <c r="G89" s="52">
        <f>F89/$G$19</f>
        <v>0</v>
      </c>
      <c r="H89" s="75">
        <f>F89/$H$19</f>
        <v>0</v>
      </c>
      <c r="I89" s="68">
        <f>F89/$F$93</f>
        <v>0</v>
      </c>
    </row>
    <row r="90" spans="1:18">
      <c r="A90" s="26">
        <v>3</v>
      </c>
      <c r="B90" s="25" t="s">
        <v>34</v>
      </c>
      <c r="F90" s="50">
        <v>0</v>
      </c>
      <c r="G90" s="52">
        <f>F90/$G$19</f>
        <v>0</v>
      </c>
      <c r="H90" s="75">
        <f>F90/$H$19</f>
        <v>0</v>
      </c>
      <c r="I90" s="68">
        <f>F90/$F$93</f>
        <v>0</v>
      </c>
      <c r="N90" s="6">
        <v>0</v>
      </c>
      <c r="O90" s="6">
        <v>0</v>
      </c>
      <c r="P90" s="6">
        <f>O90+N90</f>
        <v>0</v>
      </c>
      <c r="Q90" s="25" t="s">
        <v>120</v>
      </c>
    </row>
    <row r="91" spans="1:18" ht="16.3" thickBot="1">
      <c r="A91" s="15"/>
      <c r="B91" s="16"/>
      <c r="C91" s="16"/>
      <c r="D91" s="16"/>
      <c r="E91" s="16"/>
      <c r="F91" s="51">
        <f>SUM(F88:F90)</f>
        <v>-56760</v>
      </c>
      <c r="G91" s="53">
        <f>F91/$G$19</f>
        <v>-3338.8235294117649</v>
      </c>
      <c r="H91" s="76">
        <f>F91/$H$19</f>
        <v>-7.6717098998079312</v>
      </c>
      <c r="I91" s="74">
        <f>F91/$F$93</f>
        <v>-1.7877165354330708E-2</v>
      </c>
      <c r="J91" s="16"/>
      <c r="K91" s="16"/>
      <c r="L91" s="16"/>
      <c r="M91" s="16"/>
      <c r="N91" s="94">
        <f>SUM(N88:N90)</f>
        <v>0</v>
      </c>
      <c r="O91" s="94">
        <f>SUM(O88:O90)</f>
        <v>0</v>
      </c>
      <c r="P91" s="94">
        <f>SUM(P88:P90)</f>
        <v>0</v>
      </c>
    </row>
    <row r="92" spans="1:18" ht="7" customHeight="1">
      <c r="F92" s="50"/>
      <c r="G92" s="52"/>
      <c r="H92" s="50"/>
      <c r="I92" s="66"/>
    </row>
    <row r="93" spans="1:18">
      <c r="A93" s="18"/>
      <c r="B93" s="19" t="s">
        <v>44</v>
      </c>
      <c r="C93" s="19"/>
      <c r="D93" s="19"/>
      <c r="E93" s="19"/>
      <c r="F93" s="95">
        <v>3175000</v>
      </c>
      <c r="G93" s="95">
        <f>F93/$G$19</f>
        <v>186764.70588235295</v>
      </c>
      <c r="H93" s="96">
        <f>F93/$H$19</f>
        <v>429.1345830142738</v>
      </c>
      <c r="I93" s="97">
        <f>F93/$F$93</f>
        <v>1</v>
      </c>
      <c r="J93" s="19"/>
      <c r="K93" s="19"/>
      <c r="L93" s="19"/>
      <c r="M93" s="19"/>
      <c r="N93" s="95">
        <f>N26+N35+N43+N50+N57+N65+N71+N81+N85+N91</f>
        <v>1029060.5</v>
      </c>
      <c r="O93" s="95">
        <f>O26+O35+O43+O50+O57+O65+O71+O81+O85+O91</f>
        <v>196965</v>
      </c>
      <c r="P93" s="98">
        <f>P26+P35+P43+P50+P57+P65+P71+P81+P85+P91</f>
        <v>1226025.5</v>
      </c>
      <c r="Q93" s="27">
        <f>P93-F23</f>
        <v>303525.5</v>
      </c>
      <c r="R93" s="25" t="s">
        <v>310</v>
      </c>
    </row>
    <row r="94" spans="1:18">
      <c r="H94" s="22"/>
      <c r="I94" s="66"/>
    </row>
    <row r="95" spans="1:18">
      <c r="B95" s="2"/>
      <c r="G95" s="30"/>
      <c r="H95" s="22"/>
      <c r="I95" s="66"/>
    </row>
    <row r="96" spans="1:18" ht="15.75" customHeight="1">
      <c r="H96" s="22"/>
      <c r="I96" s="66"/>
    </row>
    <row r="97" spans="6:9">
      <c r="F97" s="37"/>
      <c r="G97" s="13"/>
      <c r="H97" s="22"/>
      <c r="I97" s="66"/>
    </row>
    <row r="98" spans="6:9">
      <c r="H98" s="22"/>
      <c r="I98" s="66"/>
    </row>
    <row r="99" spans="6:9" ht="15.75" customHeight="1">
      <c r="G99" s="13"/>
      <c r="H99" s="22"/>
      <c r="I99" s="66"/>
    </row>
    <row r="100" spans="6:9">
      <c r="F100" s="24"/>
      <c r="G100" s="55"/>
      <c r="H100" s="22"/>
      <c r="I100" s="66"/>
    </row>
    <row r="101" spans="6:9">
      <c r="G101" s="55"/>
      <c r="H101" s="22"/>
      <c r="I101" s="66"/>
    </row>
    <row r="102" spans="6:9">
      <c r="G102" s="37"/>
      <c r="H102" s="22"/>
      <c r="I102" s="66"/>
    </row>
    <row r="103" spans="6:9">
      <c r="H103" s="22"/>
      <c r="I103" s="66"/>
    </row>
    <row r="104" spans="6:9">
      <c r="H104" s="22"/>
      <c r="I104" s="66"/>
    </row>
    <row r="105" spans="6:9">
      <c r="G105" s="46"/>
      <c r="H105" s="57"/>
      <c r="I105" s="66"/>
    </row>
    <row r="106" spans="6:9">
      <c r="G106" s="47"/>
      <c r="H106" s="57"/>
      <c r="I106" s="66"/>
    </row>
    <row r="107" spans="6:9">
      <c r="H107" s="22"/>
      <c r="I107" s="66"/>
    </row>
    <row r="108" spans="6:9">
      <c r="H108" s="22"/>
      <c r="I108" s="66"/>
    </row>
    <row r="109" spans="6:9">
      <c r="H109" s="22"/>
      <c r="I109" s="66"/>
    </row>
    <row r="110" spans="6:9">
      <c r="H110" s="22"/>
      <c r="I110" s="66"/>
    </row>
    <row r="111" spans="6:9">
      <c r="H111" s="22"/>
      <c r="I111" s="66"/>
    </row>
    <row r="112" spans="6:9">
      <c r="H112" s="22"/>
      <c r="I112" s="66"/>
    </row>
    <row r="113" spans="8:9">
      <c r="H113" s="22"/>
      <c r="I113" s="66"/>
    </row>
    <row r="114" spans="8:9">
      <c r="H114" s="22"/>
      <c r="I114" s="66"/>
    </row>
    <row r="115" spans="8:9">
      <c r="H115" s="22"/>
      <c r="I115" s="66"/>
    </row>
    <row r="116" spans="8:9">
      <c r="H116" s="22"/>
      <c r="I116" s="66"/>
    </row>
    <row r="117" spans="8:9">
      <c r="H117" s="22"/>
      <c r="I117" s="66"/>
    </row>
    <row r="118" spans="8:9">
      <c r="H118" s="22"/>
      <c r="I118" s="66"/>
    </row>
    <row r="119" spans="8:9">
      <c r="H119" s="22"/>
      <c r="I119" s="66"/>
    </row>
    <row r="120" spans="8:9">
      <c r="H120" s="22"/>
      <c r="I120" s="66"/>
    </row>
    <row r="121" spans="8:9">
      <c r="H121" s="22"/>
      <c r="I121" s="66"/>
    </row>
    <row r="122" spans="8:9">
      <c r="H122" s="22"/>
      <c r="I122" s="66"/>
    </row>
    <row r="123" spans="8:9">
      <c r="H123" s="22"/>
      <c r="I123" s="66"/>
    </row>
    <row r="124" spans="8:9">
      <c r="H124" s="22"/>
      <c r="I124" s="66"/>
    </row>
    <row r="125" spans="8:9">
      <c r="H125" s="22"/>
      <c r="I125" s="66"/>
    </row>
    <row r="126" spans="8:9">
      <c r="H126" s="22"/>
      <c r="I126" s="66"/>
    </row>
    <row r="127" spans="8:9" ht="15.75" customHeight="1">
      <c r="H127" s="22"/>
      <c r="I127" s="66"/>
    </row>
    <row r="128" spans="8:9">
      <c r="H128" s="22"/>
      <c r="I128" s="66"/>
    </row>
    <row r="129" spans="8:9">
      <c r="H129" s="22"/>
      <c r="I129" s="66"/>
    </row>
    <row r="130" spans="8:9" ht="15.75" customHeight="1">
      <c r="H130" s="22"/>
      <c r="I130" s="66"/>
    </row>
    <row r="131" spans="8:9">
      <c r="H131" s="22"/>
      <c r="I131" s="66"/>
    </row>
    <row r="132" spans="8:9">
      <c r="H132" s="22"/>
      <c r="I132" s="66"/>
    </row>
    <row r="133" spans="8:9">
      <c r="H133" s="22"/>
      <c r="I133" s="66"/>
    </row>
    <row r="134" spans="8:9">
      <c r="H134" s="22"/>
      <c r="I134" s="66"/>
    </row>
    <row r="135" spans="8:9">
      <c r="H135" s="22"/>
      <c r="I135" s="66"/>
    </row>
    <row r="136" spans="8:9">
      <c r="H136" s="22"/>
      <c r="I136" s="66"/>
    </row>
    <row r="137" spans="8:9">
      <c r="H137" s="22"/>
      <c r="I137" s="66"/>
    </row>
    <row r="138" spans="8:9">
      <c r="H138" s="22"/>
      <c r="I138" s="66"/>
    </row>
    <row r="139" spans="8:9">
      <c r="H139" s="22"/>
      <c r="I139" s="66"/>
    </row>
    <row r="140" spans="8:9">
      <c r="H140" s="22"/>
      <c r="I140" s="66"/>
    </row>
    <row r="141" spans="8:9">
      <c r="H141" s="22"/>
      <c r="I141" s="66"/>
    </row>
    <row r="142" spans="8:9">
      <c r="H142" s="22"/>
      <c r="I142" s="66"/>
    </row>
    <row r="143" spans="8:9">
      <c r="H143" s="22"/>
      <c r="I143" s="66"/>
    </row>
    <row r="144" spans="8:9">
      <c r="H144" s="22"/>
      <c r="I144" s="66"/>
    </row>
    <row r="145" spans="8:9">
      <c r="H145" s="22"/>
      <c r="I145" s="66"/>
    </row>
    <row r="146" spans="8:9">
      <c r="H146" s="22"/>
      <c r="I146" s="66"/>
    </row>
    <row r="147" spans="8:9">
      <c r="H147" s="22"/>
      <c r="I147" s="66"/>
    </row>
    <row r="148" spans="8:9">
      <c r="H148" s="22"/>
      <c r="I148" s="66"/>
    </row>
    <row r="149" spans="8:9">
      <c r="H149" s="22"/>
      <c r="I149" s="66"/>
    </row>
    <row r="150" spans="8:9">
      <c r="H150" s="22"/>
      <c r="I150" s="66"/>
    </row>
    <row r="151" spans="8:9">
      <c r="H151" s="22"/>
      <c r="I151" s="66"/>
    </row>
    <row r="152" spans="8:9">
      <c r="H152" s="22"/>
      <c r="I152" s="66"/>
    </row>
    <row r="153" spans="8:9">
      <c r="H153" s="22"/>
      <c r="I153" s="66"/>
    </row>
    <row r="154" spans="8:9">
      <c r="H154" s="22"/>
      <c r="I154" s="66"/>
    </row>
    <row r="155" spans="8:9">
      <c r="H155" s="22"/>
      <c r="I155" s="66"/>
    </row>
    <row r="156" spans="8:9">
      <c r="H156" s="22"/>
      <c r="I156" s="66"/>
    </row>
    <row r="157" spans="8:9">
      <c r="H157" s="22"/>
      <c r="I157" s="66"/>
    </row>
    <row r="158" spans="8:9" ht="15.75" customHeight="1">
      <c r="H158" s="22"/>
      <c r="I158" s="66"/>
    </row>
    <row r="159" spans="8:9">
      <c r="H159" s="22"/>
      <c r="I159" s="66"/>
    </row>
    <row r="160" spans="8:9">
      <c r="H160" s="22"/>
      <c r="I160" s="66"/>
    </row>
    <row r="161" spans="8:9" ht="15.75" customHeight="1">
      <c r="H161" s="22"/>
      <c r="I161" s="66"/>
    </row>
    <row r="162" spans="8:9">
      <c r="H162" s="22"/>
      <c r="I162" s="66"/>
    </row>
    <row r="163" spans="8:9">
      <c r="H163" s="22"/>
      <c r="I163" s="66"/>
    </row>
    <row r="164" spans="8:9">
      <c r="H164" s="22"/>
      <c r="I164" s="66"/>
    </row>
    <row r="165" spans="8:9">
      <c r="H165" s="22"/>
      <c r="I165" s="66"/>
    </row>
    <row r="166" spans="8:9">
      <c r="H166" s="22"/>
      <c r="I166" s="66"/>
    </row>
    <row r="167" spans="8:9">
      <c r="H167" s="22"/>
      <c r="I167" s="66"/>
    </row>
    <row r="168" spans="8:9">
      <c r="H168" s="22"/>
      <c r="I168" s="66"/>
    </row>
    <row r="169" spans="8:9">
      <c r="H169" s="22"/>
      <c r="I169" s="66"/>
    </row>
    <row r="170" spans="8:9">
      <c r="H170" s="22"/>
      <c r="I170" s="66"/>
    </row>
    <row r="171" spans="8:9">
      <c r="H171" s="22"/>
      <c r="I171" s="66"/>
    </row>
    <row r="172" spans="8:9">
      <c r="H172" s="22"/>
      <c r="I172" s="66"/>
    </row>
    <row r="173" spans="8:9">
      <c r="H173" s="22"/>
      <c r="I173" s="66"/>
    </row>
    <row r="174" spans="8:9">
      <c r="H174" s="22"/>
      <c r="I174" s="66"/>
    </row>
    <row r="175" spans="8:9">
      <c r="H175" s="22"/>
      <c r="I175" s="66"/>
    </row>
    <row r="176" spans="8:9">
      <c r="H176" s="22"/>
      <c r="I176" s="66"/>
    </row>
    <row r="177" spans="8:9">
      <c r="H177" s="22"/>
      <c r="I177" s="66"/>
    </row>
    <row r="178" spans="8:9">
      <c r="H178" s="22"/>
      <c r="I178" s="66"/>
    </row>
    <row r="179" spans="8:9">
      <c r="H179" s="22"/>
      <c r="I179" s="66"/>
    </row>
    <row r="180" spans="8:9">
      <c r="H180" s="22"/>
      <c r="I180" s="66"/>
    </row>
    <row r="181" spans="8:9">
      <c r="H181" s="22"/>
      <c r="I181" s="66"/>
    </row>
    <row r="182" spans="8:9">
      <c r="H182" s="22"/>
      <c r="I182" s="66"/>
    </row>
    <row r="183" spans="8:9">
      <c r="H183" s="22"/>
      <c r="I183" s="66"/>
    </row>
    <row r="184" spans="8:9">
      <c r="H184" s="22"/>
      <c r="I184" s="66"/>
    </row>
    <row r="185" spans="8:9">
      <c r="H185" s="22"/>
      <c r="I185" s="66"/>
    </row>
    <row r="186" spans="8:9">
      <c r="H186" s="22"/>
      <c r="I186" s="66"/>
    </row>
    <row r="187" spans="8:9">
      <c r="H187" s="22"/>
      <c r="I187" s="66"/>
    </row>
    <row r="188" spans="8:9">
      <c r="H188" s="22"/>
      <c r="I188" s="66"/>
    </row>
    <row r="189" spans="8:9" ht="15.75" customHeight="1">
      <c r="H189" s="22"/>
      <c r="I189" s="66"/>
    </row>
    <row r="190" spans="8:9">
      <c r="H190" s="22"/>
      <c r="I190" s="66"/>
    </row>
    <row r="191" spans="8:9">
      <c r="H191" s="22"/>
      <c r="I191" s="66"/>
    </row>
    <row r="192" spans="8:9" ht="15.75" customHeight="1">
      <c r="H192" s="22"/>
      <c r="I192" s="66"/>
    </row>
    <row r="193" spans="8:9">
      <c r="H193" s="22"/>
      <c r="I193" s="66"/>
    </row>
    <row r="194" spans="8:9">
      <c r="H194" s="22"/>
      <c r="I194" s="66"/>
    </row>
    <row r="195" spans="8:9">
      <c r="H195" s="22"/>
      <c r="I195" s="66"/>
    </row>
    <row r="196" spans="8:9">
      <c r="H196" s="22"/>
      <c r="I196" s="66"/>
    </row>
    <row r="197" spans="8:9">
      <c r="H197" s="22"/>
      <c r="I197" s="66"/>
    </row>
    <row r="198" spans="8:9">
      <c r="H198" s="22"/>
      <c r="I198" s="66"/>
    </row>
    <row r="199" spans="8:9">
      <c r="H199" s="22"/>
      <c r="I199" s="66"/>
    </row>
    <row r="200" spans="8:9">
      <c r="H200" s="22"/>
      <c r="I200" s="66"/>
    </row>
    <row r="201" spans="8:9">
      <c r="H201" s="22"/>
      <c r="I201" s="66"/>
    </row>
    <row r="202" spans="8:9">
      <c r="H202" s="22"/>
      <c r="I202" s="66"/>
    </row>
    <row r="203" spans="8:9">
      <c r="H203" s="22"/>
      <c r="I203" s="66"/>
    </row>
    <row r="204" spans="8:9">
      <c r="H204" s="22"/>
      <c r="I204" s="66"/>
    </row>
    <row r="205" spans="8:9">
      <c r="H205" s="22"/>
      <c r="I205" s="66"/>
    </row>
    <row r="206" spans="8:9">
      <c r="H206" s="22"/>
      <c r="I206" s="66"/>
    </row>
    <row r="207" spans="8:9">
      <c r="H207" s="22"/>
      <c r="I207" s="66"/>
    </row>
    <row r="208" spans="8:9">
      <c r="H208" s="22"/>
      <c r="I208" s="66"/>
    </row>
  </sheetData>
  <mergeCells count="10">
    <mergeCell ref="Q20:T21"/>
    <mergeCell ref="J20:M21"/>
    <mergeCell ref="F3:F4"/>
    <mergeCell ref="G3:G4"/>
    <mergeCell ref="H3:H4"/>
    <mergeCell ref="G17:G18"/>
    <mergeCell ref="H17:H18"/>
    <mergeCell ref="G20:G21"/>
    <mergeCell ref="H20:H21"/>
    <mergeCell ref="F20:F2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workbookViewId="0">
      <selection activeCell="F26" sqref="F26"/>
    </sheetView>
  </sheetViews>
  <sheetFormatPr defaultColWidth="8.42578125" defaultRowHeight="14.6"/>
  <cols>
    <col min="1" max="1" width="17.2109375" style="289" customWidth="1"/>
    <col min="2" max="2" width="13.2109375" style="288" customWidth="1"/>
    <col min="3" max="16384" width="8.42578125" style="289"/>
  </cols>
  <sheetData>
    <row r="1" spans="1:4">
      <c r="A1" s="307"/>
      <c r="B1" s="308"/>
      <c r="C1" s="309"/>
      <c r="D1" s="309"/>
    </row>
    <row r="2" spans="1:4" ht="29.15">
      <c r="A2" s="310" t="s">
        <v>274</v>
      </c>
      <c r="B2" s="311"/>
      <c r="C2" s="309"/>
      <c r="D2" s="309"/>
    </row>
    <row r="3" spans="1:4" ht="29.15">
      <c r="A3" s="310" t="s">
        <v>275</v>
      </c>
      <c r="B3" s="312">
        <v>0.05</v>
      </c>
      <c r="C3" s="313"/>
      <c r="D3" s="309"/>
    </row>
    <row r="4" spans="1:4">
      <c r="A4" s="310" t="s">
        <v>276</v>
      </c>
      <c r="B4" s="314">
        <f>B3*3000000</f>
        <v>150000</v>
      </c>
      <c r="C4" s="309"/>
      <c r="D4" s="309"/>
    </row>
    <row r="5" spans="1:4" ht="29.15">
      <c r="A5" s="310" t="s">
        <v>277</v>
      </c>
      <c r="B5" s="311">
        <v>14749</v>
      </c>
      <c r="C5" s="313"/>
      <c r="D5" s="309"/>
    </row>
    <row r="6" spans="1:4">
      <c r="A6" s="310" t="s">
        <v>278</v>
      </c>
      <c r="B6" s="314">
        <f>B5*(Units!D24-1)+(175.78*(215/10.7639))</f>
        <v>239495.06011761536</v>
      </c>
      <c r="C6" s="321" t="s">
        <v>321</v>
      </c>
      <c r="D6" s="309"/>
    </row>
    <row r="7" spans="1:4" ht="29.15">
      <c r="A7" s="310" t="s">
        <v>279</v>
      </c>
      <c r="B7" s="311">
        <v>1493</v>
      </c>
      <c r="C7" s="309"/>
      <c r="D7" s="309"/>
    </row>
    <row r="8" spans="1:4" ht="29.15">
      <c r="A8" s="310" t="s">
        <v>280</v>
      </c>
      <c r="B8" s="314">
        <f>B7*(Units!D24-1)</f>
        <v>23888</v>
      </c>
      <c r="C8" s="309"/>
      <c r="D8" s="309"/>
    </row>
    <row r="9" spans="1:4" ht="29.15">
      <c r="A9" s="315" t="s">
        <v>281</v>
      </c>
      <c r="B9" s="316">
        <f>B4+B6+B8</f>
        <v>413383.06011761539</v>
      </c>
      <c r="C9" s="309"/>
      <c r="D9" s="309"/>
    </row>
    <row r="10" spans="1:4">
      <c r="A10" s="309"/>
      <c r="B10" s="308"/>
      <c r="C10" s="309"/>
      <c r="D10" s="309"/>
    </row>
    <row r="11" spans="1:4">
      <c r="A11" s="309"/>
      <c r="B11" s="308"/>
      <c r="C11" s="309"/>
      <c r="D11" s="309"/>
    </row>
    <row r="12" spans="1:4">
      <c r="A12" s="309"/>
      <c r="B12" s="308"/>
      <c r="C12" s="309"/>
      <c r="D12" s="309"/>
    </row>
    <row r="13" spans="1:4">
      <c r="A13" s="309"/>
      <c r="B13" s="308"/>
      <c r="C13" s="309"/>
      <c r="D13" s="309"/>
    </row>
    <row r="14" spans="1:4">
      <c r="A14" s="309"/>
      <c r="B14" s="308"/>
      <c r="C14" s="309"/>
      <c r="D14" s="309"/>
    </row>
    <row r="15" spans="1:4">
      <c r="A15" s="309"/>
      <c r="B15" s="308"/>
      <c r="C15" s="309"/>
      <c r="D15" s="309"/>
    </row>
    <row r="17" spans="1:2" ht="15.9">
      <c r="B17" s="290"/>
    </row>
    <row r="20" spans="1:2">
      <c r="A20" s="287"/>
      <c r="B20" s="291"/>
    </row>
    <row r="22" spans="1:2" ht="15.9">
      <c r="B22" s="290"/>
    </row>
    <row r="27" spans="1:2" ht="15.9">
      <c r="B27" s="290"/>
    </row>
    <row r="30" spans="1:2">
      <c r="A30" s="287"/>
      <c r="B30" s="291"/>
    </row>
    <row r="35" spans="1:2">
      <c r="A35" s="287"/>
      <c r="B35" s="291"/>
    </row>
    <row r="36" spans="1:2">
      <c r="A36" s="287"/>
      <c r="B36" s="291"/>
    </row>
    <row r="37" spans="1:2">
      <c r="A37" s="287"/>
    </row>
    <row r="41" spans="1:2">
      <c r="A41" s="292"/>
      <c r="B41" s="29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election activeCell="C25" sqref="C25"/>
    </sheetView>
  </sheetViews>
  <sheetFormatPr defaultColWidth="11" defaultRowHeight="15.9"/>
  <cols>
    <col min="3" max="3" width="11" style="6" customWidth="1"/>
    <col min="4" max="4" width="12.5" customWidth="1"/>
  </cols>
  <sheetData>
    <row r="1" spans="1:10" ht="23.15">
      <c r="A1" s="3" t="s">
        <v>99</v>
      </c>
      <c r="B1" s="4"/>
      <c r="C1" s="12"/>
      <c r="D1" s="12"/>
      <c r="E1" s="4"/>
      <c r="F1" s="4"/>
      <c r="G1" s="4"/>
      <c r="H1" s="4"/>
      <c r="I1" s="4"/>
      <c r="J1" s="4"/>
    </row>
    <row r="4" spans="1:10">
      <c r="A4" s="2" t="s">
        <v>133</v>
      </c>
    </row>
    <row r="5" spans="1:10">
      <c r="A5" t="s">
        <v>137</v>
      </c>
      <c r="C5" s="31"/>
      <c r="D5" s="6">
        <v>3200000</v>
      </c>
    </row>
    <row r="8" spans="1:10">
      <c r="C8"/>
    </row>
    <row r="9" spans="1:10">
      <c r="C9"/>
    </row>
    <row r="10" spans="1:10">
      <c r="C10"/>
    </row>
    <row r="11" spans="1:10">
      <c r="C11"/>
    </row>
    <row r="12" spans="1:10">
      <c r="C12"/>
    </row>
    <row r="13" spans="1:10">
      <c r="C13"/>
    </row>
    <row r="14" spans="1:10">
      <c r="C14"/>
    </row>
    <row r="15" spans="1:10">
      <c r="C15"/>
    </row>
    <row r="16" spans="1:10">
      <c r="C16"/>
    </row>
    <row r="17" spans="1:3">
      <c r="C17"/>
    </row>
    <row r="18" spans="1:3">
      <c r="C18"/>
    </row>
    <row r="19" spans="1:3">
      <c r="A19" s="54"/>
      <c r="C19"/>
    </row>
    <row r="20" spans="1:3">
      <c r="C20"/>
    </row>
    <row r="21" spans="1:3">
      <c r="C21"/>
    </row>
    <row r="22" spans="1:3">
      <c r="C22"/>
    </row>
    <row r="23" spans="1:3">
      <c r="C23"/>
    </row>
    <row r="24" spans="1:3">
      <c r="C24"/>
    </row>
    <row r="25" spans="1:3">
      <c r="C25"/>
    </row>
    <row r="26" spans="1:3">
      <c r="C26"/>
    </row>
    <row r="27" spans="1:3">
      <c r="C2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election activeCell="C24" sqref="C24"/>
    </sheetView>
  </sheetViews>
  <sheetFormatPr defaultColWidth="11" defaultRowHeight="15.9"/>
  <cols>
    <col min="3" max="3" width="13.140625" customWidth="1"/>
    <col min="7" max="7" width="16.85546875" customWidth="1"/>
  </cols>
  <sheetData>
    <row r="1" spans="1:12" ht="23.15">
      <c r="A1" s="3" t="s">
        <v>66</v>
      </c>
      <c r="B1" s="4"/>
      <c r="C1" s="4"/>
      <c r="D1" s="4"/>
      <c r="E1" s="4"/>
      <c r="F1" s="12"/>
      <c r="G1" s="4"/>
      <c r="H1" s="4"/>
      <c r="I1" s="4"/>
      <c r="J1" s="4"/>
      <c r="K1" s="4"/>
      <c r="L1" s="4"/>
    </row>
    <row r="2" spans="1:12">
      <c r="D2" t="s">
        <v>267</v>
      </c>
      <c r="E2" s="284" t="s">
        <v>268</v>
      </c>
    </row>
    <row r="3" spans="1:12">
      <c r="A3" t="s">
        <v>67</v>
      </c>
      <c r="D3" s="13">
        <v>2378</v>
      </c>
      <c r="E3" s="284"/>
      <c r="F3" s="322" t="s">
        <v>322</v>
      </c>
      <c r="G3" s="323">
        <v>10.7639</v>
      </c>
    </row>
    <row r="4" spans="1:12">
      <c r="A4" t="s">
        <v>269</v>
      </c>
      <c r="D4" s="13">
        <f>D5*60%</f>
        <v>908.68843799999979</v>
      </c>
      <c r="E4" s="284"/>
    </row>
    <row r="5" spans="1:12">
      <c r="A5" t="s">
        <v>270</v>
      </c>
      <c r="D5" s="13">
        <f>E5*G3</f>
        <v>1514.4807299999998</v>
      </c>
      <c r="E5" s="284">
        <v>140.69999999999999</v>
      </c>
    </row>
    <row r="6" spans="1:12">
      <c r="A6" t="s">
        <v>266</v>
      </c>
      <c r="D6" s="13">
        <f>D5+(16*9/2)+(16*9/2)</f>
        <v>1658.4807299999998</v>
      </c>
      <c r="E6" s="284"/>
    </row>
    <row r="7" spans="1:12">
      <c r="D7" s="13"/>
      <c r="E7" s="284"/>
    </row>
    <row r="8" spans="1:12">
      <c r="A8" t="s">
        <v>271</v>
      </c>
      <c r="D8" s="13">
        <f>$D$4+$D$5*2+$D$6*3-$D$5</f>
        <v>7398.6113580000001</v>
      </c>
      <c r="E8" s="285" t="s">
        <v>272</v>
      </c>
    </row>
    <row r="9" spans="1:12">
      <c r="A9" t="s">
        <v>273</v>
      </c>
      <c r="D9" s="13">
        <f>$D$4+$D$5*2+$D$6*3</f>
        <v>8913.0920879999994</v>
      </c>
      <c r="E9" s="285" t="s">
        <v>272</v>
      </c>
    </row>
    <row r="10" spans="1:12">
      <c r="D10" s="13"/>
    </row>
    <row r="11" spans="1:12">
      <c r="A11" t="s">
        <v>138</v>
      </c>
      <c r="D11" s="13">
        <f>Units!C24</f>
        <v>5762</v>
      </c>
      <c r="E11" s="233"/>
    </row>
    <row r="12" spans="1:12">
      <c r="A12" t="s">
        <v>139</v>
      </c>
      <c r="D12" s="13">
        <f>D9-D11</f>
        <v>3151.0920879999994</v>
      </c>
    </row>
    <row r="13" spans="1:12">
      <c r="A13" t="s">
        <v>68</v>
      </c>
      <c r="D13" s="13">
        <v>0</v>
      </c>
    </row>
    <row r="14" spans="1:12">
      <c r="D14" s="13"/>
    </row>
    <row r="15" spans="1:12">
      <c r="D15" s="13"/>
    </row>
    <row r="16" spans="1:12">
      <c r="A16" t="s">
        <v>104</v>
      </c>
      <c r="D16" s="37">
        <f>D11/D8</f>
        <v>0.77879479285928999</v>
      </c>
    </row>
    <row r="18" spans="1:5">
      <c r="A18" s="233" t="s">
        <v>373</v>
      </c>
      <c r="D18">
        <v>7247</v>
      </c>
    </row>
    <row r="19" spans="1:5">
      <c r="A19" s="352"/>
      <c r="B19" s="29"/>
      <c r="C19" s="29"/>
      <c r="D19" s="29"/>
      <c r="E19" s="29"/>
    </row>
    <row r="20" spans="1:5">
      <c r="A20" s="233">
        <f>922500/D18</f>
        <v>127.29405271146682</v>
      </c>
    </row>
    <row r="24" spans="1:5">
      <c r="C24" s="233">
        <f>D18/D3</f>
        <v>3.0475189234650966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zoomScaleNormal="100" workbookViewId="0">
      <selection activeCell="E17" sqref="E17"/>
    </sheetView>
  </sheetViews>
  <sheetFormatPr defaultColWidth="11" defaultRowHeight="15.9"/>
  <cols>
    <col min="5" max="5" width="11.0703125" bestFit="1" customWidth="1"/>
    <col min="9" max="9" width="12.5" bestFit="1" customWidth="1"/>
    <col min="10" max="10" width="11.5" bestFit="1" customWidth="1"/>
    <col min="11" max="11" width="11.5703125" customWidth="1"/>
    <col min="12" max="12" width="11.5" bestFit="1" customWidth="1"/>
    <col min="13" max="14" width="11.5703125" bestFit="1" customWidth="1"/>
  </cols>
  <sheetData>
    <row r="1" spans="1:13" ht="23.15">
      <c r="A1" s="3" t="s">
        <v>69</v>
      </c>
      <c r="B1" s="4"/>
      <c r="C1" s="4"/>
      <c r="D1" s="4"/>
      <c r="E1" s="4"/>
      <c r="F1" s="4"/>
      <c r="G1" s="4"/>
      <c r="H1" s="4"/>
      <c r="I1" s="4"/>
    </row>
    <row r="3" spans="1:13">
      <c r="A3" t="s">
        <v>55</v>
      </c>
      <c r="B3" s="13">
        <f>COUNT(A7:A23)</f>
        <v>17</v>
      </c>
    </row>
    <row r="4" spans="1:13">
      <c r="A4" t="s">
        <v>56</v>
      </c>
      <c r="B4" s="13">
        <f>SUM(C7:C23)</f>
        <v>5762</v>
      </c>
      <c r="D4" s="284" t="s">
        <v>333</v>
      </c>
      <c r="E4" s="284"/>
      <c r="F4" s="284"/>
      <c r="G4" s="329">
        <f>-50</f>
        <v>-50</v>
      </c>
    </row>
    <row r="6" spans="1:13" ht="31.75">
      <c r="A6" s="10" t="s">
        <v>50</v>
      </c>
      <c r="B6" s="10" t="s">
        <v>51</v>
      </c>
      <c r="C6" s="10" t="s">
        <v>52</v>
      </c>
      <c r="D6" s="10" t="s">
        <v>53</v>
      </c>
      <c r="E6" s="10" t="s">
        <v>54</v>
      </c>
      <c r="F6" s="10" t="s">
        <v>83</v>
      </c>
      <c r="G6" s="10" t="s">
        <v>84</v>
      </c>
      <c r="I6" s="58" t="s">
        <v>94</v>
      </c>
      <c r="J6" s="58" t="s">
        <v>134</v>
      </c>
      <c r="K6" s="58" t="s">
        <v>135</v>
      </c>
      <c r="L6" s="58" t="s">
        <v>136</v>
      </c>
    </row>
    <row r="7" spans="1:13">
      <c r="A7" s="7">
        <v>1</v>
      </c>
      <c r="B7" s="7" t="s">
        <v>125</v>
      </c>
      <c r="C7" s="281">
        <v>326</v>
      </c>
      <c r="D7" s="7">
        <v>1</v>
      </c>
      <c r="E7" s="11">
        <f>1175+G4</f>
        <v>1125</v>
      </c>
      <c r="F7" s="11">
        <f>E7/D7</f>
        <v>1125</v>
      </c>
      <c r="G7" s="5">
        <f>E7/C7</f>
        <v>3.4509202453987728</v>
      </c>
      <c r="I7" s="6">
        <f>C7/$C$24*('Budget Detail'!$D$5*(1-6%))</f>
        <v>170185.35230822631</v>
      </c>
      <c r="J7" s="6">
        <f t="shared" ref="J7:J23" si="0">IF(I7&lt;=350000,I7*0.05-((I7*0.05)*0.36),MIN(I7*0.05,(I7*0.05-(6.3*(450000-I7)/100))))</f>
        <v>5445.9312738632425</v>
      </c>
      <c r="K7" s="6">
        <f t="shared" ref="K7:K23" si="1">I7*0.08-IF(I7*0.08*0.75&lt;=24000,I7*0.08*0.75,24000)</f>
        <v>3403.7070461645271</v>
      </c>
      <c r="L7" s="6">
        <f>J7+K7</f>
        <v>8849.6383200277705</v>
      </c>
      <c r="M7" s="68">
        <f>L7/I7</f>
        <v>5.2000000000000011E-2</v>
      </c>
    </row>
    <row r="8" spans="1:13">
      <c r="A8" s="7">
        <v>2</v>
      </c>
      <c r="B8" s="7" t="s">
        <v>126</v>
      </c>
      <c r="C8" s="281">
        <v>346</v>
      </c>
      <c r="D8" s="7">
        <v>1</v>
      </c>
      <c r="E8" s="11">
        <f>1175+G4</f>
        <v>1125</v>
      </c>
      <c r="F8" s="11">
        <f t="shared" ref="F8:F23" si="2">E8/D8</f>
        <v>1125</v>
      </c>
      <c r="G8" s="5">
        <f t="shared" ref="G8:G23" si="3">E8/C8</f>
        <v>3.2514450867052025</v>
      </c>
      <c r="I8" s="6">
        <f>C8/$C$24*('Budget Detail'!$D$5*(1-6%))</f>
        <v>180626.17146824021</v>
      </c>
      <c r="J8" s="6">
        <f t="shared" si="0"/>
        <v>5780.0374869836869</v>
      </c>
      <c r="K8" s="6">
        <f t="shared" si="1"/>
        <v>3612.5234293648045</v>
      </c>
      <c r="L8" s="6">
        <f t="shared" ref="L8:L23" si="4">J8+K8</f>
        <v>9392.5609163484914</v>
      </c>
      <c r="M8" s="68">
        <f t="shared" ref="M8:M24" si="5">L8/I8</f>
        <v>5.2000000000000005E-2</v>
      </c>
    </row>
    <row r="9" spans="1:13">
      <c r="A9" s="7">
        <v>3</v>
      </c>
      <c r="B9" s="7" t="s">
        <v>127</v>
      </c>
      <c r="C9" s="281">
        <v>215</v>
      </c>
      <c r="D9" s="7">
        <v>1</v>
      </c>
      <c r="E9" s="11">
        <f>850+G4</f>
        <v>800</v>
      </c>
      <c r="F9" s="11">
        <f t="shared" si="2"/>
        <v>800</v>
      </c>
      <c r="G9" s="5">
        <f t="shared" si="3"/>
        <v>3.7209302325581395</v>
      </c>
      <c r="I9" s="6">
        <f>C9/$C$24*('Budget Detail'!$D$5*(1-6%))</f>
        <v>112238.80597014925</v>
      </c>
      <c r="J9" s="6">
        <f t="shared" si="0"/>
        <v>3591.6417910447763</v>
      </c>
      <c r="K9" s="6">
        <f t="shared" si="1"/>
        <v>2244.7761194029845</v>
      </c>
      <c r="L9" s="6">
        <f t="shared" si="4"/>
        <v>5836.4179104477607</v>
      </c>
      <c r="M9" s="68">
        <f t="shared" si="5"/>
        <v>5.1999999999999998E-2</v>
      </c>
    </row>
    <row r="10" spans="1:13">
      <c r="A10" s="7">
        <v>4</v>
      </c>
      <c r="B10" s="7">
        <v>101</v>
      </c>
      <c r="C10" s="281">
        <v>326</v>
      </c>
      <c r="D10" s="7">
        <v>1</v>
      </c>
      <c r="E10" s="11">
        <f>1175+G4</f>
        <v>1125</v>
      </c>
      <c r="F10" s="11">
        <f t="shared" si="2"/>
        <v>1125</v>
      </c>
      <c r="G10" s="5">
        <f t="shared" si="3"/>
        <v>3.4509202453987728</v>
      </c>
      <c r="I10" s="6">
        <f>C10/$C$24*('Budget Detail'!$D$5*(1-6%))</f>
        <v>170185.35230822631</v>
      </c>
      <c r="J10" s="6">
        <f t="shared" si="0"/>
        <v>5445.9312738632425</v>
      </c>
      <c r="K10" s="6">
        <f t="shared" si="1"/>
        <v>3403.7070461645271</v>
      </c>
      <c r="L10" s="6">
        <f t="shared" si="4"/>
        <v>8849.6383200277705</v>
      </c>
      <c r="M10" s="68">
        <f t="shared" si="5"/>
        <v>5.2000000000000011E-2</v>
      </c>
    </row>
    <row r="11" spans="1:13">
      <c r="A11" s="7">
        <v>5</v>
      </c>
      <c r="B11" s="7">
        <v>102</v>
      </c>
      <c r="C11" s="281">
        <v>346</v>
      </c>
      <c r="D11" s="7">
        <v>1</v>
      </c>
      <c r="E11" s="11">
        <f>1175+G4</f>
        <v>1125</v>
      </c>
      <c r="F11" s="11">
        <f t="shared" si="2"/>
        <v>1125</v>
      </c>
      <c r="G11" s="5">
        <f t="shared" si="3"/>
        <v>3.2514450867052025</v>
      </c>
      <c r="I11" s="6">
        <f>C11/$C$24*('Budget Detail'!$D$5*(1-6%))</f>
        <v>180626.17146824021</v>
      </c>
      <c r="J11" s="6">
        <f t="shared" si="0"/>
        <v>5780.0374869836869</v>
      </c>
      <c r="K11" s="6">
        <f t="shared" si="1"/>
        <v>3612.5234293648045</v>
      </c>
      <c r="L11" s="6">
        <f t="shared" si="4"/>
        <v>9392.5609163484914</v>
      </c>
      <c r="M11" s="68">
        <f t="shared" si="5"/>
        <v>5.2000000000000005E-2</v>
      </c>
    </row>
    <row r="12" spans="1:13">
      <c r="A12" s="7">
        <v>6</v>
      </c>
      <c r="B12" s="7">
        <v>103</v>
      </c>
      <c r="C12" s="281">
        <v>326</v>
      </c>
      <c r="D12" s="7">
        <v>1</v>
      </c>
      <c r="E12" s="11">
        <f>1175+G4</f>
        <v>1125</v>
      </c>
      <c r="F12" s="11">
        <f t="shared" si="2"/>
        <v>1125</v>
      </c>
      <c r="G12" s="5">
        <f t="shared" si="3"/>
        <v>3.4509202453987728</v>
      </c>
      <c r="I12" s="6">
        <f>C12/$C$24*('Budget Detail'!$D$5*(1-6%))</f>
        <v>170185.35230822631</v>
      </c>
      <c r="J12" s="6">
        <f t="shared" si="0"/>
        <v>5445.9312738632425</v>
      </c>
      <c r="K12" s="6">
        <f t="shared" si="1"/>
        <v>3403.7070461645271</v>
      </c>
      <c r="L12" s="6">
        <f t="shared" si="4"/>
        <v>8849.6383200277705</v>
      </c>
      <c r="M12" s="68">
        <f t="shared" si="5"/>
        <v>5.2000000000000011E-2</v>
      </c>
    </row>
    <row r="13" spans="1:13">
      <c r="A13" s="7">
        <v>7</v>
      </c>
      <c r="B13" s="7">
        <v>201</v>
      </c>
      <c r="C13" s="281">
        <v>346</v>
      </c>
      <c r="D13" s="7">
        <v>1</v>
      </c>
      <c r="E13" s="11">
        <f>1175+G4</f>
        <v>1125</v>
      </c>
      <c r="F13" s="11">
        <f t="shared" si="2"/>
        <v>1125</v>
      </c>
      <c r="G13" s="5">
        <f t="shared" si="3"/>
        <v>3.2514450867052025</v>
      </c>
      <c r="I13" s="6">
        <f>C13/$C$24*('Budget Detail'!$D$5*(1-6%))</f>
        <v>180626.17146824021</v>
      </c>
      <c r="J13" s="6">
        <f t="shared" si="0"/>
        <v>5780.0374869836869</v>
      </c>
      <c r="K13" s="6">
        <f t="shared" si="1"/>
        <v>3612.5234293648045</v>
      </c>
      <c r="L13" s="6">
        <f t="shared" si="4"/>
        <v>9392.5609163484914</v>
      </c>
      <c r="M13" s="68">
        <f t="shared" si="5"/>
        <v>5.2000000000000005E-2</v>
      </c>
    </row>
    <row r="14" spans="1:13">
      <c r="A14" s="7">
        <v>8</v>
      </c>
      <c r="B14" s="7">
        <v>202</v>
      </c>
      <c r="C14" s="281">
        <v>358</v>
      </c>
      <c r="D14" s="7">
        <v>1</v>
      </c>
      <c r="E14" s="11">
        <f>1195+G4</f>
        <v>1145</v>
      </c>
      <c r="F14" s="11">
        <f t="shared" si="2"/>
        <v>1145</v>
      </c>
      <c r="G14" s="5">
        <f t="shared" si="3"/>
        <v>3.1983240223463687</v>
      </c>
      <c r="I14" s="6">
        <f>C14/$C$24*('Budget Detail'!$D$5*(1-6%))</f>
        <v>186890.66296424853</v>
      </c>
      <c r="J14" s="6">
        <f t="shared" si="0"/>
        <v>5980.5012148559535</v>
      </c>
      <c r="K14" s="6">
        <f t="shared" si="1"/>
        <v>3737.8132592849706</v>
      </c>
      <c r="L14" s="6">
        <f t="shared" si="4"/>
        <v>9718.3144741409233</v>
      </c>
      <c r="M14" s="68">
        <f t="shared" si="5"/>
        <v>5.1999999999999998E-2</v>
      </c>
    </row>
    <row r="15" spans="1:13">
      <c r="A15" s="7">
        <v>9</v>
      </c>
      <c r="B15" s="7">
        <v>203</v>
      </c>
      <c r="C15" s="281">
        <v>371</v>
      </c>
      <c r="D15" s="7">
        <v>1</v>
      </c>
      <c r="E15" s="11">
        <f>1195+G4</f>
        <v>1145</v>
      </c>
      <c r="F15" s="11">
        <f t="shared" si="2"/>
        <v>1145</v>
      </c>
      <c r="G15" s="5">
        <f t="shared" si="3"/>
        <v>3.0862533692722374</v>
      </c>
      <c r="I15" s="6">
        <f>C15/$C$24*('Budget Detail'!$D$5*(1-6%))</f>
        <v>193677.19541825756</v>
      </c>
      <c r="J15" s="6">
        <f t="shared" si="0"/>
        <v>6197.6702533842426</v>
      </c>
      <c r="K15" s="6">
        <f t="shared" si="1"/>
        <v>3873.5439083651509</v>
      </c>
      <c r="L15" s="6">
        <f t="shared" si="4"/>
        <v>10071.214161749394</v>
      </c>
      <c r="M15" s="68">
        <f t="shared" si="5"/>
        <v>5.2000000000000005E-2</v>
      </c>
    </row>
    <row r="16" spans="1:13">
      <c r="A16" s="7">
        <v>10</v>
      </c>
      <c r="B16" s="7">
        <v>204</v>
      </c>
      <c r="C16" s="281">
        <v>326</v>
      </c>
      <c r="D16" s="7">
        <v>1</v>
      </c>
      <c r="E16" s="11">
        <f>1175+G4</f>
        <v>1125</v>
      </c>
      <c r="F16" s="11">
        <f t="shared" si="2"/>
        <v>1125</v>
      </c>
      <c r="G16" s="5">
        <f t="shared" si="3"/>
        <v>3.4509202453987728</v>
      </c>
      <c r="I16" s="6">
        <f>C16/$C$24*('Budget Detail'!$D$5*(1-6%))</f>
        <v>170185.35230822631</v>
      </c>
      <c r="J16" s="6">
        <f t="shared" si="0"/>
        <v>5445.9312738632425</v>
      </c>
      <c r="K16" s="6">
        <f t="shared" si="1"/>
        <v>3403.7070461645271</v>
      </c>
      <c r="L16" s="6">
        <f t="shared" si="4"/>
        <v>8849.6383200277705</v>
      </c>
      <c r="M16" s="68">
        <f t="shared" si="5"/>
        <v>5.2000000000000011E-2</v>
      </c>
    </row>
    <row r="17" spans="1:13">
      <c r="A17" s="7">
        <v>11</v>
      </c>
      <c r="B17" s="7">
        <v>205</v>
      </c>
      <c r="C17" s="281">
        <v>346</v>
      </c>
      <c r="D17" s="7">
        <v>1</v>
      </c>
      <c r="E17" s="11">
        <f>1175+G4</f>
        <v>1125</v>
      </c>
      <c r="F17" s="11">
        <f t="shared" si="2"/>
        <v>1125</v>
      </c>
      <c r="G17" s="5">
        <f t="shared" si="3"/>
        <v>3.2514450867052025</v>
      </c>
      <c r="I17" s="6">
        <f>C17/$C$24*('Budget Detail'!$D$5*(1-6%))</f>
        <v>180626.17146824021</v>
      </c>
      <c r="J17" s="6">
        <f t="shared" si="0"/>
        <v>5780.0374869836869</v>
      </c>
      <c r="K17" s="6">
        <f t="shared" si="1"/>
        <v>3612.5234293648045</v>
      </c>
      <c r="L17" s="6">
        <f t="shared" si="4"/>
        <v>9392.5609163484914</v>
      </c>
      <c r="M17" s="68">
        <f t="shared" si="5"/>
        <v>5.2000000000000005E-2</v>
      </c>
    </row>
    <row r="18" spans="1:13">
      <c r="A18" s="7">
        <v>12</v>
      </c>
      <c r="B18" s="7">
        <v>206</v>
      </c>
      <c r="C18" s="281">
        <v>358</v>
      </c>
      <c r="D18" s="7">
        <v>1</v>
      </c>
      <c r="E18" s="11">
        <f>1195+G4</f>
        <v>1145</v>
      </c>
      <c r="F18" s="11">
        <f t="shared" si="2"/>
        <v>1145</v>
      </c>
      <c r="G18" s="5">
        <f t="shared" si="3"/>
        <v>3.1983240223463687</v>
      </c>
      <c r="I18" s="6">
        <f>C18/$C$24*('Budget Detail'!$D$5*(1-6%))</f>
        <v>186890.66296424853</v>
      </c>
      <c r="J18" s="6">
        <f t="shared" si="0"/>
        <v>5980.5012148559535</v>
      </c>
      <c r="K18" s="6">
        <f t="shared" si="1"/>
        <v>3737.8132592849706</v>
      </c>
      <c r="L18" s="6">
        <f t="shared" si="4"/>
        <v>9718.3144741409233</v>
      </c>
      <c r="M18" s="68">
        <f t="shared" si="5"/>
        <v>5.1999999999999998E-2</v>
      </c>
    </row>
    <row r="19" spans="1:13">
      <c r="A19" s="7">
        <v>13</v>
      </c>
      <c r="B19" s="7">
        <v>301</v>
      </c>
      <c r="C19" s="281">
        <v>371</v>
      </c>
      <c r="D19" s="7">
        <v>1</v>
      </c>
      <c r="E19" s="11">
        <f>1195+G4</f>
        <v>1145</v>
      </c>
      <c r="F19" s="11">
        <f t="shared" si="2"/>
        <v>1145</v>
      </c>
      <c r="G19" s="5">
        <f t="shared" si="3"/>
        <v>3.0862533692722374</v>
      </c>
      <c r="I19" s="6">
        <f>C19/$C$24*('Budget Detail'!$D$5*(1-6%))</f>
        <v>193677.19541825756</v>
      </c>
      <c r="J19" s="6">
        <f t="shared" si="0"/>
        <v>6197.6702533842426</v>
      </c>
      <c r="K19" s="6">
        <f t="shared" si="1"/>
        <v>3873.5439083651509</v>
      </c>
      <c r="L19" s="6">
        <f t="shared" si="4"/>
        <v>10071.214161749394</v>
      </c>
      <c r="M19" s="68">
        <f t="shared" si="5"/>
        <v>5.2000000000000005E-2</v>
      </c>
    </row>
    <row r="20" spans="1:13">
      <c r="A20" s="7">
        <v>14</v>
      </c>
      <c r="B20" s="7">
        <v>302</v>
      </c>
      <c r="C20" s="281">
        <v>326</v>
      </c>
      <c r="D20" s="7">
        <v>1</v>
      </c>
      <c r="E20" s="11">
        <f>1175+G4</f>
        <v>1125</v>
      </c>
      <c r="F20" s="11">
        <f t="shared" si="2"/>
        <v>1125</v>
      </c>
      <c r="G20" s="5">
        <f t="shared" si="3"/>
        <v>3.4509202453987728</v>
      </c>
      <c r="I20" s="6">
        <f>C20/$C$24*('Budget Detail'!$D$5*(1-6%))</f>
        <v>170185.35230822631</v>
      </c>
      <c r="J20" s="6">
        <f t="shared" si="0"/>
        <v>5445.9312738632425</v>
      </c>
      <c r="K20" s="6">
        <f t="shared" si="1"/>
        <v>3403.7070461645271</v>
      </c>
      <c r="L20" s="6">
        <f t="shared" si="4"/>
        <v>8849.6383200277705</v>
      </c>
      <c r="M20" s="68">
        <f t="shared" si="5"/>
        <v>5.2000000000000011E-2</v>
      </c>
    </row>
    <row r="21" spans="1:13">
      <c r="A21" s="7">
        <v>15</v>
      </c>
      <c r="B21" s="7">
        <v>303</v>
      </c>
      <c r="C21" s="281">
        <v>346</v>
      </c>
      <c r="D21" s="7">
        <v>1</v>
      </c>
      <c r="E21" s="11">
        <f>1175+G4</f>
        <v>1125</v>
      </c>
      <c r="F21" s="11">
        <f t="shared" si="2"/>
        <v>1125</v>
      </c>
      <c r="G21" s="5">
        <f t="shared" si="3"/>
        <v>3.2514450867052025</v>
      </c>
      <c r="I21" s="6">
        <f>C21/$C$24*('Budget Detail'!$D$5*(1-6%))</f>
        <v>180626.17146824021</v>
      </c>
      <c r="J21" s="6">
        <f t="shared" si="0"/>
        <v>5780.0374869836869</v>
      </c>
      <c r="K21" s="6">
        <f t="shared" si="1"/>
        <v>3612.5234293648045</v>
      </c>
      <c r="L21" s="6">
        <f t="shared" si="4"/>
        <v>9392.5609163484914</v>
      </c>
      <c r="M21" s="68">
        <f t="shared" si="5"/>
        <v>5.2000000000000005E-2</v>
      </c>
    </row>
    <row r="22" spans="1:13">
      <c r="A22" s="7">
        <v>16</v>
      </c>
      <c r="B22" s="7">
        <v>304</v>
      </c>
      <c r="C22" s="281">
        <v>358</v>
      </c>
      <c r="D22" s="7">
        <v>1</v>
      </c>
      <c r="E22" s="11">
        <f>1195+G4</f>
        <v>1145</v>
      </c>
      <c r="F22" s="11">
        <f t="shared" si="2"/>
        <v>1145</v>
      </c>
      <c r="G22" s="5">
        <f t="shared" si="3"/>
        <v>3.1983240223463687</v>
      </c>
      <c r="I22" s="6">
        <f>C22/$C$24*('Budget Detail'!$D$5*(1-6%))</f>
        <v>186890.66296424853</v>
      </c>
      <c r="J22" s="6">
        <f t="shared" si="0"/>
        <v>5980.5012148559535</v>
      </c>
      <c r="K22" s="6">
        <f t="shared" si="1"/>
        <v>3737.8132592849706</v>
      </c>
      <c r="L22" s="6">
        <f t="shared" si="4"/>
        <v>9718.3144741409233</v>
      </c>
      <c r="M22" s="68">
        <f t="shared" si="5"/>
        <v>5.1999999999999998E-2</v>
      </c>
    </row>
    <row r="23" spans="1:13">
      <c r="A23" s="7">
        <v>17</v>
      </c>
      <c r="B23" s="7">
        <v>305</v>
      </c>
      <c r="C23" s="281">
        <v>371</v>
      </c>
      <c r="D23" s="7">
        <v>1</v>
      </c>
      <c r="E23" s="11">
        <f>1195+G4</f>
        <v>1145</v>
      </c>
      <c r="F23" s="11">
        <f t="shared" si="2"/>
        <v>1145</v>
      </c>
      <c r="G23" s="5">
        <f t="shared" si="3"/>
        <v>3.0862533692722374</v>
      </c>
      <c r="I23" s="6">
        <f>C23/$C$24*('Budget Detail'!$D$5*(1-6%))</f>
        <v>193677.19541825756</v>
      </c>
      <c r="J23" s="6">
        <f t="shared" si="0"/>
        <v>6197.6702533842426</v>
      </c>
      <c r="K23" s="6">
        <f t="shared" si="1"/>
        <v>3873.5439083651509</v>
      </c>
      <c r="L23" s="6">
        <f t="shared" si="4"/>
        <v>10071.214161749394</v>
      </c>
      <c r="M23" s="68">
        <f t="shared" si="5"/>
        <v>5.2000000000000005E-2</v>
      </c>
    </row>
    <row r="24" spans="1:13">
      <c r="A24" s="87" t="s">
        <v>155</v>
      </c>
      <c r="B24" s="88"/>
      <c r="C24" s="89">
        <f>SUM(C7:C23)</f>
        <v>5762</v>
      </c>
      <c r="D24" s="88">
        <f>SUM(D7:D23)</f>
        <v>17</v>
      </c>
      <c r="E24" s="90">
        <f>SUM(E7:E23)</f>
        <v>18920</v>
      </c>
      <c r="F24" s="91"/>
      <c r="G24" s="91"/>
      <c r="I24" s="17">
        <f>SUM(I7:I23)</f>
        <v>3008000</v>
      </c>
      <c r="L24" s="17">
        <f>SUM(L7:L23)</f>
        <v>156416.00000000006</v>
      </c>
      <c r="M24" s="68">
        <f t="shared" si="5"/>
        <v>5.2000000000000018E-2</v>
      </c>
    </row>
    <row r="25" spans="1:13" ht="16.3" thickBot="1">
      <c r="A25" s="86" t="s">
        <v>156</v>
      </c>
      <c r="B25" s="83"/>
      <c r="C25" s="92">
        <f>AVERAGE(C7:C23)</f>
        <v>338.94117647058823</v>
      </c>
      <c r="D25" s="82"/>
      <c r="E25" s="84">
        <f>AVERAGE(E7:E23)</f>
        <v>1112.9411764705883</v>
      </c>
      <c r="F25" s="81">
        <f>SUMPRODUCT(C7:C23,F7:F23)/SUM(C7:C23)</f>
        <v>1120.4642485248178</v>
      </c>
      <c r="G25" s="85">
        <f>SUMPRODUCT(C7:C23,G7:G23)/SUM(C7:C23)</f>
        <v>3.283582089552239</v>
      </c>
    </row>
    <row r="26" spans="1:13">
      <c r="K26" s="56"/>
    </row>
    <row r="27" spans="1:13">
      <c r="B27" s="10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GridLines="0" zoomScaleNormal="100" workbookViewId="0">
      <selection activeCell="E13" sqref="E13"/>
    </sheetView>
  </sheetViews>
  <sheetFormatPr defaultColWidth="10.5703125" defaultRowHeight="15.9"/>
  <cols>
    <col min="1" max="1" width="10.5703125" style="141"/>
    <col min="2" max="2" width="15.92578125" style="141" customWidth="1"/>
    <col min="3" max="3" width="13.5703125" style="141" customWidth="1"/>
    <col min="4" max="4" width="5.35546875" style="141" customWidth="1"/>
    <col min="5" max="5" width="10.5703125" style="141"/>
    <col min="6" max="6" width="16.35546875" style="141" customWidth="1"/>
    <col min="7" max="7" width="13.5" style="141" bestFit="1" customWidth="1"/>
    <col min="8" max="8" width="12.35546875" style="141" bestFit="1" customWidth="1"/>
    <col min="9" max="9" width="11" style="141" bestFit="1" customWidth="1"/>
    <col min="10" max="16384" width="10.5703125" style="141"/>
  </cols>
  <sheetData>
    <row r="1" spans="1:9" ht="23.15">
      <c r="A1" s="138" t="s">
        <v>144</v>
      </c>
      <c r="B1" s="139"/>
      <c r="C1" s="139"/>
      <c r="D1" s="139"/>
      <c r="E1" s="139"/>
      <c r="F1" s="139"/>
      <c r="G1" s="140"/>
    </row>
    <row r="2" spans="1:9" s="142" customFormat="1" ht="14.6"/>
    <row r="3" spans="1:9" s="142" customFormat="1" ht="14.6">
      <c r="A3" s="330" t="s">
        <v>145</v>
      </c>
      <c r="B3" s="331"/>
      <c r="C3" s="332">
        <f>Proforma!D28</f>
        <v>3750000</v>
      </c>
      <c r="D3" s="330"/>
      <c r="E3" s="330" t="s">
        <v>334</v>
      </c>
      <c r="F3" s="330"/>
      <c r="G3" s="333">
        <f>Proforma!B28</f>
        <v>4.7500000000000001E-2</v>
      </c>
      <c r="H3" s="150"/>
    </row>
    <row r="4" spans="1:9" s="142" customFormat="1" ht="14.6">
      <c r="A4" s="143" t="s">
        <v>106</v>
      </c>
      <c r="C4" s="144">
        <f>Budget!F93</f>
        <v>3175000</v>
      </c>
      <c r="E4" s="143" t="s">
        <v>174</v>
      </c>
      <c r="G4" s="144">
        <f>'Req. Equity'!D19</f>
        <v>635000</v>
      </c>
    </row>
    <row r="5" spans="1:9" s="142" customFormat="1" ht="14.6">
      <c r="A5" s="143" t="s">
        <v>311</v>
      </c>
      <c r="B5" s="149">
        <v>2.5000000000000001E-2</v>
      </c>
      <c r="C5" s="317">
        <f>C3*B5</f>
        <v>93750</v>
      </c>
      <c r="E5" s="143" t="s">
        <v>176</v>
      </c>
      <c r="G5" s="145">
        <f>(C6+G4)/G4</f>
        <v>1.7578740157480315</v>
      </c>
    </row>
    <row r="6" spans="1:9" s="142" customFormat="1" ht="14.6">
      <c r="A6" s="143" t="s">
        <v>146</v>
      </c>
      <c r="C6" s="146">
        <f>C3-C4-C5</f>
        <v>481250</v>
      </c>
      <c r="E6" s="184" t="s">
        <v>213</v>
      </c>
      <c r="G6" s="147">
        <f>Proforma!G23/Profitability!C4</f>
        <v>5.6087149650357854E-2</v>
      </c>
      <c r="H6" s="173"/>
    </row>
    <row r="7" spans="1:9" s="142" customFormat="1" ht="14.6">
      <c r="A7" s="172" t="s">
        <v>206</v>
      </c>
      <c r="C7" s="148">
        <f>C6/C4</f>
        <v>0.15157480314960631</v>
      </c>
      <c r="E7" s="143" t="s">
        <v>175</v>
      </c>
      <c r="G7" s="149">
        <f>'Project IRR'!B7</f>
        <v>0.37133803963661194</v>
      </c>
      <c r="I7" s="150"/>
    </row>
    <row r="8" spans="1:9" s="142" customFormat="1" ht="14.6">
      <c r="A8" s="280" t="s">
        <v>369</v>
      </c>
      <c r="B8" s="171"/>
      <c r="C8" s="199">
        <f>'Ph1 IRR'!F40</f>
        <v>1.660363014936048</v>
      </c>
      <c r="D8" s="171"/>
      <c r="E8" s="171" t="s">
        <v>370</v>
      </c>
      <c r="F8" s="171"/>
      <c r="G8" s="198">
        <f>'Ph1 IRR'!B7</f>
        <v>0.25250286459922777</v>
      </c>
    </row>
    <row r="9" spans="1:9" s="142" customFormat="1" ht="14.6">
      <c r="A9" s="174"/>
    </row>
    <row r="10" spans="1:9" s="142" customFormat="1" ht="14.6">
      <c r="A10" s="171"/>
      <c r="B10" s="171"/>
      <c r="C10" s="171"/>
      <c r="D10" s="171"/>
      <c r="E10" s="171"/>
      <c r="F10" s="171"/>
      <c r="G10" s="171"/>
    </row>
    <row r="11" spans="1:9" s="142" customFormat="1" ht="14.6">
      <c r="D11" s="15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8"/>
  <sheetViews>
    <sheetView showGridLines="0" topLeftCell="A31" zoomScaleNormal="100" zoomScalePageLayoutView="125" workbookViewId="0">
      <selection activeCell="J31" sqref="J31:J32"/>
    </sheetView>
  </sheetViews>
  <sheetFormatPr defaultColWidth="11" defaultRowHeight="14.6"/>
  <cols>
    <col min="1" max="1" width="26.2109375" style="106" customWidth="1"/>
    <col min="2" max="2" width="14" style="106" bestFit="1" customWidth="1"/>
    <col min="3" max="3" width="14.85546875" style="106" customWidth="1"/>
    <col min="4" max="4" width="14.0703125" style="106" customWidth="1"/>
    <col min="5" max="5" width="12.0703125" style="106" customWidth="1"/>
    <col min="6" max="6" width="13.5" style="106" customWidth="1"/>
    <col min="7" max="7" width="12.7109375" style="112" customWidth="1"/>
    <col min="8" max="8" width="11" style="106"/>
    <col min="9" max="9" width="13.5" style="106" customWidth="1"/>
    <col min="10" max="10" width="16.7109375" style="106" customWidth="1"/>
    <col min="11" max="11" width="19.35546875" style="106" bestFit="1" customWidth="1"/>
    <col min="12" max="16384" width="11" style="106"/>
  </cols>
  <sheetData>
    <row r="1" spans="1:7">
      <c r="A1" s="103" t="s">
        <v>70</v>
      </c>
      <c r="B1" s="104"/>
      <c r="C1" s="104"/>
      <c r="D1" s="104"/>
      <c r="E1" s="104"/>
      <c r="F1" s="104"/>
      <c r="G1" s="105"/>
    </row>
    <row r="3" spans="1:7" ht="29.15">
      <c r="A3" s="107" t="s">
        <v>71</v>
      </c>
      <c r="B3" s="108" t="s">
        <v>72</v>
      </c>
      <c r="C3" s="108" t="s">
        <v>73</v>
      </c>
      <c r="D3" s="108" t="s">
        <v>75</v>
      </c>
      <c r="E3" s="108" t="s">
        <v>74</v>
      </c>
      <c r="F3" s="108" t="s">
        <v>131</v>
      </c>
      <c r="G3" s="109" t="s">
        <v>76</v>
      </c>
    </row>
    <row r="4" spans="1:7">
      <c r="A4" s="294" t="s">
        <v>282</v>
      </c>
      <c r="B4" s="110">
        <f>COUNTIF(Units!$D$7:$D$24, 1)-1</f>
        <v>16</v>
      </c>
      <c r="C4" s="111">
        <f>(SUM(Units!C7:C23)-Units!C9)/16</f>
        <v>346.6875</v>
      </c>
      <c r="D4" s="112">
        <f>(SUM(Units!E7:E23)-Units!E9)/16</f>
        <v>1132.5</v>
      </c>
      <c r="E4" s="113">
        <f>D4/C4</f>
        <v>3.2666306111411574</v>
      </c>
      <c r="F4" s="114">
        <f>D4*B4</f>
        <v>18120</v>
      </c>
      <c r="G4" s="112">
        <f>F4*12</f>
        <v>217440</v>
      </c>
    </row>
    <row r="5" spans="1:7">
      <c r="A5" s="294" t="s">
        <v>283</v>
      </c>
      <c r="B5" s="110">
        <v>1</v>
      </c>
      <c r="C5" s="111">
        <f>Units!C9</f>
        <v>215</v>
      </c>
      <c r="D5" s="112">
        <f>Units!E9</f>
        <v>800</v>
      </c>
      <c r="E5" s="113">
        <f>D5/C5</f>
        <v>3.7209302325581395</v>
      </c>
      <c r="F5" s="114">
        <f>D5*B5</f>
        <v>800</v>
      </c>
      <c r="G5" s="112">
        <f>F5*12</f>
        <v>9600</v>
      </c>
    </row>
    <row r="6" spans="1:7" ht="15" thickBot="1">
      <c r="A6" s="116" t="s">
        <v>77</v>
      </c>
      <c r="B6" s="117">
        <f>SUM(B4:B5)</f>
        <v>17</v>
      </c>
      <c r="C6" s="118">
        <f>Units!C25</f>
        <v>338.94117647058823</v>
      </c>
      <c r="D6" s="119">
        <f>Units!E25</f>
        <v>1112.9411764705883</v>
      </c>
      <c r="E6" s="120">
        <f>Units!G25</f>
        <v>3.283582089552239</v>
      </c>
      <c r="F6" s="119">
        <f>SUM(F4:F5)</f>
        <v>18920</v>
      </c>
      <c r="G6" s="119">
        <f>SUM(G4:G5)</f>
        <v>227040</v>
      </c>
    </row>
    <row r="7" spans="1:7">
      <c r="A7" s="177" t="s">
        <v>209</v>
      </c>
      <c r="B7" s="106">
        <v>20</v>
      </c>
      <c r="C7" s="178" t="s">
        <v>82</v>
      </c>
      <c r="D7" s="112">
        <v>15</v>
      </c>
      <c r="F7" s="112">
        <f>D7*B7</f>
        <v>300</v>
      </c>
      <c r="G7" s="112">
        <f>F7*12</f>
        <v>3600</v>
      </c>
    </row>
    <row r="8" spans="1:7">
      <c r="A8" s="177" t="s">
        <v>207</v>
      </c>
      <c r="B8" s="106">
        <v>26</v>
      </c>
      <c r="C8" s="178" t="s">
        <v>208</v>
      </c>
      <c r="D8" s="112">
        <v>45</v>
      </c>
      <c r="F8" s="112">
        <f>D8*B8</f>
        <v>1170</v>
      </c>
      <c r="G8" s="112">
        <f>F8*12</f>
        <v>14040</v>
      </c>
    </row>
    <row r="9" spans="1:7">
      <c r="A9" s="121" t="s">
        <v>78</v>
      </c>
      <c r="B9" s="122"/>
      <c r="C9" s="122"/>
      <c r="D9" s="122"/>
      <c r="E9" s="122"/>
      <c r="F9" s="122"/>
      <c r="G9" s="123">
        <f>SUM(G6:G8)</f>
        <v>244680</v>
      </c>
    </row>
    <row r="10" spans="1:7">
      <c r="A10" s="106" t="s">
        <v>79</v>
      </c>
      <c r="D10" s="124" t="s">
        <v>81</v>
      </c>
      <c r="E10" s="125">
        <v>1.4999999999999999E-2</v>
      </c>
      <c r="G10" s="112">
        <f>E10*G9</f>
        <v>3670.2</v>
      </c>
    </row>
    <row r="11" spans="1:7">
      <c r="A11" s="121" t="s">
        <v>80</v>
      </c>
      <c r="B11" s="122"/>
      <c r="C11" s="122"/>
      <c r="D11" s="122"/>
      <c r="E11" s="122"/>
      <c r="F11" s="122"/>
      <c r="G11" s="123">
        <f>G9-G10</f>
        <v>241009.8</v>
      </c>
    </row>
    <row r="13" spans="1:7">
      <c r="A13" s="126" t="s">
        <v>85</v>
      </c>
      <c r="B13" s="127" t="s">
        <v>90</v>
      </c>
      <c r="C13" s="127" t="s">
        <v>91</v>
      </c>
      <c r="D13" s="127" t="s">
        <v>92</v>
      </c>
    </row>
    <row r="14" spans="1:7">
      <c r="A14" s="106" t="s">
        <v>86</v>
      </c>
      <c r="B14" s="136">
        <f>D14/$B$6</f>
        <v>708.85235294117649</v>
      </c>
      <c r="C14" s="128">
        <f t="shared" ref="C14:C20" si="0">D14/$G$11</f>
        <v>0.05</v>
      </c>
      <c r="D14" s="112">
        <f>5%*G11</f>
        <v>12050.49</v>
      </c>
      <c r="E14" s="129" t="s">
        <v>129</v>
      </c>
    </row>
    <row r="15" spans="1:7">
      <c r="A15" s="106" t="s">
        <v>98</v>
      </c>
      <c r="B15" s="136">
        <f t="shared" ref="B15:B20" si="1">D15/$B$6</f>
        <v>500</v>
      </c>
      <c r="C15" s="128">
        <f t="shared" si="0"/>
        <v>3.5268275397929878E-2</v>
      </c>
      <c r="D15" s="112">
        <f>500*B6</f>
        <v>8500</v>
      </c>
      <c r="E15" s="129" t="s">
        <v>132</v>
      </c>
    </row>
    <row r="16" spans="1:7">
      <c r="A16" s="106" t="s">
        <v>87</v>
      </c>
      <c r="B16" s="136">
        <f t="shared" si="1"/>
        <v>500</v>
      </c>
      <c r="C16" s="128">
        <f t="shared" si="0"/>
        <v>3.5268275397929878E-2</v>
      </c>
      <c r="D16" s="112">
        <f>500*B6</f>
        <v>8500</v>
      </c>
      <c r="E16" s="129"/>
    </row>
    <row r="17" spans="1:15">
      <c r="A17" s="106" t="s">
        <v>88</v>
      </c>
      <c r="B17" s="136">
        <f t="shared" si="1"/>
        <v>180</v>
      </c>
      <c r="C17" s="128">
        <f t="shared" si="0"/>
        <v>1.2696579143254757E-2</v>
      </c>
      <c r="D17" s="112">
        <f>180*B6</f>
        <v>3060</v>
      </c>
      <c r="E17" s="129"/>
    </row>
    <row r="18" spans="1:15">
      <c r="A18" s="106" t="s">
        <v>97</v>
      </c>
      <c r="B18" s="136">
        <f t="shared" si="1"/>
        <v>300</v>
      </c>
      <c r="C18" s="128">
        <f t="shared" si="0"/>
        <v>2.1160965238757927E-2</v>
      </c>
      <c r="D18" s="112">
        <f>300*B6</f>
        <v>5100</v>
      </c>
      <c r="E18" s="129"/>
    </row>
    <row r="19" spans="1:15">
      <c r="A19" s="106" t="s">
        <v>123</v>
      </c>
      <c r="B19" s="136">
        <f t="shared" si="1"/>
        <v>212.65570588235292</v>
      </c>
      <c r="C19" s="128">
        <f t="shared" si="0"/>
        <v>1.4999999999999998E-2</v>
      </c>
      <c r="D19" s="112">
        <f>1.5%*G11</f>
        <v>3615.1469999999995</v>
      </c>
      <c r="E19" s="129" t="s">
        <v>130</v>
      </c>
    </row>
    <row r="20" spans="1:15">
      <c r="A20" s="249" t="s">
        <v>256</v>
      </c>
      <c r="B20" s="136">
        <f t="shared" si="1"/>
        <v>1300.4389917714</v>
      </c>
      <c r="C20" s="128">
        <f t="shared" si="0"/>
        <v>9.1728481000000001E-2</v>
      </c>
      <c r="D20" s="112">
        <f>+G11*13*0.007056037</f>
        <v>22107.462860113799</v>
      </c>
      <c r="E20" s="129"/>
      <c r="I20" s="114"/>
    </row>
    <row r="21" spans="1:15">
      <c r="A21" s="121" t="s">
        <v>89</v>
      </c>
      <c r="B21" s="137">
        <f>SUM(B14:B20)</f>
        <v>3701.9470505949294</v>
      </c>
      <c r="C21" s="130">
        <f>SUM(C14:C20)</f>
        <v>0.26112257617787243</v>
      </c>
      <c r="D21" s="122"/>
      <c r="E21" s="122"/>
      <c r="F21" s="122"/>
      <c r="G21" s="123">
        <f>SUM(D14:D20)</f>
        <v>62933.099860113798</v>
      </c>
      <c r="I21" s="115"/>
      <c r="J21" s="115"/>
    </row>
    <row r="22" spans="1:15" ht="24.75" customHeight="1">
      <c r="A22" s="388" t="s">
        <v>284</v>
      </c>
      <c r="B22" s="388"/>
      <c r="C22" s="388"/>
      <c r="D22" s="388"/>
      <c r="E22" s="388"/>
      <c r="F22" s="388"/>
      <c r="G22" s="388"/>
      <c r="H22" s="248"/>
      <c r="I22" s="248"/>
      <c r="J22" s="248"/>
      <c r="K22" s="248"/>
      <c r="L22" s="248"/>
      <c r="M22" s="248"/>
      <c r="N22" s="248"/>
      <c r="O22" s="248"/>
    </row>
    <row r="23" spans="1:15">
      <c r="A23" s="121" t="s">
        <v>93</v>
      </c>
      <c r="B23" s="122"/>
      <c r="C23" s="122"/>
      <c r="D23" s="122"/>
      <c r="E23" s="122"/>
      <c r="F23" s="122"/>
      <c r="G23" s="123">
        <f>G11-G21</f>
        <v>178076.70013988618</v>
      </c>
    </row>
    <row r="24" spans="1:15">
      <c r="J24" s="114"/>
    </row>
    <row r="25" spans="1:15">
      <c r="A25" s="107" t="s">
        <v>94</v>
      </c>
      <c r="B25" s="108"/>
      <c r="C25" s="108"/>
      <c r="D25" s="108"/>
      <c r="E25" s="108"/>
      <c r="F25" s="108"/>
      <c r="G25" s="109"/>
      <c r="J25" s="112"/>
    </row>
    <row r="26" spans="1:15">
      <c r="B26" s="131" t="s">
        <v>95</v>
      </c>
      <c r="C26" s="131" t="s">
        <v>94</v>
      </c>
      <c r="D26" s="131" t="s">
        <v>172</v>
      </c>
      <c r="E26" s="132" t="s">
        <v>195</v>
      </c>
    </row>
    <row r="27" spans="1:15">
      <c r="A27" s="106" t="s">
        <v>178</v>
      </c>
      <c r="B27" s="125">
        <v>4.4999999999999998E-2</v>
      </c>
      <c r="C27" s="114">
        <f>$G$23/B27</f>
        <v>3957260.003108582</v>
      </c>
      <c r="D27" s="114">
        <f>ROUND(C27/10000,0)*10000</f>
        <v>3960000</v>
      </c>
      <c r="E27" s="114">
        <f>D27-Budget!$F$93</f>
        <v>785000</v>
      </c>
    </row>
    <row r="28" spans="1:15">
      <c r="A28" s="132" t="s">
        <v>179</v>
      </c>
      <c r="B28" s="133">
        <v>4.7500000000000001E-2</v>
      </c>
      <c r="C28" s="134">
        <f>$G$23/B28</f>
        <v>3748983.160839709</v>
      </c>
      <c r="D28" s="134">
        <f>ROUND(C28/10000,0)*10000</f>
        <v>3750000</v>
      </c>
      <c r="E28" s="114">
        <f>D28-Budget!$F$93</f>
        <v>575000</v>
      </c>
      <c r="F28" s="115"/>
      <c r="J28" s="154"/>
    </row>
    <row r="29" spans="1:15">
      <c r="A29" s="106" t="s">
        <v>180</v>
      </c>
      <c r="B29" s="125">
        <f>B28+0.25%</f>
        <v>0.05</v>
      </c>
      <c r="C29" s="114">
        <f>$G$23/B29</f>
        <v>3561534.0027977233</v>
      </c>
      <c r="D29" s="114">
        <f>ROUND(C29/10000,0)*10000</f>
        <v>3560000</v>
      </c>
      <c r="E29" s="114">
        <f>D29-Budget!$F$93</f>
        <v>385000</v>
      </c>
      <c r="J29" s="182"/>
    </row>
    <row r="30" spans="1:15" ht="30.65" customHeight="1">
      <c r="A30" s="390" t="s">
        <v>194</v>
      </c>
      <c r="B30" s="390"/>
      <c r="C30" s="390"/>
      <c r="D30" s="390"/>
      <c r="E30" s="390"/>
      <c r="F30" s="390"/>
      <c r="G30" s="390"/>
      <c r="J30" s="182"/>
    </row>
    <row r="31" spans="1:15">
      <c r="A31" s="158" t="s">
        <v>191</v>
      </c>
      <c r="B31" s="125">
        <v>0.06</v>
      </c>
      <c r="C31" s="114">
        <f>$G$23/B31</f>
        <v>2967945.0023314361</v>
      </c>
      <c r="D31" s="114">
        <f>ROUND(C31/100000,0)*100000</f>
        <v>3000000</v>
      </c>
      <c r="E31" s="114">
        <f>D31-Budget!$F$93</f>
        <v>-175000</v>
      </c>
    </row>
    <row r="32" spans="1:15">
      <c r="A32" s="247" t="s">
        <v>255</v>
      </c>
      <c r="B32" s="125">
        <v>0.04</v>
      </c>
      <c r="C32" s="114">
        <f>$G$23/B32</f>
        <v>4451917.5034971545</v>
      </c>
      <c r="D32" s="114">
        <f>ROUND(C32/100000,0)*100000</f>
        <v>4500000</v>
      </c>
      <c r="E32" s="114">
        <f>D32-Budget!$F$93</f>
        <v>1325000</v>
      </c>
      <c r="J32" s="183"/>
    </row>
    <row r="33" spans="1:13" s="170" customFormat="1" ht="36" customHeight="1">
      <c r="A33" s="389"/>
      <c r="B33" s="389"/>
      <c r="C33" s="389"/>
      <c r="D33" s="389"/>
      <c r="E33" s="389"/>
      <c r="F33" s="389"/>
      <c r="G33" s="389"/>
    </row>
    <row r="36" spans="1:13">
      <c r="A36" s="157" t="s">
        <v>257</v>
      </c>
      <c r="B36" s="108"/>
      <c r="C36" s="108"/>
      <c r="D36" s="108"/>
      <c r="E36" s="108"/>
      <c r="F36" s="108"/>
      <c r="G36" s="109"/>
      <c r="H36" s="109"/>
      <c r="I36" s="109"/>
    </row>
    <row r="37" spans="1:13" ht="16.3">
      <c r="A37" s="353"/>
      <c r="B37" s="354" t="s">
        <v>235</v>
      </c>
      <c r="C37" s="354" t="s">
        <v>236</v>
      </c>
      <c r="D37" s="354" t="s">
        <v>172</v>
      </c>
      <c r="E37" s="355"/>
      <c r="F37" s="355"/>
      <c r="G37" s="356"/>
      <c r="H37" s="357"/>
      <c r="I37" s="357"/>
      <c r="J37" s="185"/>
      <c r="K37" s="185"/>
    </row>
    <row r="38" spans="1:13">
      <c r="A38" s="358" t="s">
        <v>203</v>
      </c>
      <c r="B38" s="359">
        <f>B28</f>
        <v>4.7500000000000001E-2</v>
      </c>
      <c r="C38" s="360">
        <f>$G$23/B38</f>
        <v>3748983.160839709</v>
      </c>
      <c r="D38" s="360">
        <f>ROUND(C38/100000,0)*100000</f>
        <v>3700000</v>
      </c>
      <c r="E38" s="355"/>
      <c r="F38" s="355"/>
      <c r="G38" s="356"/>
      <c r="H38" s="357"/>
      <c r="I38" s="357"/>
      <c r="J38" s="200"/>
      <c r="K38" s="200"/>
      <c r="L38" s="170"/>
    </row>
    <row r="39" spans="1:13" ht="30.9">
      <c r="A39" s="353"/>
      <c r="B39" s="361" t="s">
        <v>181</v>
      </c>
      <c r="C39" s="361" t="s">
        <v>182</v>
      </c>
      <c r="D39" s="361" t="s">
        <v>237</v>
      </c>
      <c r="E39" s="361" t="s">
        <v>96</v>
      </c>
      <c r="F39" s="361" t="s">
        <v>124</v>
      </c>
      <c r="G39" s="362" t="s">
        <v>238</v>
      </c>
      <c r="H39" s="363" t="s">
        <v>239</v>
      </c>
      <c r="I39" s="364" t="s">
        <v>234</v>
      </c>
      <c r="J39" s="202"/>
      <c r="K39" s="202"/>
      <c r="L39" s="170"/>
    </row>
    <row r="40" spans="1:13" s="132" customFormat="1">
      <c r="A40" s="365" t="s">
        <v>210</v>
      </c>
      <c r="B40" s="366">
        <f>C40/C38</f>
        <v>0.6775170468973466</v>
      </c>
      <c r="C40" s="367">
        <v>2540000</v>
      </c>
      <c r="D40" s="368">
        <v>3.7499999999999999E-2</v>
      </c>
      <c r="E40" s="369">
        <v>25</v>
      </c>
      <c r="F40" s="370">
        <f>-PMT((1+D40/2)^(2/12)-1,E40*12,C40)*12</f>
        <v>156227.0651849967</v>
      </c>
      <c r="G40" s="371">
        <f>1.5%*$G$11</f>
        <v>3615.1469999999995</v>
      </c>
      <c r="H40" s="372">
        <f>G23-F40-G40</f>
        <v>18234.487954889479</v>
      </c>
      <c r="I40" s="373">
        <f>$G$23/F40</f>
        <v>1.1398581924906301</v>
      </c>
      <c r="J40" s="203" t="s">
        <v>228</v>
      </c>
      <c r="K40" s="203"/>
    </row>
    <row r="41" spans="1:13" s="132" customFormat="1">
      <c r="A41" s="365"/>
      <c r="B41" s="374"/>
      <c r="C41" s="367"/>
      <c r="D41" s="368"/>
      <c r="E41" s="375"/>
      <c r="F41" s="370"/>
      <c r="G41" s="371"/>
      <c r="H41" s="373"/>
      <c r="I41" s="363"/>
      <c r="J41" s="203" t="s">
        <v>229</v>
      </c>
      <c r="L41" s="326">
        <f>-PPMT(D40,1,E40,C40)</f>
        <v>63072.490094750123</v>
      </c>
      <c r="M41" s="250">
        <f>L41/C43</f>
        <v>9.9326756054724602E-2</v>
      </c>
    </row>
    <row r="42" spans="1:13" s="197" customFormat="1" ht="28.5" customHeight="1">
      <c r="A42" s="376"/>
      <c r="B42" s="354" t="s">
        <v>216</v>
      </c>
      <c r="C42" s="354" t="s">
        <v>224</v>
      </c>
      <c r="D42" s="377" t="s">
        <v>225</v>
      </c>
      <c r="E42" s="378" t="s">
        <v>259</v>
      </c>
      <c r="F42" s="379" t="s">
        <v>263</v>
      </c>
      <c r="G42" s="394" t="s">
        <v>261</v>
      </c>
      <c r="H42" s="394"/>
      <c r="I42" s="380" t="s">
        <v>262</v>
      </c>
      <c r="J42" s="203" t="s">
        <v>329</v>
      </c>
      <c r="K42" s="203"/>
      <c r="L42" s="325">
        <v>157457</v>
      </c>
    </row>
    <row r="43" spans="1:13" s="132" customFormat="1">
      <c r="A43" s="365" t="s">
        <v>221</v>
      </c>
      <c r="B43" s="381">
        <f>'Req. Equity'!$D$19-Proforma!C43</f>
        <v>0</v>
      </c>
      <c r="C43" s="371">
        <f>'Req. Equity'!$D$19-(C40-'Req. Equity'!$D$18)</f>
        <v>635000</v>
      </c>
      <c r="D43" s="382">
        <f>H40/C43</f>
        <v>2.8715729062818076E-2</v>
      </c>
      <c r="E43" s="382">
        <f>(-PPMT(D40,1,E40,C40))/C43</f>
        <v>9.9326756054724602E-2</v>
      </c>
      <c r="F43" s="383">
        <f>D43+E43</f>
        <v>0.12804248511754268</v>
      </c>
      <c r="G43" s="395">
        <f>F43</f>
        <v>0.12804248511754268</v>
      </c>
      <c r="H43" s="395"/>
      <c r="I43" s="383">
        <f>8%+((F43-8%)*0.6)</f>
        <v>0.10882549107052561</v>
      </c>
      <c r="J43" s="203" t="s">
        <v>330</v>
      </c>
      <c r="K43" s="196"/>
      <c r="L43" s="325">
        <v>63270</v>
      </c>
      <c r="M43" s="250">
        <f>L43/C43</f>
        <v>9.9637795275590552E-2</v>
      </c>
    </row>
    <row r="44" spans="1:13" ht="70.5" customHeight="1">
      <c r="A44" s="391" t="s">
        <v>327</v>
      </c>
      <c r="B44" s="391"/>
      <c r="C44" s="391"/>
      <c r="D44" s="391"/>
      <c r="E44" s="391"/>
      <c r="F44" s="391"/>
      <c r="G44" s="391"/>
      <c r="H44" s="391"/>
      <c r="I44" s="391"/>
    </row>
    <row r="45" spans="1:13" ht="10" customHeight="1">
      <c r="A45" s="246"/>
      <c r="B45" s="246"/>
      <c r="C45" s="246"/>
      <c r="D45" s="246"/>
      <c r="E45" s="246"/>
      <c r="F45" s="246"/>
      <c r="G45" s="246"/>
      <c r="H45" s="246"/>
      <c r="I45" s="246"/>
    </row>
    <row r="46" spans="1:13">
      <c r="A46" s="157" t="s">
        <v>258</v>
      </c>
      <c r="B46" s="194"/>
      <c r="C46" s="194"/>
      <c r="D46" s="194"/>
      <c r="E46" s="194"/>
      <c r="F46" s="194"/>
      <c r="G46" s="195"/>
      <c r="H46" s="195"/>
      <c r="I46" s="195"/>
      <c r="J46" s="243"/>
      <c r="K46" s="244"/>
      <c r="L46" s="170"/>
    </row>
    <row r="47" spans="1:13" ht="16.3">
      <c r="A47" s="251"/>
      <c r="B47" s="252" t="s">
        <v>235</v>
      </c>
      <c r="C47" s="252" t="s">
        <v>236</v>
      </c>
      <c r="D47" s="252" t="s">
        <v>172</v>
      </c>
      <c r="E47" s="253"/>
      <c r="F47" s="253"/>
      <c r="G47" s="254"/>
      <c r="H47" s="251"/>
      <c r="I47" s="251"/>
      <c r="J47" s="185"/>
      <c r="K47" s="185"/>
    </row>
    <row r="48" spans="1:13">
      <c r="A48" s="255" t="s">
        <v>214</v>
      </c>
      <c r="B48" s="256">
        <v>5.5E-2</v>
      </c>
      <c r="C48" s="257">
        <f>(G11*(1-(C21+5%)))/B48</f>
        <v>3018658.3661797489</v>
      </c>
      <c r="D48" s="257">
        <f>ROUND(C48/100000,0)*100000</f>
        <v>3000000</v>
      </c>
      <c r="E48" s="253"/>
      <c r="F48" s="253"/>
      <c r="G48" s="254"/>
      <c r="H48" s="251"/>
      <c r="I48" s="251"/>
      <c r="K48" s="115"/>
    </row>
    <row r="49" spans="1:13">
      <c r="A49" s="255" t="s">
        <v>222</v>
      </c>
      <c r="B49" s="256">
        <v>3.7499999999999999E-2</v>
      </c>
      <c r="C49" s="257"/>
      <c r="D49" s="257"/>
      <c r="E49" s="253"/>
      <c r="F49" s="253"/>
      <c r="G49" s="254"/>
      <c r="H49" s="251"/>
      <c r="I49" s="251"/>
      <c r="J49" s="185"/>
      <c r="K49" s="185"/>
    </row>
    <row r="50" spans="1:13" ht="30.9">
      <c r="A50" s="251"/>
      <c r="B50" s="252" t="s">
        <v>323</v>
      </c>
      <c r="C50" s="252" t="s">
        <v>182</v>
      </c>
      <c r="D50" s="252" t="s">
        <v>324</v>
      </c>
      <c r="E50" s="252" t="s">
        <v>96</v>
      </c>
      <c r="F50" s="252" t="s">
        <v>124</v>
      </c>
      <c r="G50" s="258" t="s">
        <v>325</v>
      </c>
      <c r="H50" s="259" t="s">
        <v>326</v>
      </c>
      <c r="I50" s="260" t="s">
        <v>234</v>
      </c>
      <c r="J50" s="185"/>
      <c r="K50" s="185"/>
    </row>
    <row r="51" spans="1:13" s="132" customFormat="1" ht="15.9">
      <c r="A51" s="261" t="s">
        <v>215</v>
      </c>
      <c r="B51" s="324">
        <f>2540000/C48</f>
        <v>0.84143340911230269</v>
      </c>
      <c r="C51" s="262">
        <f>2540000+(B49*2540000)</f>
        <v>2635250</v>
      </c>
      <c r="D51" s="263">
        <v>2.75E-2</v>
      </c>
      <c r="E51" s="264">
        <v>30</v>
      </c>
      <c r="F51" s="265">
        <f>-PMT((1+D51/2)^(2/12)-1,E51*12,C51)*12</f>
        <v>128836.55236826866</v>
      </c>
      <c r="G51" s="266">
        <f>1.5%*$G$11</f>
        <v>3615.1469999999995</v>
      </c>
      <c r="H51" s="328">
        <f>G23-F51-G51</f>
        <v>45625.000771617517</v>
      </c>
      <c r="I51" s="271">
        <f>$G$23/F51</f>
        <v>1.382190821366196</v>
      </c>
      <c r="J51" s="203" t="s">
        <v>228</v>
      </c>
      <c r="K51" s="203"/>
      <c r="L51" s="203"/>
      <c r="M51"/>
    </row>
    <row r="52" spans="1:13" s="132" customFormat="1">
      <c r="A52" s="261"/>
      <c r="B52" s="267"/>
      <c r="C52" s="268"/>
      <c r="D52" s="263"/>
      <c r="E52" s="269"/>
      <c r="F52" s="270"/>
      <c r="G52" s="266"/>
      <c r="H52" s="271"/>
      <c r="I52" s="271"/>
      <c r="J52" s="203" t="s">
        <v>229</v>
      </c>
      <c r="L52" s="325">
        <f>-PPMT(D51,1,E51,C51)</f>
        <v>57670.917811782791</v>
      </c>
      <c r="M52" s="327">
        <f>L52/C54</f>
        <v>9.0820343010681565E-2</v>
      </c>
    </row>
    <row r="53" spans="1:13" s="132" customFormat="1" ht="29.15">
      <c r="A53" s="261"/>
      <c r="B53" s="272" t="s">
        <v>216</v>
      </c>
      <c r="C53" s="272" t="s">
        <v>224</v>
      </c>
      <c r="D53" s="273" t="s">
        <v>225</v>
      </c>
      <c r="E53" s="274" t="s">
        <v>220</v>
      </c>
      <c r="F53" s="275" t="s">
        <v>260</v>
      </c>
      <c r="G53" s="396" t="s">
        <v>261</v>
      </c>
      <c r="H53" s="396"/>
      <c r="I53" s="282" t="s">
        <v>262</v>
      </c>
      <c r="J53" s="203" t="s">
        <v>329</v>
      </c>
      <c r="K53" s="203"/>
      <c r="L53" s="325">
        <v>129851</v>
      </c>
    </row>
    <row r="54" spans="1:13" s="132" customFormat="1">
      <c r="A54" s="261" t="s">
        <v>223</v>
      </c>
      <c r="B54" s="276">
        <f>'Req. Equity'!D19-Proforma!C54</f>
        <v>0</v>
      </c>
      <c r="C54" s="277">
        <f>'Req. Equity'!$D$19-((C51-(B51*C48)*B49)-'Req. Equity'!$D$18)</f>
        <v>635000</v>
      </c>
      <c r="D54" s="278">
        <f>H51/C54</f>
        <v>7.1850394915933091E-2</v>
      </c>
      <c r="E54" s="279">
        <f>(-PPMT(D51,1,E51,C51))/C54</f>
        <v>9.0820343010681565E-2</v>
      </c>
      <c r="F54" s="283">
        <f>D54+E54</f>
        <v>0.16267073792661466</v>
      </c>
      <c r="G54" s="393">
        <f>F54</f>
        <v>0.16267073792661466</v>
      </c>
      <c r="H54" s="393"/>
      <c r="I54" s="283">
        <f>8%+((F54-8%)*0.6)</f>
        <v>0.1296024427559688</v>
      </c>
      <c r="J54" s="203" t="s">
        <v>330</v>
      </c>
      <c r="K54" s="192"/>
      <c r="L54" s="326">
        <v>57948</v>
      </c>
      <c r="M54" s="327">
        <f>L54/C54</f>
        <v>9.1256692913385826E-2</v>
      </c>
    </row>
    <row r="55" spans="1:13" ht="108.55" customHeight="1">
      <c r="A55" s="391" t="s">
        <v>328</v>
      </c>
      <c r="B55" s="391"/>
      <c r="C55" s="391"/>
      <c r="D55" s="391"/>
      <c r="E55" s="391"/>
      <c r="F55" s="391"/>
      <c r="G55" s="391"/>
      <c r="H55" s="391"/>
      <c r="I55" s="391"/>
    </row>
    <row r="56" spans="1:13">
      <c r="A56" s="392"/>
      <c r="B56" s="392"/>
      <c r="C56" s="392"/>
      <c r="D56" s="392"/>
      <c r="E56" s="392"/>
      <c r="F56" s="392"/>
      <c r="G56" s="392"/>
      <c r="H56" s="392"/>
      <c r="I56" s="392"/>
    </row>
    <row r="57" spans="1:13">
      <c r="A57" s="390"/>
      <c r="B57" s="390"/>
      <c r="C57" s="390"/>
      <c r="D57" s="390"/>
      <c r="E57" s="390"/>
      <c r="F57" s="390"/>
      <c r="G57" s="390"/>
      <c r="H57" s="390"/>
    </row>
    <row r="58" spans="1:13">
      <c r="A58" s="390"/>
      <c r="B58" s="390"/>
      <c r="C58" s="390"/>
      <c r="D58" s="390"/>
      <c r="E58" s="390"/>
      <c r="F58" s="390"/>
      <c r="G58" s="390"/>
      <c r="H58" s="390"/>
    </row>
    <row r="59" spans="1:13">
      <c r="A59" s="390"/>
      <c r="B59" s="390"/>
      <c r="C59" s="390"/>
      <c r="D59" s="390"/>
      <c r="E59" s="390"/>
      <c r="F59" s="390"/>
      <c r="G59" s="390"/>
      <c r="H59" s="390"/>
    </row>
    <row r="60" spans="1:13">
      <c r="A60" s="152"/>
      <c r="C60" s="155"/>
      <c r="F60" s="114"/>
      <c r="H60" s="156"/>
    </row>
    <row r="61" spans="1:13">
      <c r="A61" s="157" t="s">
        <v>232</v>
      </c>
      <c r="B61" s="108"/>
      <c r="C61" s="108"/>
      <c r="D61" s="108"/>
      <c r="E61" s="108"/>
      <c r="F61" s="108"/>
      <c r="G61" s="109"/>
      <c r="H61" s="109"/>
      <c r="I61" s="109"/>
    </row>
    <row r="62" spans="1:13" ht="29.15">
      <c r="A62" s="205"/>
      <c r="B62" s="186" t="s">
        <v>181</v>
      </c>
      <c r="C62" s="186" t="s">
        <v>182</v>
      </c>
      <c r="D62" s="186" t="s">
        <v>183</v>
      </c>
      <c r="E62" s="186" t="s">
        <v>96</v>
      </c>
      <c r="F62" s="186" t="s">
        <v>124</v>
      </c>
      <c r="G62" s="201" t="s">
        <v>231</v>
      </c>
      <c r="H62" s="210" t="s">
        <v>233</v>
      </c>
      <c r="I62" s="196" t="s">
        <v>234</v>
      </c>
    </row>
    <row r="63" spans="1:13">
      <c r="A63" s="153" t="s">
        <v>196</v>
      </c>
      <c r="B63" s="188">
        <f t="shared" ref="B63:I63" si="2">B40</f>
        <v>0.6775170468973466</v>
      </c>
      <c r="C63" s="193">
        <f t="shared" si="2"/>
        <v>2540000</v>
      </c>
      <c r="D63" s="189">
        <f t="shared" si="2"/>
        <v>3.7499999999999999E-2</v>
      </c>
      <c r="E63" s="190">
        <f t="shared" si="2"/>
        <v>25</v>
      </c>
      <c r="F63" s="204">
        <f t="shared" si="2"/>
        <v>156227.0651849967</v>
      </c>
      <c r="G63" s="209">
        <f t="shared" si="2"/>
        <v>3615.1469999999995</v>
      </c>
      <c r="H63" s="191">
        <f t="shared" si="2"/>
        <v>18234.487954889479</v>
      </c>
      <c r="I63" s="208">
        <f t="shared" si="2"/>
        <v>1.1398581924906301</v>
      </c>
    </row>
    <row r="64" spans="1:13">
      <c r="A64" s="153" t="s">
        <v>189</v>
      </c>
      <c r="B64" s="188">
        <f>B63</f>
        <v>0.6775170468973466</v>
      </c>
      <c r="C64" s="193">
        <f>C29*B64</f>
        <v>2412999.9999999995</v>
      </c>
      <c r="D64" s="189">
        <f>D40</f>
        <v>3.7499999999999999E-2</v>
      </c>
      <c r="E64" s="190">
        <f>E40</f>
        <v>25</v>
      </c>
      <c r="F64" s="204">
        <f>-PMT((1+D64/2)^(2/12)-1,E64*12,C64)*12</f>
        <v>148415.71192574684</v>
      </c>
      <c r="G64" s="209">
        <f>1.5%*$G$11</f>
        <v>3615.1469999999995</v>
      </c>
      <c r="H64" s="191">
        <f>$G$23-F64-G64</f>
        <v>26045.841214139331</v>
      </c>
      <c r="I64" s="208">
        <f>$G$23/F64</f>
        <v>1.1998507289375056</v>
      </c>
    </row>
    <row r="65" spans="1:12">
      <c r="A65" s="153" t="s">
        <v>190</v>
      </c>
      <c r="B65" s="188">
        <f>B64</f>
        <v>0.6775170468973466</v>
      </c>
      <c r="C65" s="193">
        <f>B65*C27</f>
        <v>2681111.111111111</v>
      </c>
      <c r="D65" s="189">
        <f>D40</f>
        <v>3.7499999999999999E-2</v>
      </c>
      <c r="E65" s="190">
        <f>E40</f>
        <v>25</v>
      </c>
      <c r="F65" s="204">
        <f>-PMT((1+D65/2)^(2/12)-1,E65*12,C65)*12</f>
        <v>164906.34658416317</v>
      </c>
      <c r="G65" s="209">
        <f>1.5%*$G$11</f>
        <v>3615.1469999999995</v>
      </c>
      <c r="H65" s="191">
        <f>$G$23-F65-G65</f>
        <v>9555.2065557230071</v>
      </c>
      <c r="I65" s="208">
        <f>$G$23/F65</f>
        <v>1.079865656043755</v>
      </c>
    </row>
    <row r="66" spans="1:12">
      <c r="A66" s="153" t="s">
        <v>192</v>
      </c>
      <c r="B66" s="188">
        <f>B65</f>
        <v>0.6775170468973466</v>
      </c>
      <c r="C66" s="193">
        <f>B66*C31</f>
        <v>2010833.333333333</v>
      </c>
      <c r="D66" s="189">
        <f>D40</f>
        <v>3.7499999999999999E-2</v>
      </c>
      <c r="E66" s="190">
        <f>E40</f>
        <v>25</v>
      </c>
      <c r="F66" s="204">
        <f>-PMT((1+D66/2)^(2/12)-1,E66*12,C66)*12</f>
        <v>123679.75993812238</v>
      </c>
      <c r="G66" s="209">
        <f>1.5%*$G$11</f>
        <v>3615.1469999999995</v>
      </c>
      <c r="H66" s="191">
        <f>$G$23-F66-G66</f>
        <v>50781.793201763794</v>
      </c>
      <c r="I66" s="208">
        <f>$G$23/F66</f>
        <v>1.4398208747250063</v>
      </c>
    </row>
    <row r="67" spans="1:12">
      <c r="A67" s="153" t="s">
        <v>193</v>
      </c>
      <c r="B67" s="188">
        <f>B66</f>
        <v>0.6775170468973466</v>
      </c>
      <c r="C67" s="193">
        <f>B67*C32</f>
        <v>3016250</v>
      </c>
      <c r="D67" s="189">
        <f>D40</f>
        <v>3.7499999999999999E-2</v>
      </c>
      <c r="E67" s="190">
        <f>E40</f>
        <v>25</v>
      </c>
      <c r="F67" s="204">
        <f>-PMT((1+D67/2)^(2/12)-1,E67*12,C67)*12</f>
        <v>185519.63990718359</v>
      </c>
      <c r="G67" s="209">
        <f>1.5%*$G$11</f>
        <v>3615.1469999999995</v>
      </c>
      <c r="H67" s="191">
        <f>$G$23-F67-G67</f>
        <v>-11058.086767297415</v>
      </c>
      <c r="I67" s="208">
        <f>$G$23/F67</f>
        <v>0.95988058315000424</v>
      </c>
    </row>
    <row r="68" spans="1:12">
      <c r="A68" s="129"/>
    </row>
    <row r="69" spans="1:12">
      <c r="A69" s="157" t="s">
        <v>371</v>
      </c>
      <c r="B69" s="108"/>
      <c r="C69" s="108"/>
      <c r="D69" s="108"/>
      <c r="E69" s="108"/>
      <c r="F69" s="108"/>
      <c r="G69" s="109"/>
      <c r="H69" s="109"/>
      <c r="I69" s="109"/>
    </row>
    <row r="70" spans="1:12" ht="26.15">
      <c r="A70" s="162"/>
      <c r="B70" s="163" t="s">
        <v>204</v>
      </c>
      <c r="C70" s="163" t="s">
        <v>185</v>
      </c>
      <c r="D70" s="163" t="s">
        <v>184</v>
      </c>
      <c r="E70" s="163" t="s">
        <v>186</v>
      </c>
      <c r="F70" s="162" t="s">
        <v>200</v>
      </c>
      <c r="G70" s="162" t="s">
        <v>188</v>
      </c>
      <c r="H70" s="163" t="s">
        <v>187</v>
      </c>
      <c r="I70" s="164" t="s">
        <v>230</v>
      </c>
      <c r="J70" s="162"/>
      <c r="K70" s="162"/>
    </row>
    <row r="71" spans="1:12">
      <c r="A71" s="158" t="s">
        <v>196</v>
      </c>
      <c r="B71" s="114">
        <f>'Req. Equity'!$D$18</f>
        <v>2540000</v>
      </c>
      <c r="C71" s="114">
        <f>C40</f>
        <v>2540000</v>
      </c>
      <c r="D71" s="342">
        <f>C71-B71</f>
        <v>0</v>
      </c>
      <c r="E71" s="166">
        <f>'Req. Equity'!$D$19-Proforma!D71</f>
        <v>635000</v>
      </c>
      <c r="F71" s="167">
        <v>1.4999999999999999E-2</v>
      </c>
      <c r="G71" s="114">
        <f>$F$71*$G$11</f>
        <v>3615.1469999999995</v>
      </c>
      <c r="H71" s="114">
        <f>$H$40-G71</f>
        <v>14619.34095488948</v>
      </c>
      <c r="I71" s="165">
        <f>H71/E71</f>
        <v>2.3022584180928316E-2</v>
      </c>
    </row>
    <row r="72" spans="1:12">
      <c r="A72" s="158" t="s">
        <v>197</v>
      </c>
      <c r="B72" s="114">
        <f>'Req. Equity'!$D$18</f>
        <v>2540000</v>
      </c>
      <c r="C72" s="114">
        <f>C64</f>
        <v>2412999.9999999995</v>
      </c>
      <c r="D72" s="342">
        <f>C72-B72</f>
        <v>-127000.00000000047</v>
      </c>
      <c r="E72" s="166">
        <f>'Req. Equity'!$D$19-Proforma!D72</f>
        <v>762000.00000000047</v>
      </c>
      <c r="F72" s="167">
        <v>1.4999999999999999E-2</v>
      </c>
      <c r="G72" s="114">
        <f>$F$71*$G$11</f>
        <v>3615.1469999999995</v>
      </c>
      <c r="H72" s="114">
        <f>H64-G72</f>
        <v>22430.69421413933</v>
      </c>
      <c r="I72" s="165">
        <f>H72/E72</f>
        <v>2.9436606580235322E-2</v>
      </c>
    </row>
    <row r="73" spans="1:12">
      <c r="A73" s="158" t="s">
        <v>198</v>
      </c>
      <c r="B73" s="114">
        <f>'Req. Equity'!$D$18</f>
        <v>2540000</v>
      </c>
      <c r="C73" s="114">
        <f>C65</f>
        <v>2681111.111111111</v>
      </c>
      <c r="D73" s="342">
        <f>C73-B73</f>
        <v>141111.11111111101</v>
      </c>
      <c r="E73" s="166">
        <f>'Req. Equity'!$D$19-Proforma!D73</f>
        <v>493888.88888888899</v>
      </c>
      <c r="F73" s="167">
        <v>1.4999999999999999E-2</v>
      </c>
      <c r="G73" s="114">
        <f>$F$71*$G$11</f>
        <v>3615.1469999999995</v>
      </c>
      <c r="H73" s="114">
        <f>H65-G73</f>
        <v>5940.0595557230081</v>
      </c>
      <c r="I73" s="165">
        <f>H73/E73</f>
        <v>1.2027117210687752E-2</v>
      </c>
    </row>
    <row r="74" spans="1:12" s="132" customFormat="1">
      <c r="A74" s="158" t="s">
        <v>199</v>
      </c>
      <c r="B74" s="114">
        <f>'Req. Equity'!$D$18</f>
        <v>2540000</v>
      </c>
      <c r="C74" s="114">
        <f>C66</f>
        <v>2010833.333333333</v>
      </c>
      <c r="D74" s="342">
        <f>C74-B74</f>
        <v>-529166.66666666698</v>
      </c>
      <c r="E74" s="166">
        <f>'Req. Equity'!$D$19-Proforma!D74</f>
        <v>1164166.666666667</v>
      </c>
      <c r="F74" s="167">
        <v>1.4999999999999999E-2</v>
      </c>
      <c r="G74" s="114">
        <f>$F$71*$G$11</f>
        <v>3615.1469999999995</v>
      </c>
      <c r="H74" s="114">
        <f>H66-G74</f>
        <v>47166.646201763797</v>
      </c>
      <c r="I74" s="165">
        <f>H74/E74</f>
        <v>4.0515372542674691E-2</v>
      </c>
      <c r="J74" s="106"/>
      <c r="K74" s="106"/>
      <c r="L74" s="169"/>
    </row>
    <row r="75" spans="1:12" s="129" customFormat="1">
      <c r="A75" s="245" t="s">
        <v>254</v>
      </c>
      <c r="B75" s="114">
        <f>'Req. Equity'!$D$18</f>
        <v>2540000</v>
      </c>
      <c r="C75" s="114">
        <f>C67</f>
        <v>3016250</v>
      </c>
      <c r="D75" s="342">
        <f>C75-B75</f>
        <v>476250</v>
      </c>
      <c r="E75" s="166">
        <f>'Req. Equity'!$D$19-Proforma!D75</f>
        <v>158750</v>
      </c>
      <c r="F75" s="167">
        <v>1.4999999999999999E-2</v>
      </c>
      <c r="G75" s="114">
        <f>$F$71*$G$11</f>
        <v>3615.1469999999995</v>
      </c>
      <c r="H75" s="114">
        <f>H67-G75</f>
        <v>-14673.233767297414</v>
      </c>
      <c r="I75" s="207" t="s">
        <v>201</v>
      </c>
      <c r="J75" s="106"/>
      <c r="K75" s="106"/>
      <c r="L75" s="168"/>
    </row>
    <row r="76" spans="1:12">
      <c r="A76" s="158"/>
      <c r="B76" s="114"/>
      <c r="C76" s="114"/>
      <c r="D76" s="114"/>
      <c r="E76" s="166"/>
      <c r="F76" s="159"/>
      <c r="G76" s="114"/>
      <c r="H76" s="114"/>
      <c r="I76" s="206"/>
      <c r="L76" s="154"/>
    </row>
    <row r="77" spans="1:12">
      <c r="A77" s="129" t="s">
        <v>205</v>
      </c>
      <c r="B77" s="114"/>
      <c r="C77" s="114"/>
      <c r="D77" s="114"/>
      <c r="E77" s="166"/>
      <c r="F77" s="159"/>
      <c r="G77" s="114"/>
      <c r="H77" s="114"/>
      <c r="I77" s="165"/>
      <c r="L77" s="154"/>
    </row>
    <row r="78" spans="1:12">
      <c r="A78" s="158"/>
      <c r="B78" s="114"/>
      <c r="C78" s="114"/>
      <c r="D78" s="114"/>
      <c r="E78" s="166"/>
      <c r="F78" s="159"/>
      <c r="G78" s="114"/>
      <c r="H78" s="114"/>
      <c r="I78" s="165"/>
      <c r="L78" s="135"/>
    </row>
  </sheetData>
  <mergeCells count="11">
    <mergeCell ref="A22:G22"/>
    <mergeCell ref="A33:G33"/>
    <mergeCell ref="A57:H59"/>
    <mergeCell ref="A30:G30"/>
    <mergeCell ref="A55:I55"/>
    <mergeCell ref="A56:I56"/>
    <mergeCell ref="G54:H54"/>
    <mergeCell ref="A44:I44"/>
    <mergeCell ref="G42:H42"/>
    <mergeCell ref="G43:H43"/>
    <mergeCell ref="G53:H5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election activeCell="L12" sqref="L12"/>
    </sheetView>
  </sheetViews>
  <sheetFormatPr defaultColWidth="10.5703125" defaultRowHeight="15.9"/>
  <cols>
    <col min="4" max="4" width="13.5" bestFit="1" customWidth="1"/>
  </cols>
  <sheetData>
    <row r="1" spans="1:10" ht="23.15">
      <c r="A1" s="3" t="s">
        <v>157</v>
      </c>
      <c r="B1" s="4"/>
      <c r="C1" s="4"/>
      <c r="D1" s="4"/>
      <c r="E1" s="4"/>
      <c r="F1" s="4"/>
      <c r="G1" s="4"/>
      <c r="H1" s="12"/>
      <c r="I1" s="12"/>
      <c r="J1" s="12"/>
    </row>
    <row r="3" spans="1:10">
      <c r="A3" t="s">
        <v>312</v>
      </c>
    </row>
    <row r="4" spans="1:10">
      <c r="A4" s="2" t="s">
        <v>313</v>
      </c>
    </row>
    <row r="5" spans="1:10">
      <c r="A5" t="s">
        <v>163</v>
      </c>
      <c r="D5" t="s">
        <v>314</v>
      </c>
    </row>
    <row r="6" spans="1:10">
      <c r="A6" t="s">
        <v>113</v>
      </c>
      <c r="D6" s="23">
        <f>Budget!F23</f>
        <v>922500</v>
      </c>
    </row>
    <row r="7" spans="1:10">
      <c r="A7" t="s">
        <v>164</v>
      </c>
      <c r="D7" s="23">
        <f>Financing!D29</f>
        <v>300000</v>
      </c>
      <c r="E7" t="s">
        <v>315</v>
      </c>
    </row>
    <row r="8" spans="1:10">
      <c r="A8" t="s">
        <v>147</v>
      </c>
      <c r="D8" s="23">
        <f>Financing!D9+Financing!D20+Financing!D32</f>
        <v>916875</v>
      </c>
      <c r="E8" t="s">
        <v>315</v>
      </c>
    </row>
    <row r="9" spans="1:10">
      <c r="A9" t="s">
        <v>316</v>
      </c>
      <c r="D9" s="23">
        <v>30000</v>
      </c>
      <c r="E9" t="s">
        <v>317</v>
      </c>
    </row>
    <row r="10" spans="1:10">
      <c r="A10" s="99" t="s">
        <v>165</v>
      </c>
      <c r="B10" s="100"/>
      <c r="C10" s="100"/>
      <c r="D10" s="101">
        <f>D6+D7-D8+D9</f>
        <v>335625</v>
      </c>
    </row>
    <row r="11" spans="1:10">
      <c r="A11" s="160"/>
      <c r="B11" s="160"/>
      <c r="C11" s="160"/>
      <c r="D11" s="161"/>
    </row>
    <row r="12" spans="1:10">
      <c r="A12" s="160"/>
      <c r="B12" s="160"/>
      <c r="C12" s="160"/>
      <c r="D12" s="161"/>
    </row>
    <row r="13" spans="1:10">
      <c r="A13" s="160"/>
      <c r="B13" s="160"/>
      <c r="C13" s="160"/>
      <c r="D13" s="161"/>
    </row>
    <row r="14" spans="1:10">
      <c r="A14" s="318" t="s">
        <v>318</v>
      </c>
      <c r="H14">
        <f>350+285</f>
        <v>635</v>
      </c>
    </row>
    <row r="15" spans="1:10">
      <c r="A15" s="2" t="s">
        <v>319</v>
      </c>
    </row>
    <row r="16" spans="1:10">
      <c r="A16" t="s">
        <v>163</v>
      </c>
      <c r="D16" s="24">
        <v>0.8</v>
      </c>
    </row>
    <row r="17" spans="1:9">
      <c r="A17" t="s">
        <v>166</v>
      </c>
      <c r="D17" s="179">
        <f>Budget!F93</f>
        <v>3175000</v>
      </c>
      <c r="I17">
        <f>335000*15%</f>
        <v>50250</v>
      </c>
    </row>
    <row r="18" spans="1:9">
      <c r="A18" t="s">
        <v>147</v>
      </c>
      <c r="D18" s="180">
        <f>Financing!D50</f>
        <v>2540000</v>
      </c>
      <c r="E18" t="s">
        <v>315</v>
      </c>
    </row>
    <row r="19" spans="1:9">
      <c r="A19" s="99" t="s">
        <v>165</v>
      </c>
      <c r="B19" s="100"/>
      <c r="C19" s="100"/>
      <c r="D19" s="181">
        <f>D17-D18</f>
        <v>635000</v>
      </c>
    </row>
    <row r="21" spans="1:9">
      <c r="A21" s="99" t="s">
        <v>167</v>
      </c>
      <c r="B21" s="100"/>
      <c r="C21" s="100"/>
      <c r="D21" s="101">
        <f>D19-D10</f>
        <v>299375</v>
      </c>
    </row>
    <row r="22" spans="1:9">
      <c r="A22" s="160"/>
      <c r="B22" s="160"/>
      <c r="C22" s="160"/>
      <c r="D22" s="16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Financing</vt:lpstr>
      <vt:lpstr>Budget</vt:lpstr>
      <vt:lpstr>Dev charges</vt:lpstr>
      <vt:lpstr>Budget Detail</vt:lpstr>
      <vt:lpstr>Building SQFT</vt:lpstr>
      <vt:lpstr>Units</vt:lpstr>
      <vt:lpstr>Profitability</vt:lpstr>
      <vt:lpstr>Proforma</vt:lpstr>
      <vt:lpstr>Req. Equity</vt:lpstr>
      <vt:lpstr>Project IRR</vt:lpstr>
      <vt:lpstr>Ph1 IRR</vt:lpstr>
      <vt:lpstr>Ph2 IRR</vt:lpstr>
      <vt:lpstr>Ph1&amp;Ph2 IRR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James Burton</cp:lastModifiedBy>
  <dcterms:created xsi:type="dcterms:W3CDTF">2015-11-07T22:50:56Z</dcterms:created>
  <dcterms:modified xsi:type="dcterms:W3CDTF">2016-03-21T20:10:38Z</dcterms:modified>
</cp:coreProperties>
</file>