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25.xml" ContentType="application/vnd.openxmlformats-officedocument.drawingml.chart+xml"/>
  <Override PartName="/xl/charts/chart36.xml" ContentType="application/vnd.openxmlformats-officedocument.drawingml.chart+xml"/>
  <Override PartName="/xl/charts/chart24.xml" ContentType="application/vnd.openxmlformats-officedocument.drawingml.chart+xml"/>
  <Override PartName="/xl/charts/chart35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34.xml" ContentType="application/vnd.openxmlformats-officedocument.drawingml.chart+xml"/>
  <Override PartName="/xl/media/image3.png" ContentType="image/png"/>
  <Override PartName="/xl/media/image4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chner1" sheetId="1" state="visible" r:id="rId2"/>
    <sheet name="Fahrzeuge" sheetId="2" state="visible" r:id="rId3"/>
    <sheet name="Zahlen Sammlung" sheetId="3" state="visible" r:id="rId4"/>
    <sheet name="Rechner A" sheetId="4" state="visible" r:id="rId5"/>
    <sheet name="Rechner B" sheetId="5" state="visible" r:id="rId6"/>
    <sheet name="Rechner A2" sheetId="6" state="visible" r:id="rId7"/>
    <sheet name="Rechner B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<sst xmlns="http://schemas.openxmlformats.org/spreadsheetml/2006/main" count="1335" uniqueCount="280">
  <si>
    <t xml:space="preserve">SPAR-Calculator</t>
  </si>
  <si>
    <t xml:space="preserve">Anteil MID</t>
  </si>
  <si>
    <t xml:space="preserve">Pendeln Fahrrad</t>
  </si>
  <si>
    <t xml:space="preserve">Pendeln ÖPNV</t>
  </si>
  <si>
    <t xml:space="preserve">Pendeln MIV</t>
  </si>
  <si>
    <t xml:space="preserve">Inputs</t>
  </si>
  <si>
    <t xml:space="preserve">DR Aktive Mob</t>
  </si>
  <si>
    <t xml:space="preserve">Anzahl Mitarbeiter</t>
  </si>
  <si>
    <t xml:space="preserve">DR Bus&amp;Bahn&amp;Flug</t>
  </si>
  <si>
    <t xml:space="preserve">Zahl ICEV Fzge</t>
  </si>
  <si>
    <t xml:space="preserve">DR MIV</t>
  </si>
  <si>
    <t xml:space="preserve">Strecke pro Fahrzeug pro Jahr</t>
  </si>
  <si>
    <t xml:space="preserve">km</t>
  </si>
  <si>
    <t xml:space="preserve">Pendelstrecke</t>
  </si>
  <si>
    <t xml:space="preserve">Km / Tag</t>
  </si>
  <si>
    <t xml:space="preserve">Arbeitstage/Jahr</t>
  </si>
  <si>
    <t xml:space="preserve">Dienstreisen pro MA pro Jahr</t>
  </si>
  <si>
    <t xml:space="preserve">Mittlere DR-Distanz</t>
  </si>
  <si>
    <r>
      <rPr>
        <b val="true"/>
        <sz val="10"/>
        <rFont val="Arial"/>
        <family val="2"/>
      </rPr>
      <t xml:space="preserve">Szenario MIV
</t>
    </r>
    <r>
      <rPr>
        <sz val="10"/>
        <rFont val="Arial"/>
        <family val="2"/>
      </rPr>
      <t xml:space="preserve">Alle Fahrten mit Fahrzeug, 1Pax pro Fzg</t>
    </r>
  </si>
  <si>
    <r>
      <rPr>
        <b val="true"/>
        <sz val="10"/>
        <rFont val="Arial"/>
        <family val="2"/>
      </rPr>
      <t xml:space="preserve">Szenario Green Mob
</t>
    </r>
    <r>
      <rPr>
        <sz val="10"/>
        <rFont val="Arial"/>
        <family val="2"/>
      </rPr>
      <t xml:space="preserve">Pendeln und Dienstreisen mit Bus&amp;Bahn</t>
    </r>
  </si>
  <si>
    <r>
      <rPr>
        <b val="true"/>
        <sz val="10"/>
        <rFont val="Arial"/>
        <family val="2"/>
      </rPr>
      <t xml:space="preserve">Szenario Active Mob
</t>
    </r>
    <r>
      <rPr>
        <sz val="10"/>
        <rFont val="Arial"/>
        <family val="2"/>
      </rPr>
      <t xml:space="preserve">Pendeln mit Fahrrad, DR mit Bus&amp;Bahn</t>
    </r>
  </si>
  <si>
    <t xml:space="preserve">Mischszenario</t>
  </si>
  <si>
    <t xml:space="preserve">Benzinverbrauch</t>
  </si>
  <si>
    <t xml:space="preserve">l/100km</t>
  </si>
  <si>
    <t xml:space="preserve">CO2-Preis</t>
  </si>
  <si>
    <t xml:space="preserve">€/t</t>
  </si>
  <si>
    <t xml:space="preserve">Pendeln</t>
  </si>
  <si>
    <t xml:space="preserve">CO2 Preis Zukunft</t>
  </si>
  <si>
    <t xml:space="preserve">Gesamtstrecke</t>
  </si>
  <si>
    <t xml:space="preserve">km/Jahr</t>
  </si>
  <si>
    <t xml:space="preserve">KM-Pauschale</t>
  </si>
  <si>
    <t xml:space="preserve">€/km</t>
  </si>
  <si>
    <t xml:space="preserve">Emissionen</t>
  </si>
  <si>
    <t xml:space="preserve">t/Jahr</t>
  </si>
  <si>
    <t xml:space="preserve">KM-Preis Bahn</t>
  </si>
  <si>
    <t xml:space="preserve">Kosten Fahrzeug</t>
  </si>
  <si>
    <t xml:space="preserve">€/Jahr</t>
  </si>
  <si>
    <t xml:space="preserve">Kosten Ticket</t>
  </si>
  <si>
    <t xml:space="preserve">Kosten Jobrad</t>
  </si>
  <si>
    <t xml:space="preserve">Kosten Pendeln</t>
  </si>
  <si>
    <t xml:space="preserve">Preis Jobrad/Monat</t>
  </si>
  <si>
    <t xml:space="preserve">€</t>
  </si>
  <si>
    <t xml:space="preserve">Kosten Kompensation</t>
  </si>
  <si>
    <t xml:space="preserve">Preis pro Flugkilometer</t>
  </si>
  <si>
    <t xml:space="preserve">Gesamtkosten Pendeln</t>
  </si>
  <si>
    <t xml:space="preserve">Emissionswerte pro Energie</t>
  </si>
  <si>
    <t xml:space="preserve">Dienstreisen nicht Pool</t>
  </si>
  <si>
    <t xml:space="preserve">Benzin</t>
  </si>
  <si>
    <t xml:space="preserve">kg/l</t>
  </si>
  <si>
    <t xml:space="preserve">Diesel</t>
  </si>
  <si>
    <t xml:space="preserve">Strommix</t>
  </si>
  <si>
    <t xml:space="preserve">kg/kWh</t>
  </si>
  <si>
    <t xml:space="preserve">Kosten DR</t>
  </si>
  <si>
    <t xml:space="preserve">Emissionswerte pro km</t>
  </si>
  <si>
    <t xml:space="preserve">Gesamtkosten DR</t>
  </si>
  <si>
    <t xml:space="preserve">ÖPNV</t>
  </si>
  <si>
    <t xml:space="preserve">kg/km</t>
  </si>
  <si>
    <t xml:space="preserve">Flugzeug</t>
  </si>
  <si>
    <t xml:space="preserve">Poolfahrzeuge</t>
  </si>
  <si>
    <t xml:space="preserve">Pedelec</t>
  </si>
  <si>
    <t xml:space="preserve">Fernzug</t>
  </si>
  <si>
    <t xml:space="preserve">Fahrrad</t>
  </si>
  <si>
    <t xml:space="preserve">efzg</t>
  </si>
  <si>
    <t xml:space="preserve">Gesamtkosten Pool</t>
  </si>
  <si>
    <t xml:space="preserve">Mob-Kosten Unternehmen</t>
  </si>
  <si>
    <t xml:space="preserve">Kompensation Unternehmen</t>
  </si>
  <si>
    <t xml:space="preserve">Mob-Kosten Privat</t>
  </si>
  <si>
    <t xml:space="preserve">€/Jahr/MA</t>
  </si>
  <si>
    <t xml:space="preserve">CO2-Ausstoß Gesamt</t>
  </si>
  <si>
    <t xml:space="preserve">Kompensationszahlung</t>
  </si>
  <si>
    <t xml:space="preserve">CO2-Ausstoß pro MA</t>
  </si>
  <si>
    <t xml:space="preserve">kg/Jahr</t>
  </si>
  <si>
    <t xml:space="preserve">CO2-Ausstoß Gespart gg MIV</t>
  </si>
  <si>
    <t xml:space="preserve">kg/Jahr/MA</t>
  </si>
  <si>
    <t xml:space="preserve">Kosten gespart gg MIV</t>
  </si>
  <si>
    <t xml:space="preserve">/Jahr</t>
  </si>
  <si>
    <t xml:space="preserve">Kosten Fahrzeug ICEV 20.000€</t>
  </si>
  <si>
    <t xml:space="preserve">Kosten Fahrzeug ICEV 50.000€</t>
  </si>
  <si>
    <t xml:space="preserve">Kosten Fahrzeug E e-Golf</t>
  </si>
  <si>
    <t xml:space="preserve">Kosten Fahrzeug E Tesla 3</t>
  </si>
  <si>
    <t xml:space="preserve">Carsharing DriveNow</t>
  </si>
  <si>
    <t xml:space="preserve">Anschaffungspreis</t>
  </si>
  <si>
    <t xml:space="preserve">Minutenpreis</t>
  </si>
  <si>
    <t xml:space="preserve">Werverlust / Jahr rel</t>
  </si>
  <si>
    <t xml:space="preserve">Avg. Speed Stadtverkehr km/h</t>
  </si>
  <si>
    <t xml:space="preserve">Werverlust / Jahr abs</t>
  </si>
  <si>
    <t xml:space="preserve">Avg. Speed Überland km/h</t>
  </si>
  <si>
    <t xml:space="preserve">km pro Jahr</t>
  </si>
  <si>
    <t xml:space="preserve">Anteil Stadt km</t>
  </si>
  <si>
    <t xml:space="preserve">Werkstattkosten / Monat</t>
  </si>
  <si>
    <t xml:space="preserve">Anteil Überland km</t>
  </si>
  <si>
    <t xml:space="preserve">Werkstattkosten /Jahr</t>
  </si>
  <si>
    <t xml:space="preserve">Fixkosten/Monat</t>
  </si>
  <si>
    <t xml:space="preserve">Fahrtdauer pro Jahr in Minuten</t>
  </si>
  <si>
    <t xml:space="preserve">Fixkosten/Jahr</t>
  </si>
  <si>
    <t xml:space="preserve">Verbrauch Benzin l/100</t>
  </si>
  <si>
    <t xml:space="preserve">Spritpreis / l</t>
  </si>
  <si>
    <t xml:space="preserve">Stromkosten ct/kWh</t>
  </si>
  <si>
    <t xml:space="preserve">Verbrauch Strom kWh/100</t>
  </si>
  <si>
    <t xml:space="preserve">Verbrauch </t>
  </si>
  <si>
    <t xml:space="preserve">Verbrauch kWh/100 km</t>
  </si>
  <si>
    <t xml:space="preserve">Kg Co2 pro l Benzin</t>
  </si>
  <si>
    <t xml:space="preserve">Spritkosten pro Jahr</t>
  </si>
  <si>
    <t xml:space="preserve">kg Co2 pro kWh</t>
  </si>
  <si>
    <t xml:space="preserve">dt. Strommix</t>
  </si>
  <si>
    <t xml:space="preserve">Gesamtkosten pro Jahr</t>
  </si>
  <si>
    <t xml:space="preserve">Kosten pro km</t>
  </si>
  <si>
    <t xml:space="preserve">CO2 pro Jahr in kg</t>
  </si>
  <si>
    <t xml:space="preserve">CO2 pro Jahr in kg ICEV</t>
  </si>
  <si>
    <t xml:space="preserve">CO2 pro Jahr in kg E-Fzg</t>
  </si>
  <si>
    <t xml:space="preserve">MID 2017 Shares und Distanzen</t>
  </si>
  <si>
    <t xml:space="preserve">Merge Shares und Distanzen</t>
  </si>
  <si>
    <t xml:space="preserve">Eigenes Fahrrad</t>
  </si>
  <si>
    <t xml:space="preserve">Jobrad</t>
  </si>
  <si>
    <t xml:space="preserve">Dienstrad</t>
  </si>
  <si>
    <t xml:space="preserve">Eigenes Efzg
Dienstefzg</t>
  </si>
  <si>
    <t xml:space="preserve">Eigenes ICEV
Dienstfahrzeug</t>
  </si>
  <si>
    <t xml:space="preserve">Poolfahrzeug</t>
  </si>
  <si>
    <t xml:space="preserve">Carsharing</t>
  </si>
  <si>
    <t xml:space="preserve">Bahn</t>
  </si>
  <si>
    <t xml:space="preserve">Km-Faktor </t>
  </si>
  <si>
    <t xml:space="preserve">Eigenes Fzg</t>
  </si>
  <si>
    <t xml:space="preserve">
Dienstfahrzeug</t>
  </si>
  <si>
    <t xml:space="preserve">Pendelstrecke km avg</t>
  </si>
  <si>
    <t xml:space="preserve">Dienstlich</t>
  </si>
  <si>
    <t xml:space="preserve">DR-Strecke km avg</t>
  </si>
  <si>
    <t xml:space="preserve">BMW Studie 2017</t>
  </si>
  <si>
    <t xml:space="preserve">Befragung Fuhrparkmanagmer</t>
  </si>
  <si>
    <t xml:space="preserve">Einfache Streckenlängen</t>
  </si>
  <si>
    <t xml:space="preserve">ICEV</t>
  </si>
  <si>
    <t xml:space="preserve">Elektro</t>
  </si>
  <si>
    <t xml:space="preserve">bis 100km</t>
  </si>
  <si>
    <t xml:space="preserve">100 bis 200 km</t>
  </si>
  <si>
    <t xml:space="preserve">200km plus</t>
  </si>
  <si>
    <t xml:space="preserve">Einfache Streckenlängen II (alle fzg)</t>
  </si>
  <si>
    <t xml:space="preserve">200 km plus</t>
  </si>
  <si>
    <t xml:space="preserve">100 – 200</t>
  </si>
  <si>
    <t xml:space="preserve">50 bis 100</t>
  </si>
  <si>
    <t xml:space="preserve">5 bis 50</t>
  </si>
  <si>
    <t xml:space="preserve">Unter 5</t>
  </si>
  <si>
    <t xml:space="preserve">Gesamt</t>
  </si>
  <si>
    <t xml:space="preserve"> Flottenzusammensetzung 2016</t>
  </si>
  <si>
    <t xml:space="preserve">PHEV</t>
  </si>
  <si>
    <t xml:space="preserve">REX</t>
  </si>
  <si>
    <t xml:space="preserve">BEV</t>
  </si>
  <si>
    <t xml:space="preserve">gas</t>
  </si>
  <si>
    <t xml:space="preserve">FCEV</t>
  </si>
  <si>
    <t xml:space="preserve">Forecast Flottenzusammensetzung 2020</t>
  </si>
  <si>
    <t xml:space="preserve">Dienstwagen Fahrleistung (werktag)</t>
  </si>
  <si>
    <t xml:space="preserve">100 km plus</t>
  </si>
  <si>
    <t xml:space="preserve">76-100</t>
  </si>
  <si>
    <t xml:space="preserve">51-75</t>
  </si>
  <si>
    <t xml:space="preserve">26-50</t>
  </si>
  <si>
    <t xml:space="preserve">Bis 25</t>
  </si>
  <si>
    <t xml:space="preserve">Schnitt</t>
  </si>
  <si>
    <t xml:space="preserve">Jahresfahrleistung Dienstwagen</t>
  </si>
  <si>
    <t xml:space="preserve">30.000 km plus</t>
  </si>
  <si>
    <t xml:space="preserve">20-30.000</t>
  </si>
  <si>
    <t xml:space="preserve">15-20.000</t>
  </si>
  <si>
    <t xml:space="preserve">10-15000</t>
  </si>
  <si>
    <t xml:space="preserve">5-10000</t>
  </si>
  <si>
    <t xml:space="preserve">Unter 5000</t>
  </si>
  <si>
    <t xml:space="preserve">Fahrleistung Poolfahrzeuge</t>
  </si>
  <si>
    <t xml:space="preserve">IFMO Long-distance MobiLityCurrent Trends and Future Perspectives</t>
  </si>
  <si>
    <t xml:space="preserve">0-5</t>
  </si>
  <si>
    <t xml:space="preserve">5-10</t>
  </si>
  <si>
    <t xml:space="preserve">10-15</t>
  </si>
  <si>
    <t xml:space="preserve">Studie1</t>
  </si>
  <si>
    <t xml:space="preserve">Auto</t>
  </si>
  <si>
    <t xml:space="preserve">Bemerkung</t>
  </si>
  <si>
    <t xml:space="preserve">Landwirtschaft</t>
  </si>
  <si>
    <t xml:space="preserve">Studie2</t>
  </si>
  <si>
    <t xml:space="preserve">Stadtverkehr</t>
  </si>
  <si>
    <t xml:space="preserve">Studie3</t>
  </si>
  <si>
    <t xml:space="preserve">Verkerhsmittel Shares MID</t>
  </si>
  <si>
    <t xml:space="preserve">Eigenes Efzg</t>
  </si>
  <si>
    <t xml:space="preserve">Eigenes ICEV</t>
  </si>
  <si>
    <t xml:space="preserve">Summe</t>
  </si>
  <si>
    <t xml:space="preserve">Unternehmen A</t>
  </si>
  <si>
    <t xml:space="preserve">MA</t>
  </si>
  <si>
    <t xml:space="preserve">Dienstliche Wege/d/MA</t>
  </si>
  <si>
    <t xml:space="preserve">Pendelverkehr</t>
  </si>
  <si>
    <t xml:space="preserve">Arbeitstage pro Jahr</t>
  </si>
  <si>
    <t xml:space="preserve">Fahrzeug km</t>
  </si>
  <si>
    <t xml:space="preserve">Avg. Länge dienstlicher Weg</t>
  </si>
  <si>
    <t xml:space="preserve">Fahrrad km</t>
  </si>
  <si>
    <t xml:space="preserve">Avg. Pendelkweg</t>
  </si>
  <si>
    <t xml:space="preserve">ÖPV km</t>
  </si>
  <si>
    <t xml:space="preserve">Dienstreisen</t>
  </si>
  <si>
    <t xml:space="preserve">Kosten Dienstfahrrad</t>
  </si>
  <si>
    <t xml:space="preserve">Gesamt DR/d</t>
  </si>
  <si>
    <t xml:space="preserve">Gesamt DR/Jahr </t>
  </si>
  <si>
    <t xml:space="preserve">Werkstattkosten/Monat</t>
  </si>
  <si>
    <t xml:space="preserve">Abschreibung auf </t>
  </si>
  <si>
    <t xml:space="preserve">Jahre</t>
  </si>
  <si>
    <t xml:space="preserve">Abschr pro Jahr</t>
  </si>
  <si>
    <t xml:space="preserve">Gesamtkosten/Jahr</t>
  </si>
  <si>
    <t xml:space="preserve">km leistung</t>
  </si>
  <si>
    <t xml:space="preserve">Fahrzeugpool</t>
  </si>
  <si>
    <t xml:space="preserve">km preis</t>
  </si>
  <si>
    <t xml:space="preserve">Anzahl Fahrzeuge</t>
  </si>
  <si>
    <t xml:space="preserve">Km-Preis </t>
  </si>
  <si>
    <t xml:space="preserve">KM-Leistung pro Fzg</t>
  </si>
  <si>
    <t xml:space="preserve">Typ</t>
  </si>
  <si>
    <t xml:space="preserve">Kompaktklasse</t>
  </si>
  <si>
    <t xml:space="preserve">Anzahl Fahrräder</t>
  </si>
  <si>
    <t xml:space="preserve">Ergebnis</t>
  </si>
  <si>
    <t xml:space="preserve">Co2</t>
  </si>
  <si>
    <t xml:space="preserve">Kosten</t>
  </si>
  <si>
    <t xml:space="preserve">Fahrzeug</t>
  </si>
  <si>
    <t xml:space="preserve">ÖPV</t>
  </si>
  <si>
    <t xml:space="preserve">Preise Pro Verkehrsmittel</t>
  </si>
  <si>
    <t xml:space="preserve">Preis Monatsticket</t>
  </si>
  <si>
    <t xml:space="preserve">Km-Pauschale Fzg</t>
  </si>
  <si>
    <t xml:space="preserve">Aktiv ()</t>
  </si>
  <si>
    <t xml:space="preserve">Delta</t>
  </si>
  <si>
    <t xml:space="preserve">Delta Rel</t>
  </si>
  <si>
    <t xml:space="preserve">Gesamt Fahrzeug km</t>
  </si>
  <si>
    <t xml:space="preserve">Davon Pendelstrecke mit Privatwagen</t>
  </si>
  <si>
    <t xml:space="preserve">Zusamensetzung Poolfahrzeuge</t>
  </si>
  <si>
    <t xml:space="preserve">Davon Pendelstrecke mit Dienstwagen</t>
  </si>
  <si>
    <t xml:space="preserve">ICEV Günstig</t>
  </si>
  <si>
    <t xml:space="preserve">ICEV Teuer</t>
  </si>
  <si>
    <t xml:space="preserve">Arbeitstage pro Jahr/MA</t>
  </si>
  <si>
    <t xml:space="preserve">Sprinter /Transp</t>
  </si>
  <si>
    <t xml:space="preserve">E Günstig</t>
  </si>
  <si>
    <t xml:space="preserve">E Teuer</t>
  </si>
  <si>
    <t xml:space="preserve">E Transporter</t>
  </si>
  <si>
    <t xml:space="preserve">FIRMENWAGENMONITOR  2018</t>
  </si>
  <si>
    <t xml:space="preserve">Keine Quelle bisher, je nach Betrieb</t>
  </si>
  <si>
    <t xml:space="preserve">N Dienstreisen mit Dienstwagen</t>
  </si>
  <si>
    <t xml:space="preserve">Anteil MA mit Dienstwagen</t>
  </si>
  <si>
    <t xml:space="preserve">N Dienstreisen mit Poolfzg</t>
  </si>
  <si>
    <t xml:space="preserve">Anteil MA ohne Dienstwagen</t>
  </si>
  <si>
    <t xml:space="preserve">N Dienstreisen mit ÖPNV</t>
  </si>
  <si>
    <t xml:space="preserve">Brutto Preis Führungsperson DW</t>
  </si>
  <si>
    <t xml:space="preserve">Zusammensetzung Dienstwagenflotte</t>
  </si>
  <si>
    <t xml:space="preserve">N Dienstreisen mit Fahrrad</t>
  </si>
  <si>
    <t xml:space="preserve">Brutto Preis Fachkraft DW</t>
  </si>
  <si>
    <t xml:space="preserve">N Dienstreisen mit Flugzeug</t>
  </si>
  <si>
    <t xml:space="preserve">Je nach Branche sehr unterschiedlich</t>
  </si>
  <si>
    <t xml:space="preserve">N Dienstreisen mit Bahn</t>
  </si>
  <si>
    <t xml:space="preserve">N Dienstreisen mit PrivatPkw</t>
  </si>
  <si>
    <t xml:space="preserve">Gesamt km DR mit Dienstwagen</t>
  </si>
  <si>
    <t xml:space="preserve">Gesamt km DR mit Poolfzge</t>
  </si>
  <si>
    <t xml:space="preserve">Gesamt km DR mi ÖPV</t>
  </si>
  <si>
    <t xml:space="preserve">Gesamt km DR Fahrrad</t>
  </si>
  <si>
    <t xml:space="preserve">Gesamt km DR Flugzeug</t>
  </si>
  <si>
    <t xml:space="preserve">Gesamt km DR Bahn</t>
  </si>
  <si>
    <t xml:space="preserve">Gesamt km DR PrivatPkw</t>
  </si>
  <si>
    <t xml:space="preserve">Dienstwagenflotte</t>
  </si>
  <si>
    <t xml:space="preserve">Km-Leistung/Fzg</t>
  </si>
  <si>
    <t xml:space="preserve">Anzahl Dienstwagen</t>
  </si>
  <si>
    <t xml:space="preserve">N ICEV Günstig</t>
  </si>
  <si>
    <t xml:space="preserve">N ICEV Teuer</t>
  </si>
  <si>
    <t xml:space="preserve">N E Günstig</t>
  </si>
  <si>
    <t xml:space="preserve">N E Teuer</t>
  </si>
  <si>
    <t xml:space="preserve">Kosten Fahrzeug ICEV Günstig (diesel)</t>
  </si>
  <si>
    <t xml:space="preserve">Kosten Fahrzeug ICEV Günstig</t>
  </si>
  <si>
    <t xml:space="preserve">Ziel km-Leistung</t>
  </si>
  <si>
    <t xml:space="preserve">Abschreibung auf Jahre</t>
  </si>
  <si>
    <t xml:space="preserve">Anzahl</t>
  </si>
  <si>
    <t xml:space="preserve">Restwert</t>
  </si>
  <si>
    <t xml:space="preserve">N Sprinter /Transp</t>
  </si>
  <si>
    <t xml:space="preserve">N E Transporter</t>
  </si>
  <si>
    <t xml:space="preserve">N Fahrräder</t>
  </si>
  <si>
    <t xml:space="preserve">Co2 (kg)</t>
  </si>
  <si>
    <t xml:space="preserve">CO2 pro km in kg</t>
  </si>
  <si>
    <t xml:space="preserve">Fahrzeug Privat</t>
  </si>
  <si>
    <t xml:space="preserve">davon Dienstwagen</t>
  </si>
  <si>
    <t xml:space="preserve">Kosten Fahrzeug ICEV Teuer</t>
  </si>
  <si>
    <t xml:space="preserve">PrivatPkw</t>
  </si>
  <si>
    <t xml:space="preserve">Pro MA</t>
  </si>
  <si>
    <t xml:space="preserve">Kosten Fahrzeug ICEV Sprinter (Diesel)</t>
  </si>
  <si>
    <t xml:space="preserve">Kosten Fahrzeug E e-Golf (günstig)</t>
  </si>
  <si>
    <t xml:space="preserve">Kosten Fahrzeug Tesla3 (teuer)</t>
  </si>
  <si>
    <t xml:space="preserve">Kosten Fahrzeug E Sprinter</t>
  </si>
  <si>
    <t xml:space="preserve">Preis ÖPNV pro km</t>
  </si>
  <si>
    <t xml:space="preserve">Gespart vgl. Zu A</t>
  </si>
  <si>
    <t xml:space="preserve">Gespart vgl. Zu A, relativ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</si>
</sst>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%"/>
    <numFmt numFmtId="166" formatCode="#,##0.00[$€-633];[RED]\-#,##0.00[$€-633]"/>
    <numFmt numFmtId="167" formatCode="#,##0.00\ [$€-407];[RED]\-#,##0.00\ [$€-407]"/>
    <numFmt numFmtId="168" formatCode="#,##0.00"/>
    <numFmt numFmtId="169" formatCode="#,##0.00\ [$€-816];[RED]\-#,##0.00\ [$€-816]"/>
    <numFmt numFmtId="170" formatCode="#,##0.00\ [$€-408];[RED]\-#,##0.00\ [$€-408]"/>
    <numFmt numFmtId="171" formatCode="[$€-410]\ #,##0.00;[RED]\-[$€-410]\ #,##0.00"/>
    <numFmt numFmtId="172" formatCode="General"/>
    <numFmt numFmtId="173" formatCode="#,##0.00\ [$€-41B];[RED]\-#,##0.00\ [$€-41B]"/>
    <numFmt numFmtId="174" formatCode="[$$-409]#,##0.00;[RED]\-[$$-409]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i val="true"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7D7"/>
        <bgColor rgb="FFFFDBB6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  <fill>
      <patternFill patternType="solid">
        <fgColor rgb="FFFFF5CE"/>
        <bgColor rgb="FFF6F9D4"/>
      </patternFill>
    </fill>
    <fill>
      <patternFill patternType="solid">
        <fgColor rgb="FF158466"/>
        <bgColor rgb="FF008080"/>
      </patternFill>
    </fill>
    <fill>
      <patternFill patternType="solid">
        <fgColor rgb="FFB4C7DC"/>
        <bgColor rgb="FFB3B3B3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DEE6EF"/>
      </patternFill>
    </fill>
    <fill>
      <patternFill patternType="solid">
        <fgColor rgb="FFE0C2CD"/>
        <bgColor rgb="FFFFD7D7"/>
      </patternFill>
    </fill>
    <fill>
      <patternFill patternType="solid">
        <fgColor rgb="FF729FCF"/>
        <bgColor rgb="FF808080"/>
      </patternFill>
    </fill>
    <fill>
      <patternFill patternType="solid">
        <fgColor rgb="FFF6F9D4"/>
        <bgColor rgb="FFFFF5CE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>
        <color rgb="FFFFFFFF"/>
      </top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4C7DC"/>
      <rgbColor rgb="FF808080"/>
      <rgbColor rgb="FF729FCF"/>
      <rgbColor rgb="FF993366"/>
      <rgbColor rgb="FFF6F9D4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5CE"/>
      <rgbColor rgb="FF83CAFF"/>
      <rgbColor rgb="FFFFD7D7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 Share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Rechner1!$G$14,Rechner1!$G$21,Rechner1!$G$28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Rechner1!$H$16,Rechner1!$H$23,Rechner1!$H$30</c:f>
              <c:numCache>
                <c:formatCode>General</c:formatCode>
                <c:ptCount val="3"/>
                <c:pt idx="0">
                  <c:v>234</c:v>
                </c:pt>
                <c:pt idx="1">
                  <c:v>135</c:v>
                </c:pt>
                <c:pt idx="2">
                  <c:v>30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 Share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Rechner1!$K$14,Rechner1!$K$21,Rechner1!$K$28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Rechner1!$L$16,Rechner1!$L$23,Rechner1!$L$30</c:f>
              <c:numCache>
                <c:formatCode>General</c:formatCode>
                <c:ptCount val="3"/>
                <c:pt idx="0">
                  <c:v>117</c:v>
                </c:pt>
                <c:pt idx="1">
                  <c:v>24.03</c:v>
                </c:pt>
                <c:pt idx="2">
                  <c:v>30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 Share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Rechner1!$O$14,Rechner1!$O$21,Rechner1!$O$28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Rechner1!$P$16,Rechner1!$P$23,Rechner1!$P$30</c:f>
              <c:numCache>
                <c:formatCode>General</c:formatCode>
                <c:ptCount val="3"/>
                <c:pt idx="0">
                  <c:v>0</c:v>
                </c:pt>
                <c:pt idx="1">
                  <c:v>24.03</c:v>
                </c:pt>
                <c:pt idx="2">
                  <c:v>30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 Share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Rechner1!$S$14,Rechner1!$S$21,Rechner1!$S$28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Rechner1!$T$16,Rechner1!$T$23,Rechner1!$T$30</c:f>
              <c:numCache>
                <c:formatCode>General</c:formatCode>
                <c:ptCount val="3"/>
                <c:pt idx="0">
                  <c:v>164.97</c:v>
                </c:pt>
                <c:pt idx="1">
                  <c:v>103.8933</c:v>
                </c:pt>
                <c:pt idx="2">
                  <c:v>30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Rechner1!$G$14,Rechner1!$G$21,Rechner1!$G$28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Rechner1!$H$16,Rechner1!$H$23,Rechner1!$H$30</c:f>
              <c:numCache>
                <c:formatCode>General</c:formatCode>
                <c:ptCount val="3"/>
                <c:pt idx="0">
                  <c:v>234</c:v>
                </c:pt>
                <c:pt idx="1">
                  <c:v>135</c:v>
                </c:pt>
                <c:pt idx="2">
                  <c:v>30</c:v>
                </c:pt>
              </c:numCache>
            </c:numRef>
          </c:val>
        </c:ser>
        <c:gapWidth val="100"/>
        <c:overlap val="0"/>
        <c:axId val="8227484"/>
        <c:axId val="35448327"/>
      </c:barChart>
      <c:catAx>
        <c:axId val="8227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48327"/>
        <c:crosses val="autoZero"/>
        <c:auto val="1"/>
        <c:lblAlgn val="ctr"/>
        <c:lblOffset val="100"/>
        <c:noMultiLvlLbl val="0"/>
      </c:catAx>
      <c:valAx>
        <c:axId val="35448327"/>
        <c:scaling>
          <c:orientation val="minMax"/>
          <c:max val="25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74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Rechner1!$K$14,Rechner1!$K$21,Rechner1!$K$28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Rechner1!$L$16,Rechner1!$L$23,Rechner1!$L$30</c:f>
              <c:numCache>
                <c:formatCode>General</c:formatCode>
                <c:ptCount val="3"/>
                <c:pt idx="0">
                  <c:v>117</c:v>
                </c:pt>
                <c:pt idx="1">
                  <c:v>24.03</c:v>
                </c:pt>
                <c:pt idx="2">
                  <c:v>30</c:v>
                </c:pt>
              </c:numCache>
            </c:numRef>
          </c:val>
        </c:ser>
        <c:gapWidth val="100"/>
        <c:overlap val="0"/>
        <c:axId val="29593822"/>
        <c:axId val="17027717"/>
      </c:barChart>
      <c:catAx>
        <c:axId val="295938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27717"/>
        <c:crosses val="autoZero"/>
        <c:auto val="1"/>
        <c:lblAlgn val="ctr"/>
        <c:lblOffset val="100"/>
        <c:noMultiLvlLbl val="0"/>
      </c:catAx>
      <c:valAx>
        <c:axId val="17027717"/>
        <c:scaling>
          <c:orientation val="minMax"/>
          <c:max val="25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938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Rechner1!$O$14,Rechner1!$O$21,Rechner1!$O$28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Rechner1!$P$16,Rechner1!$P$23,Rechner1!$P$30</c:f>
              <c:numCache>
                <c:formatCode>General</c:formatCode>
                <c:ptCount val="3"/>
                <c:pt idx="0">
                  <c:v>0</c:v>
                </c:pt>
                <c:pt idx="1">
                  <c:v>24.03</c:v>
                </c:pt>
                <c:pt idx="2">
                  <c:v>30</c:v>
                </c:pt>
              </c:numCache>
            </c:numRef>
          </c:val>
        </c:ser>
        <c:gapWidth val="100"/>
        <c:overlap val="0"/>
        <c:axId val="66146656"/>
        <c:axId val="34607234"/>
      </c:barChart>
      <c:catAx>
        <c:axId val="661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07234"/>
        <c:crosses val="autoZero"/>
        <c:auto val="1"/>
        <c:lblAlgn val="ctr"/>
        <c:lblOffset val="100"/>
        <c:noMultiLvlLbl val="0"/>
      </c:catAx>
      <c:valAx>
        <c:axId val="34607234"/>
        <c:scaling>
          <c:orientation val="minMax"/>
          <c:max val="25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466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CO2 Emissionen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Rechner1!$S$14,Rechner1!$S$21,Rechner1!$S$28</c:f>
              <c:multiLvlStrCache>
                <c:ptCount val="1"/>
                <c:lvl>
                  <c:pt idx="0">
                    <c:v>Poolfahrzeuge</c:v>
                  </c:pt>
                </c:lvl>
                <c:lvl>
                  <c:pt idx="0">
                    <c:v>Dienstreisen nicht Pool</c:v>
                  </c:pt>
                </c:lvl>
                <c:lvl>
                  <c:pt idx="0">
                    <c:v>Pendeln</c:v>
                  </c:pt>
                </c:lvl>
              </c:multiLvlStrCache>
            </c:multiLvlStrRef>
          </c:cat>
          <c:val>
            <c:numRef>
              <c:f>Rechner1!$T$16,Rechner1!$T$23,Rechner1!$T$30</c:f>
              <c:numCache>
                <c:formatCode>General</c:formatCode>
                <c:ptCount val="3"/>
                <c:pt idx="0">
                  <c:v>164.97</c:v>
                </c:pt>
                <c:pt idx="1">
                  <c:v>103.8933</c:v>
                </c:pt>
                <c:pt idx="2">
                  <c:v>30</c:v>
                </c:pt>
              </c:numCache>
            </c:numRef>
          </c:val>
        </c:ser>
        <c:gapWidth val="100"/>
        <c:overlap val="0"/>
        <c:axId val="53843441"/>
        <c:axId val="90069943"/>
      </c:barChart>
      <c:catAx>
        <c:axId val="53843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69943"/>
        <c:crosses val="autoZero"/>
        <c:auto val="1"/>
        <c:lblAlgn val="ctr"/>
        <c:lblOffset val="100"/>
        <c:noMultiLvlLbl val="0"/>
      </c:catAx>
      <c:valAx>
        <c:axId val="90069943"/>
        <c:scaling>
          <c:orientation val="minMax"/>
          <c:max val="25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434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'Zahlen Sammlung'!$B$48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'Zahlen Sammlung'!$A$49:$A$53</c:f>
              <c:strCache>
                <c:ptCount val="5"/>
                <c:pt idx="0">
                  <c:v>100 km plus</c:v>
                </c:pt>
                <c:pt idx="1">
                  <c:v>76-100</c:v>
                </c:pt>
                <c:pt idx="2">
                  <c:v>51-75</c:v>
                </c:pt>
                <c:pt idx="3">
                  <c:v>26-50</c:v>
                </c:pt>
                <c:pt idx="4">
                  <c:v>Bis 25</c:v>
                </c:pt>
              </c:strCache>
            </c:strRef>
          </c:cat>
          <c:val>
            <c:numRef>
              <c:f>'Zahlen Sammlung'!$B$49:$B$53</c:f>
              <c:numCache>
                <c:formatCode>General</c:formatCode>
                <c:ptCount val="5"/>
                <c:pt idx="0">
                  <c:v>0.21</c:v>
                </c:pt>
                <c:pt idx="1">
                  <c:v>0.2</c:v>
                </c:pt>
                <c:pt idx="2">
                  <c:v>0.12</c:v>
                </c:pt>
                <c:pt idx="3">
                  <c:v>0.26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'Zahlen Sammlung'!$C$48</c:f>
              <c:strCache>
                <c:ptCount val="1"/>
                <c:pt idx="0">
                  <c:v>Elektro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'Zahlen Sammlung'!$A$49:$A$53</c:f>
              <c:strCache>
                <c:ptCount val="5"/>
                <c:pt idx="0">
                  <c:v>100 km plus</c:v>
                </c:pt>
                <c:pt idx="1">
                  <c:v>76-100</c:v>
                </c:pt>
                <c:pt idx="2">
                  <c:v>51-75</c:v>
                </c:pt>
                <c:pt idx="3">
                  <c:v>26-50</c:v>
                </c:pt>
                <c:pt idx="4">
                  <c:v>Bis 25</c:v>
                </c:pt>
              </c:strCache>
            </c:strRef>
          </c:cat>
          <c:val>
            <c:numRef>
              <c:f>'Zahlen Sammlung'!$C$49:$C$53</c:f>
              <c:numCache>
                <c:formatCode>General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0.16</c:v>
                </c:pt>
                <c:pt idx="3">
                  <c:v>0.38</c:v>
                </c:pt>
                <c:pt idx="4">
                  <c:v>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539039"/>
        <c:axId val="85931932"/>
      </c:lineChart>
      <c:catAx>
        <c:axId val="93539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31932"/>
        <c:crosses val="autoZero"/>
        <c:auto val="1"/>
        <c:lblAlgn val="ctr"/>
        <c:lblOffset val="100"/>
        <c:noMultiLvlLbl val="0"/>
      </c:catAx>
      <c:valAx>
        <c:axId val="859319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390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'Zahlen Sammlung'!$B$76:$B$77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'Zahlen Sammlung'!$A$78:$A$82</c:f>
              <c:strCache>
                <c:ptCount val="5"/>
                <c:pt idx="0">
                  <c:v>100 km plus</c:v>
                </c:pt>
                <c:pt idx="1">
                  <c:v>76-100</c:v>
                </c:pt>
                <c:pt idx="2">
                  <c:v>51-75</c:v>
                </c:pt>
                <c:pt idx="3">
                  <c:v>26-50</c:v>
                </c:pt>
                <c:pt idx="4">
                  <c:v>Bis 25</c:v>
                </c:pt>
              </c:strCache>
            </c:strRef>
          </c:cat>
          <c:val>
            <c:numRef>
              <c:f>'Zahlen Sammlung'!$B$78:$B$82</c:f>
              <c:numCache>
                <c:formatCode>General</c:formatCode>
                <c:ptCount val="5"/>
                <c:pt idx="0">
                  <c:v>0.19</c:v>
                </c:pt>
                <c:pt idx="1">
                  <c:v>0.07</c:v>
                </c:pt>
                <c:pt idx="2">
                  <c:v>0.08</c:v>
                </c:pt>
                <c:pt idx="3">
                  <c:v>0.21</c:v>
                </c:pt>
                <c:pt idx="4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'Zahlen Sammlung'!$C$76:$C$77</c:f>
              <c:strCache>
                <c:ptCount val="1"/>
                <c:pt idx="0">
                  <c:v>Elektro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'Zahlen Sammlung'!$A$78:$A$82</c:f>
              <c:strCache>
                <c:ptCount val="5"/>
                <c:pt idx="0">
                  <c:v>100 km plus</c:v>
                </c:pt>
                <c:pt idx="1">
                  <c:v>76-100</c:v>
                </c:pt>
                <c:pt idx="2">
                  <c:v>51-75</c:v>
                </c:pt>
                <c:pt idx="3">
                  <c:v>26-50</c:v>
                </c:pt>
                <c:pt idx="4">
                  <c:v>Bis 25</c:v>
                </c:pt>
              </c:strCache>
            </c:strRef>
          </c:cat>
          <c:val>
            <c:numRef>
              <c:f>'Zahlen Sammlung'!$C$78:$C$82</c:f>
              <c:numCache>
                <c:formatCode>General</c:formatCode>
                <c:ptCount val="5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0.24</c:v>
                </c:pt>
                <c:pt idx="4">
                  <c:v>0.52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137868"/>
        <c:axId val="69342218"/>
      </c:lineChart>
      <c:catAx>
        <c:axId val="89137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42218"/>
        <c:crosses val="autoZero"/>
        <c:auto val="1"/>
        <c:lblAlgn val="ctr"/>
        <c:lblOffset val="100"/>
        <c:noMultiLvlLbl val="0"/>
      </c:catAx>
      <c:valAx>
        <c:axId val="693422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378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'Zahlen Sammlung'!$B$20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'Zahlen Sammlung'!$A$21:$A$25</c:f>
              <c:strCache>
                <c:ptCount val="5"/>
                <c:pt idx="0">
                  <c:v>200 km plus</c:v>
                </c:pt>
                <c:pt idx="1">
                  <c:v>100 – 200</c:v>
                </c:pt>
                <c:pt idx="2">
                  <c:v>50 bis 100</c:v>
                </c:pt>
                <c:pt idx="3">
                  <c:v>5 bis 50</c:v>
                </c:pt>
                <c:pt idx="4">
                  <c:v>Unter 5</c:v>
                </c:pt>
              </c:strCache>
            </c:strRef>
          </c:cat>
          <c:val>
            <c:numRef>
              <c:f>'Zahlen Sammlung'!$B$21:$B$25</c:f>
              <c:numCache>
                <c:formatCode>General</c:formatCode>
                <c:ptCount val="5"/>
                <c:pt idx="0">
                  <c:v>0.02</c:v>
                </c:pt>
                <c:pt idx="1">
                  <c:v>0.08</c:v>
                </c:pt>
                <c:pt idx="2">
                  <c:v>0.22</c:v>
                </c:pt>
                <c:pt idx="3">
                  <c:v>0.51</c:v>
                </c:pt>
                <c:pt idx="4">
                  <c:v>0.17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806629"/>
        <c:axId val="96731230"/>
      </c:lineChart>
      <c:catAx>
        <c:axId val="468066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31230"/>
        <c:crosses val="autoZero"/>
        <c:auto val="1"/>
        <c:lblAlgn val="ctr"/>
        <c:lblOffset val="100"/>
        <c:noMultiLvlLbl val="0"/>
      </c:catAx>
      <c:valAx>
        <c:axId val="967312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066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'Zahlen Sammlung'!$B$63:$B$64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'Zahlen Sammlung'!$A$65:$A$70</c:f>
              <c:strCache>
                <c:ptCount val="6"/>
                <c:pt idx="0">
                  <c:v>30.000 km plus</c:v>
                </c:pt>
                <c:pt idx="1">
                  <c:v>20-30.000</c:v>
                </c:pt>
                <c:pt idx="2">
                  <c:v>15-20.000</c:v>
                </c:pt>
                <c:pt idx="3">
                  <c:v>10-15000</c:v>
                </c:pt>
                <c:pt idx="4">
                  <c:v>5-10000</c:v>
                </c:pt>
                <c:pt idx="5">
                  <c:v>Unter 5000</c:v>
                </c:pt>
              </c:strCache>
            </c:strRef>
          </c:cat>
          <c:val>
            <c:numRef>
              <c:f>'Zahlen Sammlung'!$B$65:$B$70</c:f>
              <c:numCache>
                <c:formatCode>General</c:formatCode>
                <c:ptCount val="6"/>
                <c:pt idx="0">
                  <c:v>0.23</c:v>
                </c:pt>
                <c:pt idx="1">
                  <c:v>0.36</c:v>
                </c:pt>
                <c:pt idx="2">
                  <c:v>0.14</c:v>
                </c:pt>
                <c:pt idx="3">
                  <c:v>0.13</c:v>
                </c:pt>
                <c:pt idx="4">
                  <c:v>0.12</c:v>
                </c:pt>
                <c:pt idx="5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'Zahlen Sammlung'!$C$63:$C$64</c:f>
              <c:strCache>
                <c:ptCount val="1"/>
                <c:pt idx="0">
                  <c:v>Elektro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'Zahlen Sammlung'!$A$65:$A$70</c:f>
              <c:strCache>
                <c:ptCount val="6"/>
                <c:pt idx="0">
                  <c:v>30.000 km plus</c:v>
                </c:pt>
                <c:pt idx="1">
                  <c:v>20-30.000</c:v>
                </c:pt>
                <c:pt idx="2">
                  <c:v>15-20.000</c:v>
                </c:pt>
                <c:pt idx="3">
                  <c:v>10-15000</c:v>
                </c:pt>
                <c:pt idx="4">
                  <c:v>5-10000</c:v>
                </c:pt>
                <c:pt idx="5">
                  <c:v>Unter 5000</c:v>
                </c:pt>
              </c:strCache>
            </c:strRef>
          </c:cat>
          <c:val>
            <c:numRef>
              <c:f>'Zahlen Sammlung'!$C$65:$C$70</c:f>
              <c:numCache>
                <c:formatCode>General</c:formatCode>
                <c:ptCount val="6"/>
                <c:pt idx="0">
                  <c:v>0.08</c:v>
                </c:pt>
                <c:pt idx="1">
                  <c:v>0.24</c:v>
                </c:pt>
                <c:pt idx="2">
                  <c:v>0.17</c:v>
                </c:pt>
                <c:pt idx="3">
                  <c:v>0.19</c:v>
                </c:pt>
                <c:pt idx="4">
                  <c:v>0.28</c:v>
                </c:pt>
                <c:pt idx="5">
                  <c:v>0.04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751120"/>
        <c:axId val="33469353"/>
      </c:lineChart>
      <c:catAx>
        <c:axId val="6775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69353"/>
        <c:crosses val="autoZero"/>
        <c:auto val="1"/>
        <c:lblAlgn val="ctr"/>
        <c:lblOffset val="100"/>
        <c:noMultiLvlLbl val="0"/>
      </c:catAx>
      <c:valAx>
        <c:axId val="334693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511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Forecast Fleet 2020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'Zahlen Sammlung'!$B$37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'Zahlen Sammlung'!$A$38:$A$44</c:f>
              <c:strCache>
                <c:ptCount val="7"/>
                <c:pt idx="0">
                  <c:v>Diesel</c:v>
                </c:pt>
                <c:pt idx="1">
                  <c:v>Benzin</c:v>
                </c:pt>
                <c:pt idx="2">
                  <c:v>PHEV</c:v>
                </c:pt>
                <c:pt idx="3">
                  <c:v>REX</c:v>
                </c:pt>
                <c:pt idx="4">
                  <c:v>BEV</c:v>
                </c:pt>
                <c:pt idx="5">
                  <c:v>gas</c:v>
                </c:pt>
                <c:pt idx="6">
                  <c:v>FCEV</c:v>
                </c:pt>
              </c:strCache>
            </c:strRef>
          </c:cat>
          <c:val>
            <c:numRef>
              <c:f>'Zahlen Sammlung'!$B$38:$B$44</c:f>
              <c:numCache>
                <c:formatCode>General</c:formatCode>
                <c:ptCount val="7"/>
                <c:pt idx="0">
                  <c:v>0.45</c:v>
                </c:pt>
                <c:pt idx="1">
                  <c:v>0.17</c:v>
                </c:pt>
                <c:pt idx="2">
                  <c:v>0.09</c:v>
                </c:pt>
                <c:pt idx="3">
                  <c:v>0.12</c:v>
                </c:pt>
                <c:pt idx="4">
                  <c:v>0.14</c:v>
                </c:pt>
                <c:pt idx="5">
                  <c:v>0.02</c:v>
                </c:pt>
                <c:pt idx="6">
                  <c:v>0.01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Pendeln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A'!$Q$29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A'!$P$31:$P$33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A'!$Q$31:$Q$33</c:f>
              <c:numCache>
                <c:formatCode>General</c:formatCode>
                <c:ptCount val="3"/>
                <c:pt idx="0">
                  <c:v>0</c:v>
                </c:pt>
                <c:pt idx="1">
                  <c:v>198450</c:v>
                </c:pt>
                <c:pt idx="2">
                  <c:v>28125</c:v>
                </c:pt>
              </c:numCache>
            </c:numRef>
          </c:val>
        </c:ser>
        <c:ser>
          <c:idx val="1"/>
          <c:order val="1"/>
          <c:tx>
            <c:strRef>
              <c:f>'Rechner A'!$R$29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A'!$P$31:$P$33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A'!$R$31:$R$33</c:f>
              <c:numCache>
                <c:formatCode>General</c:formatCode>
                <c:ptCount val="3"/>
                <c:pt idx="0">
                  <c:v>11880</c:v>
                </c:pt>
                <c:pt idx="1">
                  <c:v>297675</c:v>
                </c:pt>
                <c:pt idx="2">
                  <c:v>32400</c:v>
                </c:pt>
              </c:numCache>
            </c:numRef>
          </c:val>
        </c:ser>
        <c:gapWidth val="100"/>
        <c:overlap val="0"/>
        <c:axId val="45186038"/>
        <c:axId val="81252602"/>
      </c:barChart>
      <c:catAx>
        <c:axId val="451860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52602"/>
        <c:crosses val="autoZero"/>
        <c:auto val="1"/>
        <c:lblAlgn val="ctr"/>
        <c:lblOffset val="100"/>
        <c:noMultiLvlLbl val="0"/>
      </c:catAx>
      <c:valAx>
        <c:axId val="81252602"/>
        <c:scaling>
          <c:orientation val="minMax"/>
          <c:max val="35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860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Dienstreisen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A'!$Q$29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A'!$P$35:$P$37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A'!$Q$35:$Q$37</c:f>
              <c:numCache>
                <c:formatCode>General</c:formatCode>
                <c:ptCount val="3"/>
                <c:pt idx="0">
                  <c:v>0</c:v>
                </c:pt>
                <c:pt idx="1">
                  <c:v>101250</c:v>
                </c:pt>
                <c:pt idx="2">
                  <c:v>7672.5</c:v>
                </c:pt>
              </c:numCache>
            </c:numRef>
          </c:val>
        </c:ser>
        <c:ser>
          <c:idx val="1"/>
          <c:order val="1"/>
          <c:tx>
            <c:strRef>
              <c:f>'Rechner A'!$R$29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A'!$P$35:$P$37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A'!$R$35:$R$37</c:f>
              <c:numCache>
                <c:formatCode>General</c:formatCode>
                <c:ptCount val="3"/>
                <c:pt idx="0">
                  <c:v>7600</c:v>
                </c:pt>
                <c:pt idx="1">
                  <c:v>146947.5</c:v>
                </c:pt>
                <c:pt idx="2">
                  <c:v>11508.75</c:v>
                </c:pt>
              </c:numCache>
            </c:numRef>
          </c:val>
        </c:ser>
        <c:gapWidth val="100"/>
        <c:overlap val="0"/>
        <c:axId val="86763298"/>
        <c:axId val="38349015"/>
      </c:barChart>
      <c:catAx>
        <c:axId val="867632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49015"/>
        <c:crosses val="autoZero"/>
        <c:auto val="1"/>
        <c:lblAlgn val="ctr"/>
        <c:lblOffset val="100"/>
        <c:noMultiLvlLbl val="0"/>
      </c:catAx>
      <c:valAx>
        <c:axId val="38349015"/>
        <c:scaling>
          <c:orientation val="minMax"/>
          <c:max val="35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632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Pendeln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B'!$Q$29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B'!$P$31:$P$33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B'!$Q$31:$Q$33</c:f>
              <c:numCache>
                <c:formatCode>General</c:formatCode>
                <c:ptCount val="3"/>
                <c:pt idx="0">
                  <c:v>0</c:v>
                </c:pt>
                <c:pt idx="1">
                  <c:v>135450</c:v>
                </c:pt>
                <c:pt idx="2">
                  <c:v>46875</c:v>
                </c:pt>
              </c:numCache>
            </c:numRef>
          </c:val>
        </c:ser>
        <c:ser>
          <c:idx val="1"/>
          <c:order val="1"/>
          <c:tx>
            <c:strRef>
              <c:f>'Rechner B'!$R$29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B'!$P$31:$P$33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B'!$R$31:$R$33</c:f>
              <c:numCache>
                <c:formatCode>General</c:formatCode>
                <c:ptCount val="3"/>
                <c:pt idx="0">
                  <c:v>17280</c:v>
                </c:pt>
                <c:pt idx="1">
                  <c:v>203175</c:v>
                </c:pt>
                <c:pt idx="2">
                  <c:v>54000</c:v>
                </c:pt>
              </c:numCache>
            </c:numRef>
          </c:val>
        </c:ser>
        <c:gapWidth val="100"/>
        <c:overlap val="0"/>
        <c:axId val="37065639"/>
        <c:axId val="96290630"/>
      </c:barChart>
      <c:catAx>
        <c:axId val="37065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90630"/>
        <c:crosses val="autoZero"/>
        <c:auto val="1"/>
        <c:lblAlgn val="ctr"/>
        <c:lblOffset val="100"/>
        <c:noMultiLvlLbl val="0"/>
      </c:catAx>
      <c:valAx>
        <c:axId val="96290630"/>
        <c:scaling>
          <c:orientation val="minMax"/>
          <c:max val="35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656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Dienstreisen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B'!$Q$29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B'!$P$35:$P$37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B'!$Q$35:$Q$37</c:f>
              <c:numCache>
                <c:formatCode>General</c:formatCode>
                <c:ptCount val="3"/>
                <c:pt idx="0">
                  <c:v>0</c:v>
                </c:pt>
                <c:pt idx="1">
                  <c:v>67500</c:v>
                </c:pt>
                <c:pt idx="2">
                  <c:v>25110</c:v>
                </c:pt>
              </c:numCache>
            </c:numRef>
          </c:val>
        </c:ser>
        <c:ser>
          <c:idx val="1"/>
          <c:order val="1"/>
          <c:tx>
            <c:strRef>
              <c:f>'Rechner B'!$R$29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B'!$P$35:$P$37</c:f>
              <c:strCache>
                <c:ptCount val="3"/>
                <c:pt idx="0">
                  <c:v>Fahrrad</c:v>
                </c:pt>
                <c:pt idx="1">
                  <c:v>Fahrzeug</c:v>
                </c:pt>
                <c:pt idx="2">
                  <c:v>ÖPV</c:v>
                </c:pt>
              </c:strCache>
            </c:strRef>
          </c:cat>
          <c:val>
            <c:numRef>
              <c:f>'Rechner B'!$R$35:$R$37</c:f>
              <c:numCache>
                <c:formatCode>General</c:formatCode>
                <c:ptCount val="3"/>
                <c:pt idx="0">
                  <c:v>7600</c:v>
                </c:pt>
                <c:pt idx="1">
                  <c:v>97965</c:v>
                </c:pt>
                <c:pt idx="2">
                  <c:v>37665</c:v>
                </c:pt>
              </c:numCache>
            </c:numRef>
          </c:val>
        </c:ser>
        <c:gapWidth val="100"/>
        <c:overlap val="0"/>
        <c:axId val="89341088"/>
        <c:axId val="68600901"/>
      </c:barChart>
      <c:catAx>
        <c:axId val="893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00901"/>
        <c:crosses val="autoZero"/>
        <c:auto val="1"/>
        <c:lblAlgn val="ctr"/>
        <c:lblOffset val="100"/>
        <c:noMultiLvlLbl val="0"/>
      </c:catAx>
      <c:valAx>
        <c:axId val="68600901"/>
        <c:scaling>
          <c:orientation val="minMax"/>
          <c:max val="35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410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Pendeln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A2'!$P$53:$P$54</c:f>
              <c:strCache>
                <c:ptCount val="1"/>
                <c:pt idx="0">
                  <c:v>Co2 (kg)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A2'!$O$55:$O$58</c:f>
              <c:strCache>
                <c:ptCount val="4"/>
                <c:pt idx="0">
                  <c:v>Fahrrad</c:v>
                </c:pt>
                <c:pt idx="1">
                  <c:v>Fahrzeug Privat</c:v>
                </c:pt>
                <c:pt idx="2">
                  <c:v>davon Dienstwagen</c:v>
                </c:pt>
                <c:pt idx="3">
                  <c:v>ÖPV</c:v>
                </c:pt>
              </c:strCache>
            </c:strRef>
          </c:cat>
          <c:val>
            <c:numRef>
              <c:f>'Rechner A2'!$P$55:$P$58</c:f>
              <c:numCache>
                <c:formatCode>General</c:formatCode>
                <c:ptCount val="4"/>
                <c:pt idx="0">
                  <c:v>0</c:v>
                </c:pt>
                <c:pt idx="1">
                  <c:v>210000</c:v>
                </c:pt>
                <c:pt idx="2">
                  <c:v>1174320</c:v>
                </c:pt>
                <c:pt idx="3">
                  <c:v>187500</c:v>
                </c:pt>
              </c:numCache>
            </c:numRef>
          </c:val>
        </c:ser>
        <c:ser>
          <c:idx val="1"/>
          <c:order val="1"/>
          <c:tx>
            <c:strRef>
              <c:f>'Rechner A2'!$Q$53:$Q$54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A2'!$O$55:$O$58</c:f>
              <c:strCache>
                <c:ptCount val="4"/>
                <c:pt idx="0">
                  <c:v>Fahrrad</c:v>
                </c:pt>
                <c:pt idx="1">
                  <c:v>Fahrzeug Privat</c:v>
                </c:pt>
                <c:pt idx="2">
                  <c:v>davon Dienstwagen</c:v>
                </c:pt>
                <c:pt idx="3">
                  <c:v>ÖPV</c:v>
                </c:pt>
              </c:strCache>
            </c:strRef>
          </c:cat>
          <c:val>
            <c:numRef>
              <c:f>'Rechner A2'!$Q$55:$Q$58</c:f>
              <c:numCache>
                <c:formatCode>General</c:formatCode>
                <c:ptCount val="4"/>
                <c:pt idx="0">
                  <c:v>0</c:v>
                </c:pt>
                <c:pt idx="1">
                  <c:v>315000</c:v>
                </c:pt>
                <c:pt idx="2">
                  <c:v>6652732.38845144</c:v>
                </c:pt>
                <c:pt idx="3">
                  <c:v>108000</c:v>
                </c:pt>
              </c:numCache>
            </c:numRef>
          </c:val>
        </c:ser>
        <c:gapWidth val="100"/>
        <c:overlap val="0"/>
        <c:axId val="68528360"/>
        <c:axId val="20264647"/>
      </c:barChart>
      <c:catAx>
        <c:axId val="6852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64647"/>
        <c:crosses val="autoZero"/>
        <c:auto val="1"/>
        <c:lblAlgn val="ctr"/>
        <c:lblOffset val="100"/>
        <c:noMultiLvlLbl val="0"/>
      </c:catAx>
      <c:valAx>
        <c:axId val="202646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283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Dienstreisen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A2'!$P$59:$P$60</c:f>
              <c:strCache>
                <c:ptCount val="1"/>
                <c:pt idx="0">
                  <c:v>Co2 (kg)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A2'!$O$61:$O$67</c:f>
              <c:strCache>
                <c:ptCount val="7"/>
                <c:pt idx="0">
                  <c:v>Fahrrad</c:v>
                </c:pt>
                <c:pt idx="1">
                  <c:v>Dienstwagenflotte</c:v>
                </c:pt>
                <c:pt idx="2">
                  <c:v>Poolfahrzeuge</c:v>
                </c:pt>
                <c:pt idx="3">
                  <c:v>PrivatPkw</c:v>
                </c:pt>
                <c:pt idx="4">
                  <c:v>ÖPNV</c:v>
                </c:pt>
                <c:pt idx="5">
                  <c:v>Flugzeug</c:v>
                </c:pt>
                <c:pt idx="6">
                  <c:v>Bahn</c:v>
                </c:pt>
              </c:strCache>
            </c:strRef>
          </c:cat>
          <c:val>
            <c:numRef>
              <c:f>'Rechner A2'!$P$61:$P$67</c:f>
              <c:numCache>
                <c:formatCode>General</c:formatCode>
                <c:ptCount val="7"/>
                <c:pt idx="0">
                  <c:v>0</c:v>
                </c:pt>
                <c:pt idx="1">
                  <c:v>157275</c:v>
                </c:pt>
                <c:pt idx="2">
                  <c:v>210757.5</c:v>
                </c:pt>
                <c:pt idx="3">
                  <c:v>112500</c:v>
                </c:pt>
                <c:pt idx="4">
                  <c:v>12787.5</c:v>
                </c:pt>
                <c:pt idx="5">
                  <c:v>1017409.5</c:v>
                </c:pt>
                <c:pt idx="6">
                  <c:v>44439.48</c:v>
                </c:pt>
              </c:numCache>
            </c:numRef>
          </c:val>
        </c:ser>
        <c:ser>
          <c:idx val="1"/>
          <c:order val="1"/>
          <c:tx>
            <c:strRef>
              <c:f>'Rechner A2'!$Q$59:$Q$60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A2'!$O$61:$O$67</c:f>
              <c:strCache>
                <c:ptCount val="7"/>
                <c:pt idx="0">
                  <c:v>Fahrrad</c:v>
                </c:pt>
                <c:pt idx="1">
                  <c:v>Dienstwagenflotte</c:v>
                </c:pt>
                <c:pt idx="2">
                  <c:v>Poolfahrzeuge</c:v>
                </c:pt>
                <c:pt idx="3">
                  <c:v>PrivatPkw</c:v>
                </c:pt>
                <c:pt idx="4">
                  <c:v>ÖPNV</c:v>
                </c:pt>
                <c:pt idx="5">
                  <c:v>Flugzeug</c:v>
                </c:pt>
                <c:pt idx="6">
                  <c:v>Bahn</c:v>
                </c:pt>
              </c:strCache>
            </c:strRef>
          </c:cat>
          <c:val>
            <c:numRef>
              <c:f>'Rechner A2'!$Q$61:$Q$67</c:f>
              <c:numCache>
                <c:formatCode>General</c:formatCode>
                <c:ptCount val="7"/>
                <c:pt idx="0">
                  <c:v>11400</c:v>
                </c:pt>
                <c:pt idx="1">
                  <c:v>890990.94488189</c:v>
                </c:pt>
                <c:pt idx="2">
                  <c:v>528440</c:v>
                </c:pt>
                <c:pt idx="3">
                  <c:v>168750</c:v>
                </c:pt>
                <c:pt idx="4">
                  <c:v>16623.75</c:v>
                </c:pt>
                <c:pt idx="5">
                  <c:v>963000</c:v>
                </c:pt>
                <c:pt idx="6">
                  <c:v>187245</c:v>
                </c:pt>
              </c:numCache>
            </c:numRef>
          </c:val>
        </c:ser>
        <c:gapWidth val="100"/>
        <c:overlap val="0"/>
        <c:axId val="96658387"/>
        <c:axId val="70533854"/>
      </c:barChart>
      <c:catAx>
        <c:axId val="96658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33854"/>
        <c:crosses val="autoZero"/>
        <c:auto val="1"/>
        <c:lblAlgn val="ctr"/>
        <c:lblOffset val="100"/>
        <c:noMultiLvlLbl val="0"/>
      </c:catAx>
      <c:valAx>
        <c:axId val="70533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5838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Pendeln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B2'!$P$53:$P$54</c:f>
              <c:strCache>
                <c:ptCount val="1"/>
                <c:pt idx="0">
                  <c:v>Co2 (kg)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B2'!$O$55:$O$58</c:f>
              <c:strCache>
                <c:ptCount val="4"/>
                <c:pt idx="0">
                  <c:v>Fahrrad</c:v>
                </c:pt>
                <c:pt idx="1">
                  <c:v>Fahrzeug Privat</c:v>
                </c:pt>
                <c:pt idx="2">
                  <c:v>davon Dienstwagen</c:v>
                </c:pt>
                <c:pt idx="3">
                  <c:v>ÖPV</c:v>
                </c:pt>
              </c:strCache>
            </c:strRef>
          </c:cat>
          <c:val>
            <c:numRef>
              <c:f>'Rechner B2'!$P$55:$P$58</c:f>
              <c:numCache>
                <c:formatCode>General</c:formatCode>
                <c:ptCount val="4"/>
                <c:pt idx="0">
                  <c:v>0</c:v>
                </c:pt>
                <c:pt idx="1">
                  <c:v>252000</c:v>
                </c:pt>
                <c:pt idx="2">
                  <c:v>604800</c:v>
                </c:pt>
                <c:pt idx="3">
                  <c:v>387500</c:v>
                </c:pt>
              </c:numCache>
            </c:numRef>
          </c:val>
        </c:ser>
        <c:ser>
          <c:idx val="1"/>
          <c:order val="1"/>
          <c:tx>
            <c:strRef>
              <c:f>'Rechner B2'!$Q$53:$Q$54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B2'!$O$55:$O$58</c:f>
              <c:strCache>
                <c:ptCount val="4"/>
                <c:pt idx="0">
                  <c:v>Fahrrad</c:v>
                </c:pt>
                <c:pt idx="1">
                  <c:v>Fahrzeug Privat</c:v>
                </c:pt>
                <c:pt idx="2">
                  <c:v>davon Dienstwagen</c:v>
                </c:pt>
                <c:pt idx="3">
                  <c:v>ÖPV</c:v>
                </c:pt>
              </c:strCache>
            </c:strRef>
          </c:cat>
          <c:val>
            <c:numRef>
              <c:f>'Rechner B2'!$Q$55:$Q$58</c:f>
              <c:numCache>
                <c:formatCode>General</c:formatCode>
                <c:ptCount val="4"/>
                <c:pt idx="0">
                  <c:v>0</c:v>
                </c:pt>
                <c:pt idx="1">
                  <c:v>378000</c:v>
                </c:pt>
                <c:pt idx="2">
                  <c:v>5877461.33333333</c:v>
                </c:pt>
                <c:pt idx="3">
                  <c:v>223200</c:v>
                </c:pt>
              </c:numCache>
            </c:numRef>
          </c:val>
        </c:ser>
        <c:gapWidth val="100"/>
        <c:overlap val="0"/>
        <c:axId val="22754656"/>
        <c:axId val="53910686"/>
      </c:barChart>
      <c:catAx>
        <c:axId val="227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10686"/>
        <c:crosses val="autoZero"/>
        <c:auto val="1"/>
        <c:lblAlgn val="ctr"/>
        <c:lblOffset val="100"/>
        <c:noMultiLvlLbl val="0"/>
      </c:catAx>
      <c:valAx>
        <c:axId val="53910686"/>
        <c:scaling>
          <c:orientation val="minMax"/>
          <c:max val="60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546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Dienstreisen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'Rechner B2'!$P$59:$P$60</c:f>
              <c:strCache>
                <c:ptCount val="1"/>
                <c:pt idx="0">
                  <c:v>Co2 (kg)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B2'!$O$61:$O$67</c:f>
              <c:strCache>
                <c:ptCount val="7"/>
                <c:pt idx="0">
                  <c:v>Fahrrad</c:v>
                </c:pt>
                <c:pt idx="1">
                  <c:v>Dienstwagenflotte</c:v>
                </c:pt>
                <c:pt idx="2">
                  <c:v>Poolfahrzeuge</c:v>
                </c:pt>
                <c:pt idx="3">
                  <c:v>PrivatPkw</c:v>
                </c:pt>
                <c:pt idx="4">
                  <c:v>ÖPNV</c:v>
                </c:pt>
                <c:pt idx="5">
                  <c:v>Flugzeug</c:v>
                </c:pt>
                <c:pt idx="6">
                  <c:v>Bahn</c:v>
                </c:pt>
              </c:strCache>
            </c:strRef>
          </c:cat>
          <c:val>
            <c:numRef>
              <c:f>'Rechner B2'!$P$61:$P$67</c:f>
              <c:numCache>
                <c:formatCode>General</c:formatCode>
                <c:ptCount val="7"/>
                <c:pt idx="0">
                  <c:v>0</c:v>
                </c:pt>
                <c:pt idx="1">
                  <c:v>70200</c:v>
                </c:pt>
                <c:pt idx="2">
                  <c:v>84474</c:v>
                </c:pt>
                <c:pt idx="3">
                  <c:v>97500</c:v>
                </c:pt>
                <c:pt idx="4">
                  <c:v>31232.5</c:v>
                </c:pt>
                <c:pt idx="5">
                  <c:v>881754.9</c:v>
                </c:pt>
                <c:pt idx="6">
                  <c:v>102704.576</c:v>
                </c:pt>
              </c:numCache>
            </c:numRef>
          </c:val>
        </c:ser>
        <c:ser>
          <c:idx val="1"/>
          <c:order val="1"/>
          <c:tx>
            <c:strRef>
              <c:f>'Rechner B2'!$Q$59:$Q$60</c:f>
              <c:strCache>
                <c:ptCount val="1"/>
                <c:pt idx="0">
                  <c:v>Kosten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'Rechner B2'!$O$61:$O$67</c:f>
              <c:strCache>
                <c:ptCount val="7"/>
                <c:pt idx="0">
                  <c:v>Fahrrad</c:v>
                </c:pt>
                <c:pt idx="1">
                  <c:v>Dienstwagenflotte</c:v>
                </c:pt>
                <c:pt idx="2">
                  <c:v>Poolfahrzeuge</c:v>
                </c:pt>
                <c:pt idx="3">
                  <c:v>PrivatPkw</c:v>
                </c:pt>
                <c:pt idx="4">
                  <c:v>ÖPNV</c:v>
                </c:pt>
                <c:pt idx="5">
                  <c:v>Flugzeug</c:v>
                </c:pt>
                <c:pt idx="6">
                  <c:v>Bahn</c:v>
                </c:pt>
              </c:strCache>
            </c:strRef>
          </c:cat>
          <c:val>
            <c:numRef>
              <c:f>'Rechner B2'!$Q$61:$Q$67</c:f>
              <c:numCache>
                <c:formatCode>General</c:formatCode>
                <c:ptCount val="7"/>
                <c:pt idx="0">
                  <c:v>11400</c:v>
                </c:pt>
                <c:pt idx="1">
                  <c:v>682205.333333333</c:v>
                </c:pt>
                <c:pt idx="2">
                  <c:v>245233.733333333</c:v>
                </c:pt>
                <c:pt idx="3">
                  <c:v>146250</c:v>
                </c:pt>
                <c:pt idx="4">
                  <c:v>40602.25</c:v>
                </c:pt>
                <c:pt idx="5">
                  <c:v>834600</c:v>
                </c:pt>
                <c:pt idx="6">
                  <c:v>432744</c:v>
                </c:pt>
              </c:numCache>
            </c:numRef>
          </c:val>
        </c:ser>
        <c:gapWidth val="100"/>
        <c:overlap val="0"/>
        <c:axId val="30574931"/>
        <c:axId val="72100182"/>
      </c:barChart>
      <c:catAx>
        <c:axId val="305749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00182"/>
        <c:crosses val="autoZero"/>
        <c:auto val="1"/>
        <c:lblAlgn val="ctr"/>
        <c:lblOffset val="100"/>
        <c:noMultiLvlLbl val="0"/>
      </c:catAx>
      <c:valAx>
        <c:axId val="72100182"/>
        <c:scaling>
          <c:orientation val="minMax"/>
          <c:max val="18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5749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19800</xdr:colOff>
      <xdr:row>51</xdr:row>
      <xdr:rowOff>83880</xdr:rowOff>
    </xdr:from>
    <xdr:to>
      <xdr:col>8</xdr:col>
      <xdr:colOff>810000</xdr:colOff>
      <xdr:row>68</xdr:row>
      <xdr:rowOff>48240</xdr:rowOff>
    </xdr:to>
    <xdr:graphicFrame>
      <xdr:nvGraphicFramePr>
        <xdr:cNvPr id="0" name=""/>
        <xdr:cNvGraphicFramePr/>
      </xdr:nvGraphicFramePr>
      <xdr:xfrm>
        <a:off x="5986800" y="8374320"/>
        <a:ext cx="328896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47160</xdr:colOff>
      <xdr:row>51</xdr:row>
      <xdr:rowOff>-360</xdr:rowOff>
    </xdr:from>
    <xdr:to>
      <xdr:col>12</xdr:col>
      <xdr:colOff>651240</xdr:colOff>
      <xdr:row>68</xdr:row>
      <xdr:rowOff>39960</xdr:rowOff>
    </xdr:to>
    <xdr:graphicFrame>
      <xdr:nvGraphicFramePr>
        <xdr:cNvPr id="1" name=""/>
        <xdr:cNvGraphicFramePr/>
      </xdr:nvGraphicFramePr>
      <xdr:xfrm>
        <a:off x="10138320" y="8290080"/>
        <a:ext cx="3288960" cy="280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70200</xdr:colOff>
      <xdr:row>50</xdr:row>
      <xdr:rowOff>143640</xdr:rowOff>
    </xdr:from>
    <xdr:to>
      <xdr:col>16</xdr:col>
      <xdr:colOff>744480</xdr:colOff>
      <xdr:row>68</xdr:row>
      <xdr:rowOff>57240</xdr:rowOff>
    </xdr:to>
    <xdr:graphicFrame>
      <xdr:nvGraphicFramePr>
        <xdr:cNvPr id="2" name=""/>
        <xdr:cNvGraphicFramePr/>
      </xdr:nvGraphicFramePr>
      <xdr:xfrm>
        <a:off x="14472000" y="8271360"/>
        <a:ext cx="3368880" cy="28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56880</xdr:colOff>
      <xdr:row>50</xdr:row>
      <xdr:rowOff>153000</xdr:rowOff>
    </xdr:from>
    <xdr:to>
      <xdr:col>20</xdr:col>
      <xdr:colOff>770400</xdr:colOff>
      <xdr:row>68</xdr:row>
      <xdr:rowOff>66960</xdr:rowOff>
    </xdr:to>
    <xdr:graphicFrame>
      <xdr:nvGraphicFramePr>
        <xdr:cNvPr id="3" name=""/>
        <xdr:cNvGraphicFramePr/>
      </xdr:nvGraphicFramePr>
      <xdr:xfrm>
        <a:off x="18779040" y="8280720"/>
        <a:ext cx="3457440" cy="28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1055880</xdr:colOff>
      <xdr:row>70</xdr:row>
      <xdr:rowOff>720</xdr:rowOff>
    </xdr:from>
    <xdr:to>
      <xdr:col>8</xdr:col>
      <xdr:colOff>784440</xdr:colOff>
      <xdr:row>86</xdr:row>
      <xdr:rowOff>127440</xdr:rowOff>
    </xdr:to>
    <xdr:graphicFrame>
      <xdr:nvGraphicFramePr>
        <xdr:cNvPr id="4" name=""/>
        <xdr:cNvGraphicFramePr/>
      </xdr:nvGraphicFramePr>
      <xdr:xfrm>
        <a:off x="5961240" y="11379600"/>
        <a:ext cx="328896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34560</xdr:colOff>
      <xdr:row>69</xdr:row>
      <xdr:rowOff>142920</xdr:rowOff>
    </xdr:from>
    <xdr:to>
      <xdr:col>12</xdr:col>
      <xdr:colOff>638640</xdr:colOff>
      <xdr:row>87</xdr:row>
      <xdr:rowOff>20520</xdr:rowOff>
    </xdr:to>
    <xdr:graphicFrame>
      <xdr:nvGraphicFramePr>
        <xdr:cNvPr id="5" name=""/>
        <xdr:cNvGraphicFramePr/>
      </xdr:nvGraphicFramePr>
      <xdr:xfrm>
        <a:off x="10125720" y="11359440"/>
        <a:ext cx="3288960" cy="280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16200</xdr:colOff>
      <xdr:row>69</xdr:row>
      <xdr:rowOff>143640</xdr:rowOff>
    </xdr:from>
    <xdr:to>
      <xdr:col>16</xdr:col>
      <xdr:colOff>690480</xdr:colOff>
      <xdr:row>87</xdr:row>
      <xdr:rowOff>57240</xdr:rowOff>
    </xdr:to>
    <xdr:graphicFrame>
      <xdr:nvGraphicFramePr>
        <xdr:cNvPr id="6" name=""/>
        <xdr:cNvGraphicFramePr/>
      </xdr:nvGraphicFramePr>
      <xdr:xfrm>
        <a:off x="14418000" y="11360160"/>
        <a:ext cx="3368880" cy="28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786600</xdr:colOff>
      <xdr:row>69</xdr:row>
      <xdr:rowOff>153000</xdr:rowOff>
    </xdr:from>
    <xdr:to>
      <xdr:col>20</xdr:col>
      <xdr:colOff>687240</xdr:colOff>
      <xdr:row>87</xdr:row>
      <xdr:rowOff>66960</xdr:rowOff>
    </xdr:to>
    <xdr:graphicFrame>
      <xdr:nvGraphicFramePr>
        <xdr:cNvPr id="7" name=""/>
        <xdr:cNvGraphicFramePr/>
      </xdr:nvGraphicFramePr>
      <xdr:xfrm>
        <a:off x="18695880" y="11369520"/>
        <a:ext cx="3457440" cy="28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267120</xdr:colOff>
      <xdr:row>93</xdr:row>
      <xdr:rowOff>22320</xdr:rowOff>
    </xdr:from>
    <xdr:to>
      <xdr:col>7</xdr:col>
      <xdr:colOff>370800</xdr:colOff>
      <xdr:row>112</xdr:row>
      <xdr:rowOff>40680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267120" y="15280560"/>
          <a:ext cx="7085880" cy="31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176400</xdr:colOff>
      <xdr:row>43</xdr:row>
      <xdr:rowOff>122760</xdr:rowOff>
    </xdr:from>
    <xdr:to>
      <xdr:col>8</xdr:col>
      <xdr:colOff>135360</xdr:colOff>
      <xdr:row>59</xdr:row>
      <xdr:rowOff>22680</xdr:rowOff>
    </xdr:to>
    <xdr:graphicFrame>
      <xdr:nvGraphicFramePr>
        <xdr:cNvPr id="9" name=""/>
        <xdr:cNvGraphicFramePr/>
      </xdr:nvGraphicFramePr>
      <xdr:xfrm>
        <a:off x="3484440" y="7252920"/>
        <a:ext cx="4446000" cy="25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322920</xdr:colOff>
      <xdr:row>75</xdr:row>
      <xdr:rowOff>6480</xdr:rowOff>
    </xdr:from>
    <xdr:to>
      <xdr:col>8</xdr:col>
      <xdr:colOff>435240</xdr:colOff>
      <xdr:row>90</xdr:row>
      <xdr:rowOff>155160</xdr:rowOff>
    </xdr:to>
    <xdr:graphicFrame>
      <xdr:nvGraphicFramePr>
        <xdr:cNvPr id="10" name=""/>
        <xdr:cNvGraphicFramePr/>
      </xdr:nvGraphicFramePr>
      <xdr:xfrm>
        <a:off x="3630960" y="12338640"/>
        <a:ext cx="4599360" cy="258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664200</xdr:colOff>
      <xdr:row>18</xdr:row>
      <xdr:rowOff>14760</xdr:rowOff>
    </xdr:from>
    <xdr:to>
      <xdr:col>6</xdr:col>
      <xdr:colOff>671760</xdr:colOff>
      <xdr:row>30</xdr:row>
      <xdr:rowOff>72000</xdr:rowOff>
    </xdr:to>
    <xdr:graphicFrame>
      <xdr:nvGraphicFramePr>
        <xdr:cNvPr id="11" name=""/>
        <xdr:cNvGraphicFramePr/>
      </xdr:nvGraphicFramePr>
      <xdr:xfrm>
        <a:off x="3159720" y="3080880"/>
        <a:ext cx="3569760" cy="200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443880</xdr:colOff>
      <xdr:row>61</xdr:row>
      <xdr:rowOff>56520</xdr:rowOff>
    </xdr:from>
    <xdr:to>
      <xdr:col>7</xdr:col>
      <xdr:colOff>205560</xdr:colOff>
      <xdr:row>74</xdr:row>
      <xdr:rowOff>67320</xdr:rowOff>
    </xdr:to>
    <xdr:graphicFrame>
      <xdr:nvGraphicFramePr>
        <xdr:cNvPr id="12" name=""/>
        <xdr:cNvGraphicFramePr/>
      </xdr:nvGraphicFramePr>
      <xdr:xfrm>
        <a:off x="3751920" y="10112760"/>
        <a:ext cx="34358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94680</xdr:colOff>
      <xdr:row>29</xdr:row>
      <xdr:rowOff>91800</xdr:rowOff>
    </xdr:from>
    <xdr:to>
      <xdr:col>7</xdr:col>
      <xdr:colOff>676440</xdr:colOff>
      <xdr:row>43</xdr:row>
      <xdr:rowOff>83520</xdr:rowOff>
    </xdr:to>
    <xdr:graphicFrame>
      <xdr:nvGraphicFramePr>
        <xdr:cNvPr id="13" name=""/>
        <xdr:cNvGraphicFramePr/>
      </xdr:nvGraphicFramePr>
      <xdr:xfrm>
        <a:off x="3402720" y="4946040"/>
        <a:ext cx="4255920" cy="22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0</xdr:colOff>
      <xdr:row>119</xdr:row>
      <xdr:rowOff>0</xdr:rowOff>
    </xdr:from>
    <xdr:to>
      <xdr:col>7</xdr:col>
      <xdr:colOff>176400</xdr:colOff>
      <xdr:row>136</xdr:row>
      <xdr:rowOff>67320</xdr:rowOff>
    </xdr:to>
    <xdr:pic>
      <xdr:nvPicPr>
        <xdr:cNvPr id="14" name="Image 2" descr=""/>
        <xdr:cNvPicPr/>
      </xdr:nvPicPr>
      <xdr:blipFill>
        <a:blip r:embed="rId7"/>
        <a:stretch/>
      </xdr:blipFill>
      <xdr:spPr>
        <a:xfrm>
          <a:off x="0" y="19484640"/>
          <a:ext cx="7158600" cy="2831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912600</xdr:colOff>
      <xdr:row>20</xdr:row>
      <xdr:rowOff>152640</xdr:rowOff>
    </xdr:from>
    <xdr:to>
      <xdr:col>14</xdr:col>
      <xdr:colOff>451800</xdr:colOff>
      <xdr:row>40</xdr:row>
      <xdr:rowOff>143280</xdr:rowOff>
    </xdr:to>
    <xdr:graphicFrame>
      <xdr:nvGraphicFramePr>
        <xdr:cNvPr id="15" name=""/>
        <xdr:cNvGraphicFramePr/>
      </xdr:nvGraphicFramePr>
      <xdr:xfrm>
        <a:off x="8258040" y="3403800"/>
        <a:ext cx="5767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876240</xdr:colOff>
      <xdr:row>41</xdr:row>
      <xdr:rowOff>105480</xdr:rowOff>
    </xdr:from>
    <xdr:to>
      <xdr:col>14</xdr:col>
      <xdr:colOff>415440</xdr:colOff>
      <xdr:row>61</xdr:row>
      <xdr:rowOff>96120</xdr:rowOff>
    </xdr:to>
    <xdr:graphicFrame>
      <xdr:nvGraphicFramePr>
        <xdr:cNvPr id="16" name=""/>
        <xdr:cNvGraphicFramePr/>
      </xdr:nvGraphicFramePr>
      <xdr:xfrm>
        <a:off x="8221680" y="6770160"/>
        <a:ext cx="5767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912600</xdr:colOff>
      <xdr:row>20</xdr:row>
      <xdr:rowOff>152640</xdr:rowOff>
    </xdr:from>
    <xdr:to>
      <xdr:col>14</xdr:col>
      <xdr:colOff>451800</xdr:colOff>
      <xdr:row>40</xdr:row>
      <xdr:rowOff>143280</xdr:rowOff>
    </xdr:to>
    <xdr:graphicFrame>
      <xdr:nvGraphicFramePr>
        <xdr:cNvPr id="17" name=""/>
        <xdr:cNvGraphicFramePr/>
      </xdr:nvGraphicFramePr>
      <xdr:xfrm>
        <a:off x="8258040" y="3403800"/>
        <a:ext cx="5767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876240</xdr:colOff>
      <xdr:row>41</xdr:row>
      <xdr:rowOff>105480</xdr:rowOff>
    </xdr:from>
    <xdr:to>
      <xdr:col>14</xdr:col>
      <xdr:colOff>415440</xdr:colOff>
      <xdr:row>61</xdr:row>
      <xdr:rowOff>96120</xdr:rowOff>
    </xdr:to>
    <xdr:graphicFrame>
      <xdr:nvGraphicFramePr>
        <xdr:cNvPr id="18" name=""/>
        <xdr:cNvGraphicFramePr/>
      </xdr:nvGraphicFramePr>
      <xdr:xfrm>
        <a:off x="8221680" y="6770160"/>
        <a:ext cx="5767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387000</xdr:colOff>
      <xdr:row>42</xdr:row>
      <xdr:rowOff>15480</xdr:rowOff>
    </xdr:from>
    <xdr:to>
      <xdr:col>13</xdr:col>
      <xdr:colOff>38880</xdr:colOff>
      <xdr:row>63</xdr:row>
      <xdr:rowOff>144000</xdr:rowOff>
    </xdr:to>
    <xdr:graphicFrame>
      <xdr:nvGraphicFramePr>
        <xdr:cNvPr id="19" name=""/>
        <xdr:cNvGraphicFramePr/>
      </xdr:nvGraphicFramePr>
      <xdr:xfrm>
        <a:off x="9196200" y="7011720"/>
        <a:ext cx="3715920" cy="35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475920</xdr:colOff>
      <xdr:row>65</xdr:row>
      <xdr:rowOff>24840</xdr:rowOff>
    </xdr:from>
    <xdr:to>
      <xdr:col>13</xdr:col>
      <xdr:colOff>315360</xdr:colOff>
      <xdr:row>85</xdr:row>
      <xdr:rowOff>15840</xdr:rowOff>
    </xdr:to>
    <xdr:graphicFrame>
      <xdr:nvGraphicFramePr>
        <xdr:cNvPr id="20" name=""/>
        <xdr:cNvGraphicFramePr/>
      </xdr:nvGraphicFramePr>
      <xdr:xfrm>
        <a:off x="9285120" y="10760040"/>
        <a:ext cx="39034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387000</xdr:colOff>
      <xdr:row>42</xdr:row>
      <xdr:rowOff>15480</xdr:rowOff>
    </xdr:from>
    <xdr:to>
      <xdr:col>13</xdr:col>
      <xdr:colOff>38880</xdr:colOff>
      <xdr:row>63</xdr:row>
      <xdr:rowOff>144000</xdr:rowOff>
    </xdr:to>
    <xdr:graphicFrame>
      <xdr:nvGraphicFramePr>
        <xdr:cNvPr id="21" name=""/>
        <xdr:cNvGraphicFramePr/>
      </xdr:nvGraphicFramePr>
      <xdr:xfrm>
        <a:off x="9196200" y="7011720"/>
        <a:ext cx="3715920" cy="35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475920</xdr:colOff>
      <xdr:row>65</xdr:row>
      <xdr:rowOff>24840</xdr:rowOff>
    </xdr:from>
    <xdr:to>
      <xdr:col>13</xdr:col>
      <xdr:colOff>335160</xdr:colOff>
      <xdr:row>85</xdr:row>
      <xdr:rowOff>15840</xdr:rowOff>
    </xdr:to>
    <xdr:graphicFrame>
      <xdr:nvGraphicFramePr>
        <xdr:cNvPr id="22" name=""/>
        <xdr:cNvGraphicFramePr/>
      </xdr:nvGraphicFramePr>
      <xdr:xfrm>
        <a:off x="9285120" y="10760040"/>
        <a:ext cx="39232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etriebsgr" displayName="betriebsgr" ref="B4:B5" headerRowCount="1" totalsRowCount="0" totalsRowShown="0">
  <tableColumns count="1">
    <tableColumn id="1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1" sqref="23:23 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03"/>
    <col collapsed="false" customWidth="true" hidden="false" outlineLevel="0" max="2" min="2" style="0" width="8.94"/>
    <col collapsed="false" customWidth="true" hidden="false" outlineLevel="0" max="6" min="6" style="0" width="15.05"/>
    <col collapsed="false" customWidth="true" hidden="false" outlineLevel="0" max="7" min="7" style="0" width="23.89"/>
    <col collapsed="false" customWidth="true" hidden="false" outlineLevel="0" max="11" min="11" style="0" width="26.53"/>
    <col collapsed="false" customWidth="true" hidden="false" outlineLevel="0" max="15" min="15" style="0" width="26.67"/>
    <col collapsed="false" customWidth="true" hidden="false" outlineLevel="0" max="19" min="19" style="0" width="27.3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T1" s="2" t="s">
        <v>1</v>
      </c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S2" s="0" t="s">
        <v>2</v>
      </c>
      <c r="T2" s="3" t="n">
        <v>0.22</v>
      </c>
    </row>
    <row r="3" customFormat="false" ht="12.8" hidden="false" customHeight="false" outlineLevel="0" collapsed="false">
      <c r="S3" s="0" t="s">
        <v>3</v>
      </c>
      <c r="T3" s="3" t="n">
        <v>0.15</v>
      </c>
    </row>
    <row r="4" customFormat="false" ht="12.8" hidden="false" customHeight="false" outlineLevel="0" collapsed="false">
      <c r="S4" s="0" t="s">
        <v>4</v>
      </c>
      <c r="T4" s="3" t="n">
        <v>0.63</v>
      </c>
    </row>
    <row r="5" customFormat="false" ht="12.8" hidden="false" customHeight="false" outlineLevel="0" collapsed="false">
      <c r="A5" s="2" t="s">
        <v>5</v>
      </c>
      <c r="S5" s="0" t="s">
        <v>6</v>
      </c>
      <c r="T5" s="3" t="n">
        <v>0.14</v>
      </c>
    </row>
    <row r="6" customFormat="false" ht="12.8" hidden="false" customHeight="false" outlineLevel="0" collapsed="false">
      <c r="A6" s="0" t="s">
        <v>7</v>
      </c>
      <c r="B6" s="0" t="n">
        <v>300</v>
      </c>
      <c r="S6" s="0" t="s">
        <v>8</v>
      </c>
      <c r="T6" s="3" t="n">
        <v>0.11</v>
      </c>
    </row>
    <row r="7" customFormat="false" ht="12.8" hidden="false" customHeight="false" outlineLevel="0" collapsed="false">
      <c r="A7" s="0" t="s">
        <v>9</v>
      </c>
      <c r="B7" s="0" t="n">
        <v>10</v>
      </c>
      <c r="S7" s="0" t="s">
        <v>10</v>
      </c>
      <c r="T7" s="3" t="n">
        <v>0.75</v>
      </c>
    </row>
    <row r="8" customFormat="false" ht="12.8" hidden="false" customHeight="false" outlineLevel="0" collapsed="false">
      <c r="A8" s="0" t="s">
        <v>11</v>
      </c>
      <c r="B8" s="0" t="n">
        <v>15000</v>
      </c>
      <c r="C8" s="0" t="s">
        <v>12</v>
      </c>
    </row>
    <row r="9" customFormat="false" ht="12.8" hidden="false" customHeight="false" outlineLevel="0" collapsed="false">
      <c r="A9" s="0" t="s">
        <v>13</v>
      </c>
      <c r="B9" s="0" t="n">
        <v>15</v>
      </c>
      <c r="C9" s="0" t="s">
        <v>14</v>
      </c>
    </row>
    <row r="10" customFormat="false" ht="12.8" hidden="false" customHeight="false" outlineLevel="0" collapsed="false">
      <c r="A10" s="0" t="s">
        <v>15</v>
      </c>
      <c r="B10" s="0" t="n">
        <v>260</v>
      </c>
    </row>
    <row r="11" customFormat="false" ht="12.8" hidden="false" customHeight="false" outlineLevel="0" collapsed="false">
      <c r="A11" s="0" t="s">
        <v>16</v>
      </c>
      <c r="B11" s="0" t="n">
        <v>15</v>
      </c>
    </row>
    <row r="12" customFormat="false" ht="12.8" hidden="false" customHeight="true" outlineLevel="0" collapsed="false">
      <c r="A12" s="0" t="s">
        <v>17</v>
      </c>
      <c r="B12" s="0" t="n">
        <v>150</v>
      </c>
      <c r="C12" s="0" t="s">
        <v>12</v>
      </c>
      <c r="G12" s="4" t="s">
        <v>18</v>
      </c>
      <c r="H12" s="4"/>
      <c r="I12" s="4"/>
      <c r="K12" s="5" t="s">
        <v>19</v>
      </c>
      <c r="L12" s="5"/>
      <c r="M12" s="5"/>
      <c r="O12" s="6" t="s">
        <v>20</v>
      </c>
      <c r="P12" s="6"/>
      <c r="Q12" s="6"/>
      <c r="S12" s="7" t="s">
        <v>21</v>
      </c>
      <c r="T12" s="7"/>
      <c r="U12" s="7"/>
    </row>
    <row r="13" customFormat="false" ht="12.8" hidden="false" customHeight="false" outlineLevel="0" collapsed="false">
      <c r="A13" s="0" t="s">
        <v>22</v>
      </c>
      <c r="B13" s="0" t="n">
        <v>6</v>
      </c>
      <c r="C13" s="0" t="s">
        <v>23</v>
      </c>
      <c r="G13" s="4"/>
      <c r="H13" s="4"/>
      <c r="I13" s="4"/>
      <c r="K13" s="5"/>
      <c r="L13" s="5"/>
      <c r="M13" s="5"/>
      <c r="O13" s="6"/>
      <c r="P13" s="6"/>
      <c r="Q13" s="6"/>
      <c r="S13" s="7"/>
      <c r="T13" s="7"/>
      <c r="U13" s="7"/>
    </row>
    <row r="14" customFormat="false" ht="12.8" hidden="false" customHeight="false" outlineLevel="0" collapsed="false">
      <c r="A14" s="0" t="s">
        <v>24</v>
      </c>
      <c r="B14" s="0" t="n">
        <v>32</v>
      </c>
      <c r="C14" s="0" t="s">
        <v>25</v>
      </c>
      <c r="G14" s="2" t="s">
        <v>26</v>
      </c>
      <c r="K14" s="2" t="s">
        <v>26</v>
      </c>
      <c r="O14" s="2" t="s">
        <v>26</v>
      </c>
      <c r="S14" s="2" t="s">
        <v>26</v>
      </c>
    </row>
    <row r="15" customFormat="false" ht="12.8" hidden="false" customHeight="false" outlineLevel="0" collapsed="false">
      <c r="A15" s="0" t="s">
        <v>27</v>
      </c>
      <c r="B15" s="0" t="n">
        <v>15</v>
      </c>
      <c r="C15" s="0" t="s">
        <v>25</v>
      </c>
      <c r="G15" s="0" t="s">
        <v>28</v>
      </c>
      <c r="H15" s="0" t="n">
        <f aca="false">B6*B9*B10</f>
        <v>1170000</v>
      </c>
      <c r="I15" s="0" t="s">
        <v>29</v>
      </c>
      <c r="K15" s="0" t="s">
        <v>28</v>
      </c>
      <c r="L15" s="0" t="n">
        <f aca="false">$B$6*$B$9*$B$10</f>
        <v>1170000</v>
      </c>
      <c r="M15" s="0" t="s">
        <v>29</v>
      </c>
      <c r="O15" s="0" t="s">
        <v>28</v>
      </c>
      <c r="P15" s="0" t="n">
        <f aca="false">$B$6*$B$9*$B$10</f>
        <v>1170000</v>
      </c>
      <c r="Q15" s="0" t="s">
        <v>29</v>
      </c>
      <c r="S15" s="0" t="s">
        <v>28</v>
      </c>
      <c r="T15" s="0" t="n">
        <f aca="false">$B$6*$B$9*$B$10</f>
        <v>1170000</v>
      </c>
      <c r="U15" s="0" t="s">
        <v>29</v>
      </c>
    </row>
    <row r="16" customFormat="false" ht="12.8" hidden="false" customHeight="false" outlineLevel="0" collapsed="false">
      <c r="A16" s="0" t="s">
        <v>30</v>
      </c>
      <c r="B16" s="0" t="n">
        <v>0.3</v>
      </c>
      <c r="C16" s="0" t="s">
        <v>31</v>
      </c>
      <c r="G16" s="0" t="s">
        <v>32</v>
      </c>
      <c r="H16" s="0" t="n">
        <f aca="false">H15*$B$29/1000</f>
        <v>234</v>
      </c>
      <c r="I16" s="0" t="s">
        <v>33</v>
      </c>
      <c r="K16" s="0" t="s">
        <v>32</v>
      </c>
      <c r="L16" s="0" t="n">
        <f aca="false">L15*$B$27/1000</f>
        <v>117</v>
      </c>
      <c r="M16" s="0" t="s">
        <v>33</v>
      </c>
      <c r="O16" s="0" t="s">
        <v>32</v>
      </c>
      <c r="P16" s="0" t="n">
        <f aca="false">P15*$B$32/1000</f>
        <v>0</v>
      </c>
      <c r="Q16" s="0" t="s">
        <v>33</v>
      </c>
      <c r="S16" s="0" t="s">
        <v>32</v>
      </c>
      <c r="T16" s="0" t="n">
        <f aca="false">(0+B27*T15*T3+B29*T15*T4)/1000</f>
        <v>164.97</v>
      </c>
      <c r="U16" s="0" t="s">
        <v>33</v>
      </c>
    </row>
    <row r="17" customFormat="false" ht="12.8" hidden="false" customHeight="false" outlineLevel="0" collapsed="false">
      <c r="A17" s="0" t="s">
        <v>34</v>
      </c>
      <c r="B17" s="0" t="n">
        <v>0.15</v>
      </c>
      <c r="C17" s="0" t="s">
        <v>31</v>
      </c>
      <c r="G17" s="0" t="s">
        <v>35</v>
      </c>
      <c r="H17" s="0" t="n">
        <f aca="false">H15*B16</f>
        <v>351000</v>
      </c>
      <c r="I17" s="0" t="s">
        <v>36</v>
      </c>
      <c r="K17" s="0" t="s">
        <v>37</v>
      </c>
      <c r="L17" s="0" t="n">
        <f aca="false">$B$6*12*60</f>
        <v>216000</v>
      </c>
      <c r="M17" s="0" t="s">
        <v>36</v>
      </c>
      <c r="O17" s="0" t="s">
        <v>38</v>
      </c>
      <c r="P17" s="0" t="n">
        <f aca="false">$B$6*12*B18</f>
        <v>54000</v>
      </c>
      <c r="Q17" s="0" t="s">
        <v>36</v>
      </c>
      <c r="S17" s="0" t="s">
        <v>39</v>
      </c>
      <c r="T17" s="0" t="n">
        <f aca="false">T2*B6*12*B18+T3*12*60+T4*T15*B16</f>
        <v>233118</v>
      </c>
      <c r="U17" s="0" t="s">
        <v>36</v>
      </c>
    </row>
    <row r="18" customFormat="false" ht="12.8" hidden="false" customHeight="false" outlineLevel="0" collapsed="false">
      <c r="A18" s="0" t="s">
        <v>40</v>
      </c>
      <c r="B18" s="0" t="n">
        <v>15</v>
      </c>
      <c r="C18" s="0" t="s">
        <v>41</v>
      </c>
      <c r="G18" s="0" t="s">
        <v>42</v>
      </c>
      <c r="H18" s="0" t="n">
        <f aca="false">H16*$B$15</f>
        <v>3510</v>
      </c>
      <c r="I18" s="0" t="s">
        <v>36</v>
      </c>
      <c r="K18" s="0" t="s">
        <v>42</v>
      </c>
      <c r="L18" s="0" t="n">
        <f aca="false">L16*$B$15</f>
        <v>1755</v>
      </c>
      <c r="M18" s="0" t="s">
        <v>36</v>
      </c>
      <c r="O18" s="0" t="s">
        <v>42</v>
      </c>
      <c r="P18" s="0" t="n">
        <f aca="false">P16*$B$15</f>
        <v>0</v>
      </c>
      <c r="Q18" s="0" t="s">
        <v>36</v>
      </c>
      <c r="S18" s="0" t="s">
        <v>42</v>
      </c>
      <c r="T18" s="0" t="n">
        <f aca="false">T16*$B$15</f>
        <v>2474.55</v>
      </c>
      <c r="U18" s="0" t="s">
        <v>36</v>
      </c>
    </row>
    <row r="19" customFormat="false" ht="12.8" hidden="false" customHeight="false" outlineLevel="0" collapsed="false">
      <c r="A19" s="0" t="s">
        <v>43</v>
      </c>
      <c r="B19" s="8" t="n">
        <v>0.2</v>
      </c>
      <c r="G19" s="2" t="s">
        <v>44</v>
      </c>
      <c r="H19" s="2" t="n">
        <f aca="false">SUM(H17:H18)</f>
        <v>354510</v>
      </c>
      <c r="I19" s="2" t="s">
        <v>36</v>
      </c>
      <c r="K19" s="2" t="s">
        <v>44</v>
      </c>
      <c r="L19" s="2" t="n">
        <f aca="false">SUM(L17:L18)</f>
        <v>217755</v>
      </c>
      <c r="M19" s="2" t="s">
        <v>36</v>
      </c>
      <c r="O19" s="2" t="s">
        <v>44</v>
      </c>
      <c r="P19" s="2" t="n">
        <f aca="false">SUM(P17:P18)</f>
        <v>54000</v>
      </c>
      <c r="Q19" s="2" t="s">
        <v>36</v>
      </c>
      <c r="S19" s="2" t="s">
        <v>44</v>
      </c>
      <c r="T19" s="2" t="n">
        <f aca="false">SUM(T17:T18)</f>
        <v>235592.55</v>
      </c>
      <c r="U19" s="2" t="s">
        <v>36</v>
      </c>
    </row>
    <row r="21" customFormat="false" ht="12.8" hidden="false" customHeight="false" outlineLevel="0" collapsed="false">
      <c r="A21" s="2" t="s">
        <v>45</v>
      </c>
      <c r="G21" s="2" t="s">
        <v>46</v>
      </c>
      <c r="K21" s="2" t="s">
        <v>46</v>
      </c>
      <c r="O21" s="2" t="s">
        <v>46</v>
      </c>
      <c r="S21" s="2" t="s">
        <v>46</v>
      </c>
    </row>
    <row r="22" customFormat="false" ht="12.8" hidden="false" customHeight="false" outlineLevel="0" collapsed="false">
      <c r="A22" s="0" t="s">
        <v>47</v>
      </c>
      <c r="B22" s="0" t="n">
        <v>2.78</v>
      </c>
      <c r="C22" s="0" t="s">
        <v>48</v>
      </c>
      <c r="G22" s="0" t="s">
        <v>28</v>
      </c>
      <c r="H22" s="0" t="n">
        <f aca="false">B6*B11*B12</f>
        <v>675000</v>
      </c>
      <c r="I22" s="0" t="s">
        <v>29</v>
      </c>
      <c r="K22" s="0" t="s">
        <v>28</v>
      </c>
      <c r="L22" s="0" t="n">
        <f aca="false">$B$6*$B$11*$B$12</f>
        <v>675000</v>
      </c>
      <c r="M22" s="0" t="s">
        <v>29</v>
      </c>
      <c r="O22" s="0" t="s">
        <v>28</v>
      </c>
      <c r="P22" s="0" t="n">
        <f aca="false">$B$6*$B$11*$B$12</f>
        <v>675000</v>
      </c>
      <c r="Q22" s="0" t="s">
        <v>29</v>
      </c>
      <c r="S22" s="0" t="s">
        <v>28</v>
      </c>
      <c r="T22" s="0" t="n">
        <f aca="false">$B$6*$B$11*$B$12</f>
        <v>675000</v>
      </c>
      <c r="U22" s="0" t="s">
        <v>29</v>
      </c>
    </row>
    <row r="23" customFormat="false" ht="12.8" hidden="false" customHeight="false" outlineLevel="0" collapsed="false">
      <c r="A23" s="0" t="s">
        <v>49</v>
      </c>
      <c r="B23" s="0" t="n">
        <v>3.17</v>
      </c>
      <c r="C23" s="0" t="s">
        <v>48</v>
      </c>
      <c r="G23" s="0" t="s">
        <v>32</v>
      </c>
      <c r="H23" s="0" t="n">
        <f aca="false">H22*$B$29/1000</f>
        <v>135</v>
      </c>
      <c r="I23" s="0" t="s">
        <v>33</v>
      </c>
      <c r="K23" s="0" t="s">
        <v>32</v>
      </c>
      <c r="L23" s="0" t="n">
        <f aca="false">L22*$B$31/1000</f>
        <v>24.03</v>
      </c>
      <c r="M23" s="0" t="s">
        <v>33</v>
      </c>
      <c r="O23" s="0" t="s">
        <v>32</v>
      </c>
      <c r="P23" s="0" t="n">
        <f aca="false">P22*$B$31/1000</f>
        <v>24.03</v>
      </c>
      <c r="Q23" s="0" t="s">
        <v>33</v>
      </c>
      <c r="S23" s="0" t="s">
        <v>32</v>
      </c>
      <c r="T23" s="0" t="n">
        <f aca="false">(T6*T22*B31+T7*T22*B29)/1000</f>
        <v>103.8933</v>
      </c>
      <c r="U23" s="0" t="s">
        <v>33</v>
      </c>
    </row>
    <row r="24" customFormat="false" ht="12.8" hidden="false" customHeight="false" outlineLevel="0" collapsed="false">
      <c r="A24" s="0" t="s">
        <v>50</v>
      </c>
      <c r="B24" s="0" t="n">
        <v>0.5</v>
      </c>
      <c r="C24" s="0" t="s">
        <v>51</v>
      </c>
      <c r="G24" s="0" t="s">
        <v>35</v>
      </c>
      <c r="H24" s="0" t="n">
        <f aca="false">H22*B16</f>
        <v>202500</v>
      </c>
      <c r="I24" s="0" t="s">
        <v>36</v>
      </c>
      <c r="K24" s="0" t="s">
        <v>37</v>
      </c>
      <c r="L24" s="0" t="n">
        <f aca="false">L22*B17</f>
        <v>101250</v>
      </c>
      <c r="M24" s="0" t="s">
        <v>36</v>
      </c>
      <c r="O24" s="0" t="s">
        <v>37</v>
      </c>
      <c r="P24" s="0" t="n">
        <f aca="false">L22*B17</f>
        <v>101250</v>
      </c>
      <c r="Q24" s="0" t="s">
        <v>36</v>
      </c>
      <c r="S24" s="0" t="s">
        <v>52</v>
      </c>
      <c r="T24" s="0" t="n">
        <f aca="false">T6*T22*B17+T7*T22*B16</f>
        <v>163012.5</v>
      </c>
      <c r="U24" s="0" t="s">
        <v>36</v>
      </c>
    </row>
    <row r="25" customFormat="false" ht="12.8" hidden="false" customHeight="false" outlineLevel="0" collapsed="false">
      <c r="G25" s="0" t="s">
        <v>42</v>
      </c>
      <c r="H25" s="0" t="n">
        <f aca="false">H23*$B$15</f>
        <v>2025</v>
      </c>
      <c r="I25" s="0" t="s">
        <v>36</v>
      </c>
      <c r="K25" s="0" t="s">
        <v>42</v>
      </c>
      <c r="L25" s="0" t="n">
        <f aca="false">L23*$B$15</f>
        <v>360.45</v>
      </c>
      <c r="M25" s="0" t="s">
        <v>36</v>
      </c>
      <c r="O25" s="0" t="s">
        <v>42</v>
      </c>
      <c r="P25" s="0" t="n">
        <f aca="false">P23*$B$15</f>
        <v>360.45</v>
      </c>
      <c r="Q25" s="0" t="s">
        <v>36</v>
      </c>
      <c r="S25" s="0" t="s">
        <v>42</v>
      </c>
      <c r="T25" s="0" t="n">
        <f aca="false">T23*$B$15</f>
        <v>1558.3995</v>
      </c>
      <c r="U25" s="0" t="s">
        <v>36</v>
      </c>
    </row>
    <row r="26" customFormat="false" ht="12.8" hidden="false" customHeight="false" outlineLevel="0" collapsed="false">
      <c r="A26" s="2" t="s">
        <v>53</v>
      </c>
      <c r="G26" s="2" t="s">
        <v>54</v>
      </c>
      <c r="H26" s="2" t="n">
        <f aca="false">SUM(H24:H25)</f>
        <v>204525</v>
      </c>
      <c r="I26" s="2" t="s">
        <v>36</v>
      </c>
      <c r="K26" s="2" t="s">
        <v>54</v>
      </c>
      <c r="L26" s="2" t="n">
        <f aca="false">SUM(L24:L25)</f>
        <v>101610.45</v>
      </c>
      <c r="M26" s="2" t="s">
        <v>36</v>
      </c>
      <c r="O26" s="2" t="s">
        <v>54</v>
      </c>
      <c r="P26" s="2" t="n">
        <f aca="false">SUM(P24:P25)</f>
        <v>101610.45</v>
      </c>
      <c r="Q26" s="2" t="s">
        <v>36</v>
      </c>
      <c r="S26" s="2" t="s">
        <v>54</v>
      </c>
      <c r="T26" s="2" t="n">
        <f aca="false">SUM(T24:T25)</f>
        <v>164570.8995</v>
      </c>
      <c r="U26" s="2" t="s">
        <v>36</v>
      </c>
    </row>
    <row r="27" customFormat="false" ht="12.8" hidden="false" customHeight="false" outlineLevel="0" collapsed="false">
      <c r="A27" s="0" t="s">
        <v>55</v>
      </c>
      <c r="B27" s="0" t="n">
        <v>0.1</v>
      </c>
      <c r="C27" s="0" t="s">
        <v>56</v>
      </c>
    </row>
    <row r="28" customFormat="false" ht="12.8" hidden="false" customHeight="false" outlineLevel="0" collapsed="false">
      <c r="A28" s="0" t="s">
        <v>57</v>
      </c>
      <c r="B28" s="0" t="n">
        <v>0.2113</v>
      </c>
      <c r="C28" s="0" t="s">
        <v>56</v>
      </c>
      <c r="G28" s="2" t="s">
        <v>58</v>
      </c>
      <c r="K28" s="2" t="s">
        <v>58</v>
      </c>
      <c r="O28" s="2" t="s">
        <v>58</v>
      </c>
      <c r="S28" s="2" t="s">
        <v>58</v>
      </c>
    </row>
    <row r="29" customFormat="false" ht="12.8" hidden="false" customHeight="false" outlineLevel="0" collapsed="false">
      <c r="A29" s="0" t="s">
        <v>47</v>
      </c>
      <c r="B29" s="0" t="n">
        <v>0.2</v>
      </c>
      <c r="C29" s="0" t="s">
        <v>56</v>
      </c>
      <c r="G29" s="0" t="s">
        <v>28</v>
      </c>
      <c r="H29" s="0" t="n">
        <f aca="false">$B$7*$B$8</f>
        <v>150000</v>
      </c>
      <c r="I29" s="0" t="s">
        <v>29</v>
      </c>
      <c r="K29" s="0" t="s">
        <v>28</v>
      </c>
      <c r="L29" s="0" t="n">
        <f aca="false">$B$7*$B$8</f>
        <v>150000</v>
      </c>
      <c r="M29" s="0" t="s">
        <v>29</v>
      </c>
      <c r="O29" s="0" t="s">
        <v>28</v>
      </c>
      <c r="P29" s="0" t="n">
        <f aca="false">$B$7*$B$8</f>
        <v>150000</v>
      </c>
      <c r="Q29" s="0" t="s">
        <v>29</v>
      </c>
      <c r="S29" s="0" t="s">
        <v>28</v>
      </c>
      <c r="T29" s="0" t="n">
        <f aca="false">$B$7*$B$8</f>
        <v>150000</v>
      </c>
      <c r="U29" s="0" t="s">
        <v>29</v>
      </c>
    </row>
    <row r="30" customFormat="false" ht="12.8" hidden="false" customHeight="false" outlineLevel="0" collapsed="false">
      <c r="A30" s="0" t="s">
        <v>59</v>
      </c>
      <c r="B30" s="0" t="n">
        <v>0.004</v>
      </c>
      <c r="C30" s="0" t="s">
        <v>56</v>
      </c>
      <c r="G30" s="0" t="s">
        <v>32</v>
      </c>
      <c r="H30" s="0" t="n">
        <f aca="false">H29*$B$29/1000</f>
        <v>30</v>
      </c>
      <c r="I30" s="0" t="s">
        <v>33</v>
      </c>
      <c r="K30" s="0" t="s">
        <v>32</v>
      </c>
      <c r="L30" s="0" t="n">
        <f aca="false">L29*$B$29/1000</f>
        <v>30</v>
      </c>
      <c r="M30" s="0" t="s">
        <v>33</v>
      </c>
      <c r="O30" s="0" t="s">
        <v>32</v>
      </c>
      <c r="P30" s="0" t="n">
        <f aca="false">P29*$B$29/1000</f>
        <v>30</v>
      </c>
      <c r="Q30" s="0" t="s">
        <v>33</v>
      </c>
      <c r="S30" s="0" t="s">
        <v>32</v>
      </c>
      <c r="T30" s="0" t="n">
        <f aca="false">T29*$B$29/1000</f>
        <v>30</v>
      </c>
      <c r="U30" s="0" t="s">
        <v>33</v>
      </c>
    </row>
    <row r="31" customFormat="false" ht="12.8" hidden="false" customHeight="false" outlineLevel="0" collapsed="false">
      <c r="A31" s="0" t="s">
        <v>60</v>
      </c>
      <c r="B31" s="0" t="n">
        <v>0.0356</v>
      </c>
      <c r="C31" s="0" t="s">
        <v>56</v>
      </c>
      <c r="G31" s="0" t="s">
        <v>35</v>
      </c>
      <c r="H31" s="0" t="n">
        <f aca="false">H29*$B$16</f>
        <v>45000</v>
      </c>
      <c r="I31" s="0" t="s">
        <v>36</v>
      </c>
      <c r="K31" s="0" t="s">
        <v>35</v>
      </c>
      <c r="L31" s="0" t="n">
        <f aca="false">L29*$B$16</f>
        <v>45000</v>
      </c>
      <c r="M31" s="0" t="s">
        <v>36</v>
      </c>
      <c r="O31" s="0" t="s">
        <v>35</v>
      </c>
      <c r="P31" s="0" t="n">
        <f aca="false">P29*$B$16</f>
        <v>45000</v>
      </c>
      <c r="Q31" s="0" t="s">
        <v>36</v>
      </c>
      <c r="S31" s="0" t="s">
        <v>35</v>
      </c>
      <c r="T31" s="0" t="n">
        <f aca="false">T29*$B$16</f>
        <v>45000</v>
      </c>
      <c r="U31" s="0" t="s">
        <v>36</v>
      </c>
    </row>
    <row r="32" customFormat="false" ht="12.8" hidden="false" customHeight="false" outlineLevel="0" collapsed="false">
      <c r="A32" s="0" t="s">
        <v>61</v>
      </c>
      <c r="B32" s="0" t="n">
        <v>0</v>
      </c>
      <c r="C32" s="0" t="s">
        <v>56</v>
      </c>
      <c r="G32" s="0" t="s">
        <v>42</v>
      </c>
      <c r="H32" s="0" t="n">
        <f aca="false">H30*$B$15</f>
        <v>450</v>
      </c>
      <c r="I32" s="0" t="s">
        <v>36</v>
      </c>
      <c r="K32" s="0" t="s">
        <v>42</v>
      </c>
      <c r="L32" s="0" t="n">
        <f aca="false">L30*$B$15</f>
        <v>450</v>
      </c>
      <c r="M32" s="0" t="s">
        <v>36</v>
      </c>
      <c r="O32" s="0" t="s">
        <v>42</v>
      </c>
      <c r="P32" s="0" t="n">
        <f aca="false">P30*$B$15</f>
        <v>450</v>
      </c>
      <c r="Q32" s="0" t="s">
        <v>36</v>
      </c>
      <c r="S32" s="0" t="s">
        <v>42</v>
      </c>
      <c r="T32" s="0" t="n">
        <f aca="false">T30*$B$15</f>
        <v>450</v>
      </c>
      <c r="U32" s="0" t="s">
        <v>36</v>
      </c>
    </row>
    <row r="33" customFormat="false" ht="12.8" hidden="false" customHeight="false" outlineLevel="0" collapsed="false">
      <c r="A33" s="0" t="s">
        <v>62</v>
      </c>
      <c r="B33" s="0" t="n">
        <f aca="false">B24*20/100</f>
        <v>0.1</v>
      </c>
      <c r="C33" s="0" t="s">
        <v>56</v>
      </c>
      <c r="G33" s="2" t="s">
        <v>63</v>
      </c>
      <c r="H33" s="2" t="n">
        <f aca="false">SUM(H31:H32)</f>
        <v>45450</v>
      </c>
      <c r="I33" s="2" t="s">
        <v>36</v>
      </c>
      <c r="K33" s="2" t="s">
        <v>63</v>
      </c>
      <c r="L33" s="2" t="n">
        <f aca="false">SUM(L31:L32)</f>
        <v>45450</v>
      </c>
      <c r="M33" s="2" t="s">
        <v>36</v>
      </c>
      <c r="O33" s="2" t="s">
        <v>63</v>
      </c>
      <c r="P33" s="2" t="n">
        <f aca="false">SUM(P31:P32)</f>
        <v>45450</v>
      </c>
      <c r="Q33" s="2" t="s">
        <v>36</v>
      </c>
      <c r="S33" s="2" t="s">
        <v>63</v>
      </c>
      <c r="T33" s="2" t="n">
        <f aca="false">SUM(T31:T32)</f>
        <v>45450</v>
      </c>
      <c r="U33" s="2" t="s">
        <v>36</v>
      </c>
    </row>
    <row r="36" customFormat="false" ht="12.8" hidden="false" customHeight="false" outlineLevel="0" collapsed="false">
      <c r="A36" s="2"/>
      <c r="G36" s="0" t="s">
        <v>64</v>
      </c>
      <c r="H36" s="0" t="n">
        <f aca="false">H24+H31</f>
        <v>247500</v>
      </c>
      <c r="I36" s="0" t="s">
        <v>36</v>
      </c>
      <c r="K36" s="0" t="s">
        <v>64</v>
      </c>
      <c r="L36" s="0" t="n">
        <f aca="false">L24+L31</f>
        <v>146250</v>
      </c>
      <c r="M36" s="0" t="s">
        <v>36</v>
      </c>
      <c r="O36" s="0" t="s">
        <v>64</v>
      </c>
      <c r="P36" s="0" t="n">
        <f aca="false">P24+P31</f>
        <v>146250</v>
      </c>
      <c r="Q36" s="0" t="s">
        <v>36</v>
      </c>
      <c r="S36" s="0" t="s">
        <v>64</v>
      </c>
      <c r="T36" s="0" t="n">
        <f aca="false">T24+T31</f>
        <v>208012.5</v>
      </c>
      <c r="U36" s="0" t="s">
        <v>36</v>
      </c>
    </row>
    <row r="37" customFormat="false" ht="12.8" hidden="false" customHeight="false" outlineLevel="0" collapsed="false">
      <c r="G37" s="0" t="s">
        <v>65</v>
      </c>
      <c r="H37" s="0" t="n">
        <f aca="false">H25+H18+H32</f>
        <v>5985</v>
      </c>
      <c r="I37" s="0" t="s">
        <v>36</v>
      </c>
      <c r="K37" s="0" t="s">
        <v>65</v>
      </c>
      <c r="L37" s="0" t="n">
        <f aca="false">L25+L18+L32</f>
        <v>2565.45</v>
      </c>
      <c r="M37" s="0" t="s">
        <v>36</v>
      </c>
      <c r="O37" s="0" t="s">
        <v>65</v>
      </c>
      <c r="P37" s="0" t="n">
        <f aca="false">P25+P18+P32</f>
        <v>810.45</v>
      </c>
      <c r="Q37" s="0" t="s">
        <v>36</v>
      </c>
      <c r="S37" s="0" t="s">
        <v>65</v>
      </c>
      <c r="T37" s="0" t="n">
        <f aca="false">T25+T18+T32</f>
        <v>4482.9495</v>
      </c>
      <c r="U37" s="0" t="s">
        <v>36</v>
      </c>
    </row>
    <row r="38" customFormat="false" ht="12.8" hidden="false" customHeight="false" outlineLevel="0" collapsed="false">
      <c r="G38" s="0" t="s">
        <v>66</v>
      </c>
      <c r="H38" s="0" t="n">
        <f aca="false">H17/$B$6</f>
        <v>1170</v>
      </c>
      <c r="I38" s="0" t="s">
        <v>67</v>
      </c>
      <c r="K38" s="0" t="s">
        <v>66</v>
      </c>
      <c r="L38" s="0" t="n">
        <f aca="false">L17/$B$6</f>
        <v>720</v>
      </c>
      <c r="M38" s="0" t="s">
        <v>67</v>
      </c>
      <c r="O38" s="0" t="s">
        <v>66</v>
      </c>
      <c r="P38" s="0" t="n">
        <f aca="false">P17/$B$6</f>
        <v>180</v>
      </c>
      <c r="Q38" s="0" t="s">
        <v>67</v>
      </c>
      <c r="S38" s="0" t="s">
        <v>66</v>
      </c>
      <c r="T38" s="0" t="n">
        <f aca="false">T17/$B$6</f>
        <v>777.06</v>
      </c>
      <c r="U38" s="0" t="s">
        <v>67</v>
      </c>
    </row>
    <row r="39" customFormat="false" ht="12.8" hidden="false" customHeight="false" outlineLevel="0" collapsed="false">
      <c r="G39" s="2" t="s">
        <v>68</v>
      </c>
      <c r="H39" s="2" t="n">
        <f aca="false">H16+H23+H30</f>
        <v>399</v>
      </c>
      <c r="I39" s="2" t="s">
        <v>33</v>
      </c>
      <c r="K39" s="2" t="s">
        <v>68</v>
      </c>
      <c r="L39" s="2" t="n">
        <f aca="false">L16+L23+L30</f>
        <v>171.03</v>
      </c>
      <c r="M39" s="2" t="s">
        <v>33</v>
      </c>
      <c r="O39" s="2" t="s">
        <v>68</v>
      </c>
      <c r="P39" s="2" t="n">
        <f aca="false">P16+P23+P30</f>
        <v>54.03</v>
      </c>
      <c r="Q39" s="2" t="s">
        <v>33</v>
      </c>
      <c r="S39" s="2" t="s">
        <v>68</v>
      </c>
      <c r="T39" s="2" t="n">
        <f aca="false">T16+T23+T30</f>
        <v>298.8633</v>
      </c>
      <c r="U39" s="2" t="s">
        <v>33</v>
      </c>
    </row>
    <row r="40" customFormat="false" ht="12.8" hidden="false" customHeight="false" outlineLevel="0" collapsed="false">
      <c r="G40" s="2" t="s">
        <v>69</v>
      </c>
      <c r="H40" s="2" t="n">
        <f aca="false">H39*$B$15</f>
        <v>5985</v>
      </c>
      <c r="I40" s="2" t="s">
        <v>36</v>
      </c>
      <c r="K40" s="2" t="s">
        <v>69</v>
      </c>
      <c r="L40" s="2" t="n">
        <f aca="false">L39*$B$15</f>
        <v>2565.45</v>
      </c>
      <c r="M40" s="2" t="s">
        <v>36</v>
      </c>
      <c r="O40" s="2" t="s">
        <v>69</v>
      </c>
      <c r="P40" s="2" t="n">
        <f aca="false">P39*$B$15</f>
        <v>810.45</v>
      </c>
      <c r="Q40" s="2" t="s">
        <v>36</v>
      </c>
      <c r="S40" s="2" t="s">
        <v>69</v>
      </c>
      <c r="T40" s="2" t="n">
        <f aca="false">T39*$B$15</f>
        <v>4482.9495</v>
      </c>
      <c r="U40" s="2" t="s">
        <v>36</v>
      </c>
    </row>
    <row r="41" customFormat="false" ht="12.8" hidden="false" customHeight="false" outlineLevel="0" collapsed="false">
      <c r="G41" s="0" t="s">
        <v>70</v>
      </c>
      <c r="H41" s="0" t="n">
        <f aca="false">H39/$B$6*1000</f>
        <v>1330</v>
      </c>
      <c r="I41" s="0" t="s">
        <v>71</v>
      </c>
      <c r="K41" s="0" t="s">
        <v>70</v>
      </c>
      <c r="L41" s="0" t="n">
        <f aca="false">L39/$B$6*1000</f>
        <v>570.1</v>
      </c>
      <c r="M41" s="0" t="s">
        <v>71</v>
      </c>
      <c r="O41" s="0" t="s">
        <v>70</v>
      </c>
      <c r="P41" s="0" t="n">
        <f aca="false">P39/$B$6*1000</f>
        <v>180.1</v>
      </c>
      <c r="Q41" s="0" t="s">
        <v>71</v>
      </c>
      <c r="S41" s="0" t="s">
        <v>70</v>
      </c>
      <c r="T41" s="0" t="n">
        <f aca="false">T39/$B$6*1000</f>
        <v>996.211</v>
      </c>
      <c r="U41" s="0" t="s">
        <v>71</v>
      </c>
    </row>
    <row r="43" customFormat="false" ht="12.8" hidden="false" customHeight="false" outlineLevel="0" collapsed="false">
      <c r="K43" s="0" t="s">
        <v>72</v>
      </c>
      <c r="L43" s="0" t="n">
        <f aca="false">H39-L39</f>
        <v>227.97</v>
      </c>
      <c r="M43" s="0" t="s">
        <v>33</v>
      </c>
      <c r="O43" s="0" t="s">
        <v>72</v>
      </c>
      <c r="P43" s="0" t="n">
        <f aca="false">H39-P39</f>
        <v>344.97</v>
      </c>
      <c r="Q43" s="0" t="s">
        <v>33</v>
      </c>
      <c r="S43" s="0" t="s">
        <v>72</v>
      </c>
      <c r="T43" s="0" t="n">
        <f aca="false">H39-T39</f>
        <v>100.1367</v>
      </c>
      <c r="U43" s="0" t="s">
        <v>33</v>
      </c>
    </row>
    <row r="44" customFormat="false" ht="12.8" hidden="false" customHeight="false" outlineLevel="0" collapsed="false">
      <c r="L44" s="0" t="n">
        <f aca="false">L43/$B$6*1000</f>
        <v>759.9</v>
      </c>
      <c r="M44" s="0" t="s">
        <v>73</v>
      </c>
      <c r="P44" s="0" t="n">
        <f aca="false">P43/$B$6*1000</f>
        <v>1149.9</v>
      </c>
      <c r="Q44" s="0" t="s">
        <v>73</v>
      </c>
      <c r="T44" s="0" t="n">
        <f aca="false">T43/$B$6*1000</f>
        <v>333.789</v>
      </c>
      <c r="U44" s="0" t="s">
        <v>73</v>
      </c>
    </row>
    <row r="46" customFormat="false" ht="12.8" hidden="false" customHeight="false" outlineLevel="0" collapsed="false">
      <c r="K46" s="0" t="s">
        <v>74</v>
      </c>
      <c r="L46" s="9" t="n">
        <f aca="false">$H$36+$H$37-(L36+L37)</f>
        <v>104669.55</v>
      </c>
      <c r="M46" s="0" t="s">
        <v>75</v>
      </c>
      <c r="O46" s="0" t="s">
        <v>74</v>
      </c>
      <c r="P46" s="9" t="n">
        <f aca="false">$H$36+$H$37-(P36+P37)</f>
        <v>106424.55</v>
      </c>
      <c r="Q46" s="0" t="s">
        <v>75</v>
      </c>
      <c r="S46" s="0" t="s">
        <v>74</v>
      </c>
      <c r="T46" s="9" t="n">
        <f aca="false">$H$36+$H$37-(T36+T37)</f>
        <v>40989.5505</v>
      </c>
      <c r="U46" s="0" t="s">
        <v>75</v>
      </c>
    </row>
  </sheetData>
  <mergeCells count="5">
    <mergeCell ref="A1:F2"/>
    <mergeCell ref="G12:I13"/>
    <mergeCell ref="K12:M13"/>
    <mergeCell ref="O12:Q13"/>
    <mergeCell ref="S12:U1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" sqref="23:23 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3" min="3" style="0" width="3.61"/>
    <col collapsed="false" customWidth="true" hidden="false" outlineLevel="0" max="4" min="4" style="0" width="21.58"/>
    <col collapsed="false" customWidth="true" hidden="false" outlineLevel="0" max="6" min="6" style="0" width="3.05"/>
    <col collapsed="false" customWidth="true" hidden="false" outlineLevel="0" max="7" min="7" style="0" width="21.58"/>
    <col collapsed="false" customWidth="true" hidden="false" outlineLevel="0" max="9" min="9" style="0" width="3.46"/>
    <col collapsed="false" customWidth="true" hidden="false" outlineLevel="0" max="10" min="10" style="0" width="21.58"/>
    <col collapsed="false" customWidth="true" hidden="false" outlineLevel="0" max="11" min="11" style="0" width="10.46"/>
    <col collapsed="false" customWidth="true" hidden="false" outlineLevel="0" max="12" min="12" style="0" width="5.96"/>
    <col collapsed="false" customWidth="true" hidden="false" outlineLevel="0" max="13" min="13" style="0" width="26.3"/>
    <col collapsed="false" customWidth="true" hidden="false" outlineLevel="0" max="15" min="15" style="0" width="21.58"/>
    <col collapsed="false" customWidth="true" hidden="false" outlineLevel="0" max="20" min="20" style="0" width="21.58"/>
  </cols>
  <sheetData>
    <row r="5" customFormat="false" ht="20.1" hidden="false" customHeight="true" outlineLevel="0" collapsed="false">
      <c r="A5" s="10" t="s">
        <v>76</v>
      </c>
      <c r="B5" s="10"/>
      <c r="D5" s="10" t="s">
        <v>77</v>
      </c>
      <c r="E5" s="10"/>
      <c r="G5" s="10" t="s">
        <v>78</v>
      </c>
      <c r="H5" s="10"/>
      <c r="J5" s="10" t="s">
        <v>79</v>
      </c>
      <c r="K5" s="10"/>
      <c r="M5" s="10" t="s">
        <v>80</v>
      </c>
      <c r="N5" s="10"/>
    </row>
    <row r="6" customFormat="false" ht="12.8" hidden="false" customHeight="false" outlineLevel="0" collapsed="false">
      <c r="A6" s="0" t="s">
        <v>81</v>
      </c>
      <c r="B6" s="8" t="n">
        <v>20000</v>
      </c>
      <c r="D6" s="0" t="s">
        <v>81</v>
      </c>
      <c r="E6" s="8" t="n">
        <v>50000</v>
      </c>
      <c r="G6" s="0" t="s">
        <v>81</v>
      </c>
      <c r="H6" s="8" t="n">
        <v>32000</v>
      </c>
      <c r="J6" s="0" t="s">
        <v>81</v>
      </c>
      <c r="K6" s="8" t="n">
        <v>53000</v>
      </c>
      <c r="M6" s="0" t="s">
        <v>82</v>
      </c>
      <c r="N6" s="8" t="n">
        <v>0.33</v>
      </c>
    </row>
    <row r="7" customFormat="false" ht="12.8" hidden="false" customHeight="false" outlineLevel="0" collapsed="false">
      <c r="A7" s="0" t="s">
        <v>83</v>
      </c>
      <c r="B7" s="3" t="n">
        <v>0.05</v>
      </c>
      <c r="D7" s="0" t="s">
        <v>83</v>
      </c>
      <c r="E7" s="3" t="n">
        <v>0.05</v>
      </c>
      <c r="G7" s="0" t="s">
        <v>83</v>
      </c>
      <c r="H7" s="3" t="n">
        <v>0.05</v>
      </c>
      <c r="J7" s="0" t="s">
        <v>83</v>
      </c>
      <c r="K7" s="3" t="n">
        <v>0.05</v>
      </c>
      <c r="M7" s="0" t="s">
        <v>84</v>
      </c>
      <c r="N7" s="0" t="n">
        <v>33</v>
      </c>
    </row>
    <row r="8" customFormat="false" ht="12.8" hidden="false" customHeight="false" outlineLevel="0" collapsed="false">
      <c r="A8" s="0" t="s">
        <v>85</v>
      </c>
      <c r="B8" s="8" t="n">
        <f aca="false">B6*B7</f>
        <v>1000</v>
      </c>
      <c r="D8" s="0" t="s">
        <v>85</v>
      </c>
      <c r="E8" s="8" t="n">
        <f aca="false">E6*E7</f>
        <v>2500</v>
      </c>
      <c r="G8" s="0" t="s">
        <v>85</v>
      </c>
      <c r="H8" s="8" t="n">
        <f aca="false">H6*H7</f>
        <v>1600</v>
      </c>
      <c r="J8" s="0" t="s">
        <v>85</v>
      </c>
      <c r="K8" s="8" t="n">
        <f aca="false">K6*K7</f>
        <v>2650</v>
      </c>
      <c r="M8" s="0" t="s">
        <v>86</v>
      </c>
      <c r="N8" s="0" t="n">
        <v>80</v>
      </c>
    </row>
    <row r="9" customFormat="false" ht="12.8" hidden="false" customHeight="false" outlineLevel="0" collapsed="false">
      <c r="A9" s="0" t="s">
        <v>87</v>
      </c>
      <c r="B9" s="0" t="n">
        <v>15000</v>
      </c>
      <c r="D9" s="0" t="s">
        <v>87</v>
      </c>
      <c r="E9" s="0" t="n">
        <v>15000</v>
      </c>
      <c r="G9" s="0" t="s">
        <v>87</v>
      </c>
      <c r="H9" s="0" t="n">
        <v>15000</v>
      </c>
      <c r="J9" s="0" t="s">
        <v>87</v>
      </c>
      <c r="K9" s="0" t="n">
        <v>15000</v>
      </c>
      <c r="M9" s="0" t="s">
        <v>88</v>
      </c>
      <c r="N9" s="3" t="n">
        <v>0.7</v>
      </c>
    </row>
    <row r="10" customFormat="false" ht="12.8" hidden="false" customHeight="false" outlineLevel="0" collapsed="false">
      <c r="A10" s="0" t="s">
        <v>89</v>
      </c>
      <c r="B10" s="8" t="n">
        <v>60</v>
      </c>
      <c r="D10" s="0" t="s">
        <v>89</v>
      </c>
      <c r="E10" s="8" t="n">
        <v>60</v>
      </c>
      <c r="G10" s="0" t="s">
        <v>89</v>
      </c>
      <c r="H10" s="8" t="n">
        <v>48</v>
      </c>
      <c r="J10" s="0" t="s">
        <v>89</v>
      </c>
      <c r="K10" s="8" t="n">
        <v>60</v>
      </c>
      <c r="M10" s="0" t="s">
        <v>90</v>
      </c>
      <c r="N10" s="3" t="n">
        <v>0.3</v>
      </c>
    </row>
    <row r="11" customFormat="false" ht="12.8" hidden="false" customHeight="false" outlineLevel="0" collapsed="false">
      <c r="A11" s="0" t="s">
        <v>91</v>
      </c>
      <c r="B11" s="8" t="n">
        <f aca="false">12*B10</f>
        <v>720</v>
      </c>
      <c r="D11" s="0" t="s">
        <v>91</v>
      </c>
      <c r="E11" s="8" t="n">
        <f aca="false">12*E10</f>
        <v>720</v>
      </c>
      <c r="G11" s="0" t="s">
        <v>91</v>
      </c>
      <c r="H11" s="8" t="n">
        <f aca="false">12*H10</f>
        <v>576</v>
      </c>
      <c r="J11" s="0" t="s">
        <v>91</v>
      </c>
      <c r="K11" s="8" t="n">
        <f aca="false">12*K10</f>
        <v>720</v>
      </c>
      <c r="M11" s="0" t="s">
        <v>87</v>
      </c>
      <c r="N11" s="0" t="n">
        <v>15000</v>
      </c>
    </row>
    <row r="12" customFormat="false" ht="12.8" hidden="false" customHeight="false" outlineLevel="0" collapsed="false">
      <c r="A12" s="0" t="s">
        <v>92</v>
      </c>
      <c r="B12" s="8" t="n">
        <v>100</v>
      </c>
      <c r="D12" s="0" t="s">
        <v>92</v>
      </c>
      <c r="E12" s="8" t="n">
        <v>100</v>
      </c>
      <c r="G12" s="0" t="s">
        <v>92</v>
      </c>
      <c r="H12" s="8" t="n">
        <v>82</v>
      </c>
      <c r="J12" s="0" t="s">
        <v>92</v>
      </c>
      <c r="K12" s="8" t="n">
        <v>100</v>
      </c>
      <c r="M12" s="0" t="s">
        <v>93</v>
      </c>
      <c r="N12" s="0" t="n">
        <f aca="false">((N11*N9)/N7 + (N11*N10)/N8)*60</f>
        <v>22465.9090909091</v>
      </c>
    </row>
    <row r="13" customFormat="false" ht="12.8" hidden="false" customHeight="false" outlineLevel="0" collapsed="false">
      <c r="A13" s="0" t="s">
        <v>94</v>
      </c>
      <c r="B13" s="8" t="n">
        <f aca="false">12*B12</f>
        <v>1200</v>
      </c>
      <c r="D13" s="0" t="s">
        <v>94</v>
      </c>
      <c r="E13" s="8" t="n">
        <f aca="false">12*E12</f>
        <v>1200</v>
      </c>
      <c r="G13" s="0" t="s">
        <v>94</v>
      </c>
      <c r="H13" s="8" t="n">
        <f aca="false">12*H12</f>
        <v>984</v>
      </c>
      <c r="J13" s="0" t="s">
        <v>94</v>
      </c>
      <c r="K13" s="8" t="n">
        <f aca="false">12*K12</f>
        <v>1200</v>
      </c>
      <c r="M13" s="0" t="s">
        <v>95</v>
      </c>
      <c r="N13" s="0" t="n">
        <v>6</v>
      </c>
    </row>
    <row r="14" customFormat="false" ht="12.8" hidden="false" customHeight="false" outlineLevel="0" collapsed="false">
      <c r="A14" s="0" t="s">
        <v>96</v>
      </c>
      <c r="B14" s="8" t="n">
        <v>1.46</v>
      </c>
      <c r="D14" s="0" t="s">
        <v>96</v>
      </c>
      <c r="E14" s="8" t="n">
        <v>1.46</v>
      </c>
      <c r="G14" s="0" t="s">
        <v>97</v>
      </c>
      <c r="H14" s="8" t="n">
        <v>0.3</v>
      </c>
      <c r="J14" s="0" t="s">
        <v>97</v>
      </c>
      <c r="K14" s="8" t="n">
        <v>0.3</v>
      </c>
      <c r="M14" s="0" t="s">
        <v>98</v>
      </c>
      <c r="N14" s="0" t="n">
        <v>16</v>
      </c>
    </row>
    <row r="15" customFormat="false" ht="12.8" hidden="false" customHeight="false" outlineLevel="0" collapsed="false">
      <c r="A15" s="0" t="s">
        <v>99</v>
      </c>
      <c r="B15" s="0" t="n">
        <v>6</v>
      </c>
      <c r="D15" s="0" t="s">
        <v>99</v>
      </c>
      <c r="E15" s="0" t="n">
        <v>6</v>
      </c>
      <c r="G15" s="0" t="s">
        <v>100</v>
      </c>
      <c r="H15" s="0" t="n">
        <v>14</v>
      </c>
      <c r="J15" s="0" t="s">
        <v>100</v>
      </c>
      <c r="K15" s="0" t="n">
        <v>16</v>
      </c>
      <c r="M15" s="0" t="s">
        <v>101</v>
      </c>
      <c r="N15" s="0" t="n">
        <v>2.33</v>
      </c>
    </row>
    <row r="16" customFormat="false" ht="12.8" hidden="false" customHeight="false" outlineLevel="0" collapsed="false">
      <c r="A16" s="0" t="s">
        <v>102</v>
      </c>
      <c r="B16" s="8" t="n">
        <f aca="false">B9*B15/100*B14</f>
        <v>1314</v>
      </c>
      <c r="D16" s="0" t="s">
        <v>102</v>
      </c>
      <c r="E16" s="8" t="n">
        <f aca="false">E9*E15/100*E14</f>
        <v>1314</v>
      </c>
      <c r="G16" s="0" t="s">
        <v>102</v>
      </c>
      <c r="H16" s="8" t="n">
        <f aca="false">H9*H15/100*H14</f>
        <v>630</v>
      </c>
      <c r="J16" s="0" t="s">
        <v>102</v>
      </c>
      <c r="K16" s="8" t="n">
        <f aca="false">K9*K15/100*K14</f>
        <v>720</v>
      </c>
      <c r="M16" s="0" t="s">
        <v>103</v>
      </c>
      <c r="N16" s="0" t="n">
        <v>0.5</v>
      </c>
    </row>
    <row r="17" customFormat="false" ht="12.8" hidden="false" customHeight="false" outlineLevel="0" collapsed="false">
      <c r="A17" s="0" t="s">
        <v>101</v>
      </c>
      <c r="B17" s="0" t="n">
        <v>2.33</v>
      </c>
      <c r="D17" s="0" t="s">
        <v>101</v>
      </c>
      <c r="E17" s="0" t="n">
        <v>2.33</v>
      </c>
      <c r="G17" s="0" t="s">
        <v>103</v>
      </c>
      <c r="H17" s="0" t="n">
        <v>0.5</v>
      </c>
      <c r="I17" s="0" t="s">
        <v>104</v>
      </c>
      <c r="J17" s="0" t="s">
        <v>103</v>
      </c>
      <c r="K17" s="0" t="n">
        <v>0.5</v>
      </c>
      <c r="L17" s="0" t="s">
        <v>104</v>
      </c>
    </row>
    <row r="18" customFormat="false" ht="12.8" hidden="false" customHeight="false" outlineLevel="0" collapsed="false">
      <c r="A18" s="11" t="s">
        <v>105</v>
      </c>
      <c r="B18" s="12" t="n">
        <f aca="false">B8+B11+B13+B16</f>
        <v>4234</v>
      </c>
      <c r="D18" s="11" t="s">
        <v>105</v>
      </c>
      <c r="E18" s="12" t="n">
        <f aca="false">E8+E11+E13+E16</f>
        <v>5734</v>
      </c>
      <c r="G18" s="11" t="s">
        <v>105</v>
      </c>
      <c r="H18" s="12" t="n">
        <f aca="false">H8+H11+H13+H16</f>
        <v>3790</v>
      </c>
      <c r="J18" s="11" t="s">
        <v>105</v>
      </c>
      <c r="K18" s="12" t="n">
        <f aca="false">K8+K11+K13+K16</f>
        <v>5290</v>
      </c>
      <c r="M18" s="11" t="s">
        <v>105</v>
      </c>
      <c r="N18" s="12" t="n">
        <f aca="false">N12*N6</f>
        <v>7413.75</v>
      </c>
    </row>
    <row r="19" customFormat="false" ht="12.8" hidden="false" customHeight="false" outlineLevel="0" collapsed="false">
      <c r="A19" s="2" t="s">
        <v>106</v>
      </c>
      <c r="B19" s="13" t="n">
        <f aca="false">B18/B9</f>
        <v>0.282266666666667</v>
      </c>
      <c r="D19" s="2" t="s">
        <v>106</v>
      </c>
      <c r="E19" s="13" t="n">
        <f aca="false">E18/E9</f>
        <v>0.382266666666667</v>
      </c>
      <c r="G19" s="2" t="s">
        <v>106</v>
      </c>
      <c r="H19" s="13" t="n">
        <f aca="false">H18/H9</f>
        <v>0.252666666666667</v>
      </c>
      <c r="J19" s="2" t="s">
        <v>106</v>
      </c>
      <c r="K19" s="13" t="n">
        <f aca="false">K18/K9</f>
        <v>0.352666666666667</v>
      </c>
      <c r="M19" s="2" t="s">
        <v>106</v>
      </c>
      <c r="N19" s="13" t="n">
        <f aca="false">N18/N11</f>
        <v>0.49425</v>
      </c>
    </row>
    <row r="20" customFormat="false" ht="12.8" hidden="false" customHeight="false" outlineLevel="0" collapsed="false">
      <c r="A20" s="0" t="s">
        <v>107</v>
      </c>
      <c r="B20" s="0" t="n">
        <f aca="false">(B9*B15/100)*2.33</f>
        <v>2097</v>
      </c>
      <c r="D20" s="0" t="s">
        <v>107</v>
      </c>
      <c r="E20" s="0" t="n">
        <f aca="false">(E9*E15/100)*2.33</f>
        <v>2097</v>
      </c>
      <c r="G20" s="0" t="s">
        <v>107</v>
      </c>
      <c r="H20" s="0" t="n">
        <f aca="false">H17*H9*H15/100</f>
        <v>1050</v>
      </c>
      <c r="J20" s="0" t="s">
        <v>107</v>
      </c>
      <c r="K20" s="0" t="n">
        <f aca="false">K17*K9*K15/100</f>
        <v>1200</v>
      </c>
      <c r="M20" s="0" t="s">
        <v>108</v>
      </c>
      <c r="N20" s="0" t="n">
        <f aca="false">N11*N13/100*N15</f>
        <v>2097</v>
      </c>
    </row>
    <row r="21" customFormat="false" ht="12.8" hidden="false" customHeight="false" outlineLevel="0" collapsed="false">
      <c r="M21" s="0" t="s">
        <v>109</v>
      </c>
      <c r="N21" s="0" t="n">
        <f aca="false">N11*N14/100*N16</f>
        <v>1200</v>
      </c>
    </row>
  </sheetData>
  <mergeCells count="5">
    <mergeCell ref="A5:B5"/>
    <mergeCell ref="D5:E5"/>
    <mergeCell ref="G5:H5"/>
    <mergeCell ref="J5:K5"/>
    <mergeCell ref="M5:N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23:23 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15.74"/>
    <col collapsed="false" customWidth="true" hidden="false" outlineLevel="0" max="5" min="5" style="0" width="12.96"/>
    <col collapsed="false" customWidth="true" hidden="false" outlineLevel="0" max="6" min="6" style="0" width="14.49"/>
    <col collapsed="false" customWidth="true" hidden="false" outlineLevel="0" max="7" min="7" style="0" width="13.1"/>
    <col collapsed="false" customWidth="true" hidden="false" outlineLevel="0" max="15" min="15" style="0" width="19.63"/>
    <col collapsed="false" customWidth="true" hidden="false" outlineLevel="0" max="16" min="16" style="0" width="15.74"/>
    <col collapsed="false" customWidth="true" hidden="false" outlineLevel="0" max="19" min="19" style="0" width="12.96"/>
    <col collapsed="false" customWidth="true" hidden="false" outlineLevel="0" max="20" min="20" style="0" width="14.49"/>
    <col collapsed="false" customWidth="true" hidden="false" outlineLevel="0" max="21" min="21" style="0" width="13.1"/>
  </cols>
  <sheetData>
    <row r="1" customFormat="false" ht="12.8" hidden="false" customHeight="false" outlineLevel="0" collapsed="false">
      <c r="A1" s="14" t="s">
        <v>110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O1" s="15" t="s">
        <v>111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</row>
    <row r="2" customFormat="false" ht="12.8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customFormat="false" ht="23.85" hidden="false" customHeight="false" outlineLevel="0" collapsed="false">
      <c r="A3" s="17"/>
      <c r="B3" s="18" t="s">
        <v>112</v>
      </c>
      <c r="C3" s="18" t="s">
        <v>113</v>
      </c>
      <c r="D3" s="18" t="s">
        <v>114</v>
      </c>
      <c r="E3" s="19" t="s">
        <v>115</v>
      </c>
      <c r="F3" s="19" t="s">
        <v>116</v>
      </c>
      <c r="G3" s="18" t="s">
        <v>117</v>
      </c>
      <c r="H3" s="18" t="s">
        <v>118</v>
      </c>
      <c r="I3" s="18" t="s">
        <v>55</v>
      </c>
      <c r="J3" s="18" t="s">
        <v>57</v>
      </c>
      <c r="K3" s="18" t="s">
        <v>119</v>
      </c>
      <c r="L3" s="0" t="s">
        <v>120</v>
      </c>
      <c r="O3" s="16"/>
      <c r="P3" s="20" t="s">
        <v>112</v>
      </c>
      <c r="Q3" s="20" t="s">
        <v>113</v>
      </c>
      <c r="R3" s="20" t="s">
        <v>114</v>
      </c>
      <c r="S3" s="20" t="s">
        <v>121</v>
      </c>
      <c r="T3" s="21" t="s">
        <v>122</v>
      </c>
      <c r="U3" s="20" t="s">
        <v>117</v>
      </c>
      <c r="V3" s="20" t="s">
        <v>118</v>
      </c>
      <c r="W3" s="20" t="s">
        <v>55</v>
      </c>
      <c r="X3" s="20" t="s">
        <v>57</v>
      </c>
      <c r="Y3" s="20" t="s">
        <v>119</v>
      </c>
      <c r="Z3" s="16" t="s">
        <v>120</v>
      </c>
    </row>
    <row r="4" customFormat="false" ht="12.8" hidden="false" customHeight="false" outlineLevel="0" collapsed="false">
      <c r="A4" s="17" t="s">
        <v>26</v>
      </c>
      <c r="B4" s="22" t="n">
        <v>0.22</v>
      </c>
      <c r="C4" s="22" t="n">
        <v>0</v>
      </c>
      <c r="D4" s="22" t="n">
        <v>0</v>
      </c>
      <c r="E4" s="22" t="n">
        <v>0</v>
      </c>
      <c r="F4" s="22" t="n">
        <v>0.63</v>
      </c>
      <c r="G4" s="22" t="n">
        <v>0</v>
      </c>
      <c r="H4" s="22" t="n">
        <v>0</v>
      </c>
      <c r="I4" s="22" t="n">
        <v>0.15</v>
      </c>
      <c r="J4" s="22" t="n">
        <v>0</v>
      </c>
      <c r="K4" s="22" t="n">
        <v>0</v>
      </c>
      <c r="L4" s="0" t="n">
        <v>2</v>
      </c>
      <c r="O4" s="20" t="s">
        <v>26</v>
      </c>
      <c r="P4" s="23" t="n">
        <v>0.22</v>
      </c>
      <c r="Q4" s="23" t="n">
        <v>0</v>
      </c>
      <c r="R4" s="23" t="n">
        <v>0</v>
      </c>
      <c r="S4" s="23" t="n">
        <v>0.52</v>
      </c>
      <c r="T4" s="23" t="n">
        <v>0.11</v>
      </c>
      <c r="U4" s="23" t="n">
        <v>0</v>
      </c>
      <c r="V4" s="23" t="n">
        <v>0</v>
      </c>
      <c r="W4" s="23" t="n">
        <v>0.15</v>
      </c>
      <c r="X4" s="23" t="n">
        <v>0</v>
      </c>
      <c r="Y4" s="23" t="n">
        <v>0</v>
      </c>
      <c r="Z4" s="16" t="n">
        <v>1</v>
      </c>
      <c r="AA4" s="3" t="n">
        <f aca="false">SUM(P4:Y4)</f>
        <v>1</v>
      </c>
    </row>
    <row r="5" customFormat="false" ht="12.8" hidden="false" customHeight="false" outlineLevel="0" collapsed="false">
      <c r="A5" s="17" t="s">
        <v>123</v>
      </c>
      <c r="B5" s="17" t="n">
        <v>4</v>
      </c>
      <c r="C5" s="17"/>
      <c r="D5" s="17"/>
      <c r="E5" s="17"/>
      <c r="F5" s="17" t="n">
        <v>21</v>
      </c>
      <c r="G5" s="17"/>
      <c r="H5" s="17"/>
      <c r="I5" s="17" t="n">
        <v>25</v>
      </c>
      <c r="J5" s="17"/>
      <c r="K5" s="17"/>
      <c r="O5" s="16" t="s">
        <v>123</v>
      </c>
      <c r="P5" s="16" t="n">
        <v>8</v>
      </c>
      <c r="Q5" s="16"/>
      <c r="R5" s="16"/>
      <c r="S5" s="16" t="n">
        <v>42</v>
      </c>
      <c r="T5" s="16" t="n">
        <v>42</v>
      </c>
      <c r="U5" s="16"/>
      <c r="V5" s="16"/>
      <c r="W5" s="16" t="n">
        <v>50</v>
      </c>
      <c r="X5" s="16"/>
      <c r="Y5" s="16"/>
      <c r="Z5" s="16"/>
      <c r="AA5" s="3"/>
    </row>
    <row r="6" customFormat="false" ht="12.8" hidden="false" customHeight="false" outlineLevel="0" collapsed="false">
      <c r="A6" s="17" t="s">
        <v>124</v>
      </c>
      <c r="B6" s="22"/>
      <c r="C6" s="22"/>
      <c r="D6" s="22" t="n">
        <v>0.14</v>
      </c>
      <c r="E6" s="22" t="n">
        <v>0</v>
      </c>
      <c r="F6" s="22" t="n">
        <v>0</v>
      </c>
      <c r="G6" s="22" t="n">
        <v>0.75</v>
      </c>
      <c r="H6" s="22" t="n">
        <v>0</v>
      </c>
      <c r="I6" s="22" t="n">
        <v>0.11</v>
      </c>
      <c r="J6" s="22" t="n">
        <v>0</v>
      </c>
      <c r="K6" s="22" t="n">
        <v>0</v>
      </c>
      <c r="O6" s="24" t="s">
        <v>124</v>
      </c>
      <c r="P6" s="25"/>
      <c r="Q6" s="25"/>
      <c r="R6" s="25" t="n">
        <v>0.1</v>
      </c>
      <c r="S6" s="25" t="n">
        <v>0.1</v>
      </c>
      <c r="T6" s="25" t="n">
        <v>0.2</v>
      </c>
      <c r="U6" s="25" t="n">
        <v>0.5</v>
      </c>
      <c r="V6" s="25" t="n">
        <v>0</v>
      </c>
      <c r="W6" s="25" t="n">
        <v>0.055</v>
      </c>
      <c r="X6" s="25" t="n">
        <v>0.015</v>
      </c>
      <c r="Y6" s="25" t="n">
        <v>0.03</v>
      </c>
      <c r="Z6" s="26"/>
      <c r="AA6" s="3" t="n">
        <f aca="false">SUM(P6:Y6)</f>
        <v>1</v>
      </c>
    </row>
    <row r="7" customFormat="false" ht="12.8" hidden="false" customHeight="false" outlineLevel="0" collapsed="false">
      <c r="A7" s="17" t="s">
        <v>125</v>
      </c>
      <c r="B7" s="27" t="n">
        <v>4</v>
      </c>
      <c r="C7" s="27" t="n">
        <v>4</v>
      </c>
      <c r="D7" s="27" t="n">
        <v>4</v>
      </c>
      <c r="E7" s="27"/>
      <c r="F7" s="27"/>
      <c r="G7" s="27" t="n">
        <v>30</v>
      </c>
      <c r="H7" s="27"/>
      <c r="I7" s="27" t="n">
        <v>31</v>
      </c>
      <c r="J7" s="27"/>
      <c r="K7" s="27"/>
      <c r="O7" s="16" t="s">
        <v>125</v>
      </c>
      <c r="P7" s="28" t="n">
        <v>4</v>
      </c>
      <c r="Q7" s="28" t="n">
        <v>4</v>
      </c>
      <c r="R7" s="28" t="n">
        <v>4</v>
      </c>
      <c r="S7" s="28" t="n">
        <v>75</v>
      </c>
      <c r="T7" s="28" t="n">
        <v>75</v>
      </c>
      <c r="U7" s="28" t="n">
        <v>38</v>
      </c>
      <c r="V7" s="28"/>
      <c r="W7" s="28" t="n">
        <v>31</v>
      </c>
      <c r="X7" s="28" t="n">
        <v>4280</v>
      </c>
      <c r="Y7" s="28" t="n">
        <v>554.8</v>
      </c>
      <c r="Z7" s="16"/>
    </row>
    <row r="11" customFormat="false" ht="12.8" hidden="false" customHeight="false" outlineLevel="0" collapsed="false">
      <c r="A11" s="1" t="s">
        <v>126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A13" s="0" t="s">
        <v>127</v>
      </c>
    </row>
    <row r="14" customFormat="false" ht="12.8" hidden="false" customHeight="false" outlineLevel="0" collapsed="false">
      <c r="A14" s="1" t="s">
        <v>128</v>
      </c>
      <c r="B14" s="1"/>
    </row>
    <row r="15" customFormat="false" ht="12.8" hidden="false" customHeight="false" outlineLevel="0" collapsed="false">
      <c r="B15" s="0" t="s">
        <v>129</v>
      </c>
      <c r="C15" s="0" t="s">
        <v>130</v>
      </c>
    </row>
    <row r="16" customFormat="false" ht="12.8" hidden="false" customHeight="false" outlineLevel="0" collapsed="false">
      <c r="A16" s="0" t="s">
        <v>131</v>
      </c>
      <c r="B16" s="3" t="n">
        <v>0.65</v>
      </c>
      <c r="C16" s="3" t="n">
        <v>0.88</v>
      </c>
    </row>
    <row r="17" customFormat="false" ht="12.8" hidden="false" customHeight="false" outlineLevel="0" collapsed="false">
      <c r="A17" s="0" t="s">
        <v>132</v>
      </c>
      <c r="B17" s="3" t="n">
        <v>0.2</v>
      </c>
      <c r="C17" s="3" t="n">
        <v>0.07</v>
      </c>
    </row>
    <row r="18" customFormat="false" ht="12.8" hidden="false" customHeight="false" outlineLevel="0" collapsed="false">
      <c r="A18" s="0" t="s">
        <v>133</v>
      </c>
      <c r="B18" s="3" t="n">
        <v>0.15</v>
      </c>
      <c r="C18" s="3" t="n">
        <v>0.05</v>
      </c>
    </row>
    <row r="20" customFormat="false" ht="12.8" hidden="false" customHeight="false" outlineLevel="0" collapsed="false">
      <c r="A20" s="1" t="s">
        <v>134</v>
      </c>
      <c r="B20" s="1"/>
    </row>
    <row r="21" customFormat="false" ht="12.8" hidden="false" customHeight="false" outlineLevel="0" collapsed="false">
      <c r="A21" s="0" t="s">
        <v>135</v>
      </c>
      <c r="B21" s="3" t="n">
        <v>0.02</v>
      </c>
    </row>
    <row r="22" customFormat="false" ht="12.8" hidden="false" customHeight="false" outlineLevel="0" collapsed="false">
      <c r="A22" s="0" t="s">
        <v>136</v>
      </c>
      <c r="B22" s="3" t="n">
        <v>0.08</v>
      </c>
    </row>
    <row r="23" customFormat="false" ht="12.8" hidden="false" customHeight="false" outlineLevel="0" collapsed="false">
      <c r="A23" s="0" t="s">
        <v>137</v>
      </c>
      <c r="B23" s="3" t="n">
        <v>0.22</v>
      </c>
    </row>
    <row r="24" customFormat="false" ht="12.8" hidden="false" customHeight="false" outlineLevel="0" collapsed="false">
      <c r="A24" s="0" t="s">
        <v>138</v>
      </c>
      <c r="B24" s="3" t="n">
        <v>0.51</v>
      </c>
    </row>
    <row r="25" customFormat="false" ht="12.8" hidden="false" customHeight="false" outlineLevel="0" collapsed="false">
      <c r="A25" s="0" t="s">
        <v>139</v>
      </c>
      <c r="B25" s="3" t="n">
        <v>0.17</v>
      </c>
    </row>
    <row r="26" customFormat="false" ht="12.8" hidden="false" customHeight="false" outlineLevel="0" collapsed="false">
      <c r="A26" s="0" t="s">
        <v>140</v>
      </c>
      <c r="B26" s="3" t="n">
        <f aca="false">SUM(B21:B25)</f>
        <v>1</v>
      </c>
    </row>
    <row r="28" customFormat="false" ht="12.8" hidden="false" customHeight="false" outlineLevel="0" collapsed="false">
      <c r="A28" s="1" t="s">
        <v>141</v>
      </c>
      <c r="B28" s="1"/>
    </row>
    <row r="29" customFormat="false" ht="12.8" hidden="false" customHeight="false" outlineLevel="0" collapsed="false">
      <c r="A29" s="0" t="s">
        <v>49</v>
      </c>
      <c r="B29" s="3" t="n">
        <v>0.67</v>
      </c>
    </row>
    <row r="30" customFormat="false" ht="12.8" hidden="false" customHeight="false" outlineLevel="0" collapsed="false">
      <c r="A30" s="0" t="s">
        <v>47</v>
      </c>
      <c r="B30" s="3" t="n">
        <v>0.16</v>
      </c>
    </row>
    <row r="31" customFormat="false" ht="12.8" hidden="false" customHeight="false" outlineLevel="0" collapsed="false">
      <c r="A31" s="0" t="s">
        <v>142</v>
      </c>
      <c r="B31" s="3" t="n">
        <v>0.02</v>
      </c>
    </row>
    <row r="32" customFormat="false" ht="12.8" hidden="false" customHeight="false" outlineLevel="0" collapsed="false">
      <c r="A32" s="0" t="s">
        <v>143</v>
      </c>
      <c r="B32" s="3" t="n">
        <v>0.08</v>
      </c>
    </row>
    <row r="33" customFormat="false" ht="12.8" hidden="false" customHeight="false" outlineLevel="0" collapsed="false">
      <c r="A33" s="0" t="s">
        <v>144</v>
      </c>
      <c r="B33" s="3" t="n">
        <v>0.05</v>
      </c>
    </row>
    <row r="34" customFormat="false" ht="12.8" hidden="false" customHeight="false" outlineLevel="0" collapsed="false">
      <c r="A34" s="0" t="s">
        <v>145</v>
      </c>
      <c r="B34" s="3" t="n">
        <v>0.02</v>
      </c>
    </row>
    <row r="35" customFormat="false" ht="12.8" hidden="false" customHeight="false" outlineLevel="0" collapsed="false">
      <c r="A35" s="0" t="s">
        <v>146</v>
      </c>
      <c r="B35" s="3" t="n">
        <v>0</v>
      </c>
    </row>
    <row r="37" customFormat="false" ht="12.8" hidden="false" customHeight="false" outlineLevel="0" collapsed="false">
      <c r="A37" s="1" t="s">
        <v>147</v>
      </c>
      <c r="B37" s="1"/>
    </row>
    <row r="38" customFormat="false" ht="12.8" hidden="false" customHeight="false" outlineLevel="0" collapsed="false">
      <c r="A38" s="0" t="s">
        <v>49</v>
      </c>
      <c r="B38" s="3" t="n">
        <v>0.45</v>
      </c>
    </row>
    <row r="39" customFormat="false" ht="12.8" hidden="false" customHeight="false" outlineLevel="0" collapsed="false">
      <c r="A39" s="0" t="s">
        <v>47</v>
      </c>
      <c r="B39" s="3" t="n">
        <v>0.17</v>
      </c>
    </row>
    <row r="40" customFormat="false" ht="12.8" hidden="false" customHeight="false" outlineLevel="0" collapsed="false">
      <c r="A40" s="0" t="s">
        <v>142</v>
      </c>
      <c r="B40" s="3" t="n">
        <v>0.09</v>
      </c>
    </row>
    <row r="41" customFormat="false" ht="12.8" hidden="false" customHeight="false" outlineLevel="0" collapsed="false">
      <c r="A41" s="0" t="s">
        <v>143</v>
      </c>
      <c r="B41" s="3" t="n">
        <v>0.12</v>
      </c>
    </row>
    <row r="42" customFormat="false" ht="12.8" hidden="false" customHeight="false" outlineLevel="0" collapsed="false">
      <c r="A42" s="0" t="s">
        <v>144</v>
      </c>
      <c r="B42" s="3" t="n">
        <v>0.14</v>
      </c>
    </row>
    <row r="43" customFormat="false" ht="12.8" hidden="false" customHeight="false" outlineLevel="0" collapsed="false">
      <c r="A43" s="0" t="s">
        <v>145</v>
      </c>
      <c r="B43" s="3" t="n">
        <v>0.02</v>
      </c>
    </row>
    <row r="44" customFormat="false" ht="12.8" hidden="false" customHeight="false" outlineLevel="0" collapsed="false">
      <c r="A44" s="0" t="s">
        <v>146</v>
      </c>
      <c r="B44" s="3" t="n">
        <v>0.01</v>
      </c>
    </row>
    <row r="47" customFormat="false" ht="12.8" hidden="false" customHeight="false" outlineLevel="0" collapsed="false">
      <c r="A47" s="1" t="s">
        <v>148</v>
      </c>
      <c r="B47" s="1"/>
    </row>
    <row r="48" customFormat="false" ht="12.8" hidden="false" customHeight="false" outlineLevel="0" collapsed="false">
      <c r="B48" s="0" t="s">
        <v>129</v>
      </c>
      <c r="C48" s="0" t="s">
        <v>130</v>
      </c>
    </row>
    <row r="49" customFormat="false" ht="12.8" hidden="false" customHeight="false" outlineLevel="0" collapsed="false">
      <c r="A49" s="0" t="s">
        <v>149</v>
      </c>
      <c r="B49" s="3" t="n">
        <v>0.21</v>
      </c>
      <c r="C49" s="3" t="n">
        <v>0.09</v>
      </c>
    </row>
    <row r="50" customFormat="false" ht="12.8" hidden="false" customHeight="false" outlineLevel="0" collapsed="false">
      <c r="A50" s="0" t="s">
        <v>150</v>
      </c>
      <c r="B50" s="3" t="n">
        <v>0.2</v>
      </c>
      <c r="C50" s="3" t="n">
        <v>0.17</v>
      </c>
    </row>
    <row r="51" customFormat="false" ht="12.8" hidden="false" customHeight="false" outlineLevel="0" collapsed="false">
      <c r="A51" s="0" t="s">
        <v>151</v>
      </c>
      <c r="B51" s="3" t="n">
        <v>0.12</v>
      </c>
      <c r="C51" s="3" t="n">
        <v>0.16</v>
      </c>
    </row>
    <row r="52" customFormat="false" ht="12.8" hidden="false" customHeight="false" outlineLevel="0" collapsed="false">
      <c r="A52" s="0" t="s">
        <v>152</v>
      </c>
      <c r="B52" s="3" t="n">
        <v>0.26</v>
      </c>
      <c r="C52" s="3" t="n">
        <v>0.38</v>
      </c>
    </row>
    <row r="53" customFormat="false" ht="12.8" hidden="false" customHeight="false" outlineLevel="0" collapsed="false">
      <c r="A53" s="0" t="s">
        <v>153</v>
      </c>
      <c r="B53" s="3" t="n">
        <v>0.21</v>
      </c>
      <c r="C53" s="3" t="n">
        <v>0.2</v>
      </c>
    </row>
    <row r="54" customFormat="false" ht="12.8" hidden="false" customHeight="false" outlineLevel="0" collapsed="false">
      <c r="B54" s="3" t="n">
        <f aca="false">SUM(B49:B53)</f>
        <v>1</v>
      </c>
      <c r="C54" s="3" t="n">
        <f aca="false">SUM(C49:C53)</f>
        <v>1</v>
      </c>
    </row>
    <row r="55" customFormat="false" ht="12.8" hidden="false" customHeight="false" outlineLevel="0" collapsed="false">
      <c r="A55" s="0" t="s">
        <v>154</v>
      </c>
      <c r="B55" s="0" t="n">
        <f aca="false">200*B49+85*B50+62*B51+35*B52+12*B53</f>
        <v>78.06</v>
      </c>
      <c r="C55" s="0" t="n">
        <f aca="false">200*C49+85*C50+62*C51+35*C52+12*C53</f>
        <v>58.07</v>
      </c>
    </row>
    <row r="63" customFormat="false" ht="12.8" hidden="false" customHeight="false" outlineLevel="0" collapsed="false">
      <c r="A63" s="1" t="s">
        <v>155</v>
      </c>
      <c r="B63" s="1"/>
    </row>
    <row r="64" customFormat="false" ht="12.8" hidden="false" customHeight="false" outlineLevel="0" collapsed="false">
      <c r="B64" s="0" t="s">
        <v>129</v>
      </c>
      <c r="C64" s="0" t="s">
        <v>130</v>
      </c>
    </row>
    <row r="65" customFormat="false" ht="12.8" hidden="false" customHeight="false" outlineLevel="0" collapsed="false">
      <c r="A65" s="0" t="s">
        <v>156</v>
      </c>
      <c r="B65" s="3" t="n">
        <v>0.23</v>
      </c>
      <c r="C65" s="3" t="n">
        <v>0.08</v>
      </c>
    </row>
    <row r="66" customFormat="false" ht="12.8" hidden="false" customHeight="false" outlineLevel="0" collapsed="false">
      <c r="A66" s="0" t="s">
        <v>157</v>
      </c>
      <c r="B66" s="3" t="n">
        <v>0.36</v>
      </c>
      <c r="C66" s="3" t="n">
        <v>0.24</v>
      </c>
    </row>
    <row r="67" customFormat="false" ht="12.8" hidden="false" customHeight="false" outlineLevel="0" collapsed="false">
      <c r="A67" s="0" t="s">
        <v>158</v>
      </c>
      <c r="B67" s="3" t="n">
        <v>0.14</v>
      </c>
      <c r="C67" s="3" t="n">
        <v>0.17</v>
      </c>
    </row>
    <row r="68" customFormat="false" ht="12.8" hidden="false" customHeight="false" outlineLevel="0" collapsed="false">
      <c r="A68" s="0" t="s">
        <v>159</v>
      </c>
      <c r="B68" s="3" t="n">
        <v>0.13</v>
      </c>
      <c r="C68" s="3" t="n">
        <v>0.19</v>
      </c>
    </row>
    <row r="69" customFormat="false" ht="12.8" hidden="false" customHeight="false" outlineLevel="0" collapsed="false">
      <c r="A69" s="0" t="s">
        <v>160</v>
      </c>
      <c r="B69" s="3" t="n">
        <v>0.12</v>
      </c>
      <c r="C69" s="3" t="n">
        <v>0.28</v>
      </c>
    </row>
    <row r="70" customFormat="false" ht="12.8" hidden="false" customHeight="false" outlineLevel="0" collapsed="false">
      <c r="A70" s="0" t="s">
        <v>161</v>
      </c>
      <c r="B70" s="3" t="n">
        <v>0.02</v>
      </c>
      <c r="C70" s="3" t="n">
        <v>0.04</v>
      </c>
    </row>
    <row r="71" customFormat="false" ht="12.8" hidden="false" customHeight="false" outlineLevel="0" collapsed="false">
      <c r="B71" s="3" t="n">
        <f aca="false">SUM(B65:B70)</f>
        <v>1</v>
      </c>
      <c r="C71" s="3" t="n">
        <f aca="false">SUM(C65:C70)</f>
        <v>1</v>
      </c>
    </row>
    <row r="72" customFormat="false" ht="12.8" hidden="false" customHeight="false" outlineLevel="0" collapsed="false">
      <c r="A72" s="0" t="s">
        <v>154</v>
      </c>
      <c r="B72" s="0" t="n">
        <f aca="false">30000*B65+25000*B66+17000*B67+12500*B68+7500*B69+2500*B70</f>
        <v>20855</v>
      </c>
      <c r="C72" s="0" t="n">
        <f aca="false">30000*C65+25000*C66+17000*C67+12500*C68+7500*C69+2500*C70</f>
        <v>15865</v>
      </c>
    </row>
    <row r="76" customFormat="false" ht="12.8" hidden="false" customHeight="false" outlineLevel="0" collapsed="false">
      <c r="A76" s="1" t="s">
        <v>162</v>
      </c>
      <c r="B76" s="1"/>
    </row>
    <row r="77" customFormat="false" ht="12.8" hidden="false" customHeight="false" outlineLevel="0" collapsed="false">
      <c r="B77" s="0" t="s">
        <v>129</v>
      </c>
      <c r="C77" s="0" t="s">
        <v>130</v>
      </c>
    </row>
    <row r="78" customFormat="false" ht="12.8" hidden="false" customHeight="false" outlineLevel="0" collapsed="false">
      <c r="A78" s="0" t="s">
        <v>149</v>
      </c>
      <c r="B78" s="3" t="n">
        <v>0.19</v>
      </c>
      <c r="C78" s="3" t="n">
        <v>0.07</v>
      </c>
    </row>
    <row r="79" customFormat="false" ht="12.8" hidden="false" customHeight="false" outlineLevel="0" collapsed="false">
      <c r="A79" s="0" t="s">
        <v>150</v>
      </c>
      <c r="B79" s="3" t="n">
        <v>0.07</v>
      </c>
      <c r="C79" s="3" t="n">
        <v>0.08</v>
      </c>
    </row>
    <row r="80" customFormat="false" ht="12.8" hidden="false" customHeight="false" outlineLevel="0" collapsed="false">
      <c r="A80" s="0" t="s">
        <v>151</v>
      </c>
      <c r="B80" s="3" t="n">
        <v>0.08</v>
      </c>
      <c r="C80" s="3" t="n">
        <v>0.09</v>
      </c>
    </row>
    <row r="81" customFormat="false" ht="12.8" hidden="false" customHeight="false" outlineLevel="0" collapsed="false">
      <c r="A81" s="0" t="s">
        <v>152</v>
      </c>
      <c r="B81" s="3" t="n">
        <v>0.21</v>
      </c>
      <c r="C81" s="3" t="n">
        <v>0.24</v>
      </c>
    </row>
    <row r="82" customFormat="false" ht="12.8" hidden="false" customHeight="false" outlineLevel="0" collapsed="false">
      <c r="A82" s="0" t="s">
        <v>153</v>
      </c>
      <c r="B82" s="3" t="n">
        <v>0.45</v>
      </c>
      <c r="C82" s="3" t="n">
        <v>0.52</v>
      </c>
    </row>
    <row r="83" customFormat="false" ht="12.8" hidden="false" customHeight="false" outlineLevel="0" collapsed="false">
      <c r="B83" s="3" t="n">
        <f aca="false">SUM(B78:B82)</f>
        <v>1</v>
      </c>
      <c r="C83" s="3" t="n">
        <f aca="false">SUM(C78:C82)</f>
        <v>1</v>
      </c>
    </row>
    <row r="84" customFormat="false" ht="12.8" hidden="false" customHeight="false" outlineLevel="0" collapsed="false">
      <c r="A84" s="0" t="s">
        <v>154</v>
      </c>
      <c r="B84" s="0" t="n">
        <f aca="false">100*B78+85*B79+62*B80+35*B81+12*B82</f>
        <v>42.66</v>
      </c>
      <c r="C84" s="0" t="n">
        <f aca="false">100*C78+85*C79+62*C80+35*C81+12*C82</f>
        <v>34.02</v>
      </c>
    </row>
    <row r="116" customFormat="false" ht="12.8" hidden="false" customHeight="false" outlineLevel="0" collapsed="false">
      <c r="A116" s="1" t="s">
        <v>163</v>
      </c>
      <c r="B116" s="1"/>
      <c r="C116" s="1"/>
      <c r="D116" s="1"/>
      <c r="E116" s="1"/>
      <c r="F116" s="1"/>
      <c r="G116" s="1"/>
      <c r="H116" s="1"/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</row>
    <row r="146" customFormat="false" ht="12.8" hidden="false" customHeight="false" outlineLevel="0" collapsed="false">
      <c r="A146" s="0" t="s">
        <v>26</v>
      </c>
      <c r="B146" s="0" t="s">
        <v>164</v>
      </c>
      <c r="C146" s="0" t="s">
        <v>165</v>
      </c>
      <c r="D146" s="0" t="s">
        <v>166</v>
      </c>
    </row>
    <row r="147" customFormat="false" ht="12.8" hidden="false" customHeight="false" outlineLevel="0" collapsed="false">
      <c r="A147" s="17" t="s">
        <v>167</v>
      </c>
      <c r="B147" s="17"/>
      <c r="C147" s="17"/>
      <c r="D147" s="17"/>
    </row>
    <row r="148" customFormat="false" ht="12.8" hidden="false" customHeight="false" outlineLevel="0" collapsed="false">
      <c r="A148" s="17" t="s">
        <v>61</v>
      </c>
      <c r="B148" s="17"/>
      <c r="C148" s="17"/>
      <c r="D148" s="17"/>
    </row>
    <row r="149" customFormat="false" ht="12.8" hidden="false" customHeight="false" outlineLevel="0" collapsed="false">
      <c r="A149" s="17" t="s">
        <v>168</v>
      </c>
      <c r="B149" s="17"/>
      <c r="C149" s="17"/>
      <c r="D149" s="17"/>
    </row>
    <row r="150" customFormat="false" ht="12.8" hidden="false" customHeight="false" outlineLevel="0" collapsed="false">
      <c r="A150" s="17" t="s">
        <v>169</v>
      </c>
      <c r="B150" s="17" t="s">
        <v>170</v>
      </c>
      <c r="C150" s="17"/>
      <c r="D150" s="17"/>
    </row>
    <row r="152" customFormat="false" ht="12.8" hidden="false" customHeight="false" outlineLevel="0" collapsed="false">
      <c r="A152" s="17" t="s">
        <v>171</v>
      </c>
      <c r="B152" s="17"/>
      <c r="C152" s="17"/>
      <c r="D152" s="17"/>
    </row>
    <row r="153" customFormat="false" ht="12.8" hidden="false" customHeight="false" outlineLevel="0" collapsed="false">
      <c r="A153" s="17" t="s">
        <v>61</v>
      </c>
      <c r="B153" s="17"/>
      <c r="C153" s="17"/>
      <c r="D153" s="17"/>
    </row>
    <row r="154" customFormat="false" ht="12.8" hidden="false" customHeight="false" outlineLevel="0" collapsed="false">
      <c r="A154" s="17" t="s">
        <v>168</v>
      </c>
      <c r="B154" s="17"/>
      <c r="C154" s="17"/>
      <c r="D154" s="17"/>
    </row>
    <row r="155" customFormat="false" ht="12.8" hidden="false" customHeight="false" outlineLevel="0" collapsed="false">
      <c r="A155" s="17" t="s">
        <v>169</v>
      </c>
      <c r="B155" s="17" t="s">
        <v>172</v>
      </c>
      <c r="C155" s="17"/>
      <c r="D155" s="17"/>
    </row>
    <row r="157" customFormat="false" ht="12.8" hidden="false" customHeight="false" outlineLevel="0" collapsed="false">
      <c r="A157" s="17" t="s">
        <v>173</v>
      </c>
      <c r="B157" s="17"/>
      <c r="C157" s="17"/>
      <c r="D157" s="17"/>
    </row>
    <row r="158" customFormat="false" ht="12.8" hidden="false" customHeight="false" outlineLevel="0" collapsed="false">
      <c r="A158" s="17" t="s">
        <v>61</v>
      </c>
      <c r="B158" s="17"/>
      <c r="C158" s="17"/>
      <c r="D158" s="17"/>
    </row>
    <row r="159" customFormat="false" ht="12.8" hidden="false" customHeight="false" outlineLevel="0" collapsed="false">
      <c r="A159" s="17" t="s">
        <v>168</v>
      </c>
      <c r="B159" s="17"/>
      <c r="C159" s="17"/>
      <c r="D159" s="17"/>
    </row>
    <row r="160" customFormat="false" ht="12.8" hidden="false" customHeight="false" outlineLevel="0" collapsed="false">
      <c r="A160" s="17" t="s">
        <v>169</v>
      </c>
      <c r="B160" s="17" t="s">
        <v>172</v>
      </c>
      <c r="C160" s="17"/>
      <c r="D160" s="17"/>
    </row>
  </sheetData>
  <mergeCells count="11">
    <mergeCell ref="A1:K2"/>
    <mergeCell ref="O1:Y2"/>
    <mergeCell ref="A11:K12"/>
    <mergeCell ref="A14:B14"/>
    <mergeCell ref="A20:B20"/>
    <mergeCell ref="A28:B28"/>
    <mergeCell ref="A37:B37"/>
    <mergeCell ref="A47:B47"/>
    <mergeCell ref="A63:B63"/>
    <mergeCell ref="A76:B76"/>
    <mergeCell ref="A116:H11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0" activeCellId="1" sqref="23:23 R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4.77"/>
    <col collapsed="false" customWidth="true" hidden="false" outlineLevel="0" max="4" min="4" style="0" width="16.43"/>
    <col collapsed="false" customWidth="true" hidden="false" outlineLevel="0" max="6" min="6" style="0" width="12.96"/>
    <col collapsed="false" customWidth="true" hidden="false" outlineLevel="0" max="7" min="7" style="0" width="12.41"/>
    <col collapsed="false" customWidth="true" hidden="false" outlineLevel="0" max="8" min="8" style="0" width="14.77"/>
    <col collapsed="false" customWidth="true" hidden="false" outlineLevel="0" max="9" min="9" style="0" width="12.41"/>
    <col collapsed="false" customWidth="true" hidden="false" outlineLevel="0" max="12" min="11" style="0" width="12.96"/>
    <col collapsed="false" customWidth="true" hidden="false" outlineLevel="0" max="13" min="13" style="0" width="12.13"/>
    <col collapsed="false" customWidth="true" hidden="false" outlineLevel="0" max="16" min="16" style="0" width="19.21"/>
    <col collapsed="false" customWidth="true" hidden="false" outlineLevel="0" max="17" min="17" style="0" width="14.08"/>
  </cols>
  <sheetData>
    <row r="1" customFormat="false" ht="12.8" hidden="false" customHeight="false" outlineLevel="0" collapsed="false">
      <c r="A1" s="14" t="s">
        <v>174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7"/>
    </row>
    <row r="2" customFormat="false" ht="12.8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7"/>
    </row>
    <row r="3" customFormat="false" ht="12.8" hidden="false" customHeight="false" outlineLevel="0" collapsed="false">
      <c r="A3" s="17"/>
      <c r="B3" s="17" t="s">
        <v>112</v>
      </c>
      <c r="C3" s="17" t="s">
        <v>113</v>
      </c>
      <c r="D3" s="17" t="s">
        <v>114</v>
      </c>
      <c r="E3" s="17" t="s">
        <v>175</v>
      </c>
      <c r="F3" s="17" t="s">
        <v>176</v>
      </c>
      <c r="G3" s="17" t="s">
        <v>117</v>
      </c>
      <c r="H3" s="17" t="s">
        <v>118</v>
      </c>
      <c r="I3" s="17" t="s">
        <v>55</v>
      </c>
      <c r="J3" s="17" t="s">
        <v>57</v>
      </c>
      <c r="K3" s="17" t="s">
        <v>119</v>
      </c>
      <c r="L3" s="17" t="s">
        <v>177</v>
      </c>
    </row>
    <row r="4" customFormat="false" ht="12.8" hidden="false" customHeight="false" outlineLevel="0" collapsed="false">
      <c r="A4" s="17" t="s">
        <v>26</v>
      </c>
      <c r="B4" s="22" t="n">
        <v>0.22</v>
      </c>
      <c r="C4" s="22" t="n">
        <v>0</v>
      </c>
      <c r="D4" s="22" t="n">
        <v>0</v>
      </c>
      <c r="E4" s="22" t="n">
        <v>0</v>
      </c>
      <c r="F4" s="22" t="n">
        <v>0.63</v>
      </c>
      <c r="G4" s="22" t="n">
        <v>0</v>
      </c>
      <c r="H4" s="22" t="n">
        <v>0</v>
      </c>
      <c r="I4" s="22" t="n">
        <v>0.15</v>
      </c>
      <c r="J4" s="22" t="n">
        <v>0</v>
      </c>
      <c r="K4" s="22" t="n">
        <v>0</v>
      </c>
      <c r="L4" s="22" t="n">
        <f aca="false">SUM(B4:K4)</f>
        <v>1</v>
      </c>
    </row>
    <row r="5" customFormat="false" ht="12.8" hidden="false" customHeight="false" outlineLevel="0" collapsed="false">
      <c r="A5" s="17" t="s">
        <v>123</v>
      </c>
      <c r="B5" s="17" t="n">
        <v>4</v>
      </c>
      <c r="C5" s="17"/>
      <c r="D5" s="17"/>
      <c r="E5" s="17"/>
      <c r="F5" s="17" t="n">
        <v>21</v>
      </c>
      <c r="G5" s="17"/>
      <c r="H5" s="17"/>
      <c r="I5" s="17" t="n">
        <v>25</v>
      </c>
      <c r="J5" s="17"/>
      <c r="K5" s="17"/>
      <c r="L5" s="17"/>
      <c r="P5" s="10" t="s">
        <v>178</v>
      </c>
      <c r="Q5" s="10"/>
    </row>
    <row r="6" customFormat="false" ht="12.8" hidden="false" customHeight="false" outlineLevel="0" collapsed="false">
      <c r="A6" s="17" t="s">
        <v>124</v>
      </c>
      <c r="B6" s="22"/>
      <c r="C6" s="22"/>
      <c r="D6" s="22" t="n">
        <v>0.14</v>
      </c>
      <c r="E6" s="22" t="n">
        <v>0</v>
      </c>
      <c r="F6" s="22" t="n">
        <v>0</v>
      </c>
      <c r="G6" s="22" t="n">
        <v>0.75</v>
      </c>
      <c r="H6" s="22" t="n">
        <v>0</v>
      </c>
      <c r="I6" s="22" t="n">
        <v>0.11</v>
      </c>
      <c r="J6" s="22" t="n">
        <v>0</v>
      </c>
      <c r="K6" s="22" t="n">
        <v>0</v>
      </c>
      <c r="L6" s="22" t="n">
        <f aca="false">SUM(B6:K6)</f>
        <v>1</v>
      </c>
      <c r="P6" s="10"/>
      <c r="Q6" s="10"/>
    </row>
    <row r="7" customFormat="false" ht="12.8" hidden="false" customHeight="false" outlineLevel="0" collapsed="false">
      <c r="A7" s="17" t="s">
        <v>125</v>
      </c>
      <c r="B7" s="27" t="n">
        <v>4</v>
      </c>
      <c r="C7" s="27" t="n">
        <v>4</v>
      </c>
      <c r="D7" s="27" t="n">
        <v>4</v>
      </c>
      <c r="E7" s="27"/>
      <c r="F7" s="27"/>
      <c r="G7" s="27" t="n">
        <v>30</v>
      </c>
      <c r="H7" s="27"/>
      <c r="I7" s="27" t="n">
        <v>31</v>
      </c>
      <c r="J7" s="27"/>
      <c r="K7" s="27"/>
      <c r="L7" s="27"/>
      <c r="P7" s="0" t="s">
        <v>179</v>
      </c>
      <c r="Q7" s="0" t="n">
        <v>300</v>
      </c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2.8" hidden="false" customHeight="false" outlineLevel="0" collapsed="false">
      <c r="A9" s="17" t="s">
        <v>180</v>
      </c>
      <c r="B9" s="17" t="n">
        <v>0.3</v>
      </c>
      <c r="C9" s="17"/>
      <c r="P9" s="2" t="s">
        <v>181</v>
      </c>
    </row>
    <row r="10" customFormat="false" ht="12.8" hidden="false" customHeight="false" outlineLevel="0" collapsed="false">
      <c r="A10" s="17" t="s">
        <v>182</v>
      </c>
      <c r="B10" s="17" t="n">
        <v>250</v>
      </c>
      <c r="C10" s="17"/>
      <c r="P10" s="0" t="s">
        <v>183</v>
      </c>
      <c r="Q10" s="0" t="n">
        <f aca="false">Q7*F4*F5*B45</f>
        <v>992250</v>
      </c>
      <c r="R10" s="0" t="s">
        <v>12</v>
      </c>
    </row>
    <row r="11" customFormat="false" ht="12.8" hidden="false" customHeight="false" outlineLevel="0" collapsed="false">
      <c r="A11" s="17" t="s">
        <v>184</v>
      </c>
      <c r="B11" s="17" t="n">
        <v>20</v>
      </c>
      <c r="C11" s="17" t="s">
        <v>12</v>
      </c>
      <c r="P11" s="0" t="s">
        <v>185</v>
      </c>
      <c r="Q11" s="0" t="n">
        <f aca="false">Q7*B4*B7*B45</f>
        <v>66000</v>
      </c>
      <c r="R11" s="0" t="s">
        <v>12</v>
      </c>
    </row>
    <row r="12" customFormat="false" ht="12.8" hidden="false" customHeight="false" outlineLevel="0" collapsed="false">
      <c r="A12" s="17" t="s">
        <v>186</v>
      </c>
      <c r="B12" s="17" t="n">
        <v>15</v>
      </c>
      <c r="C12" s="17" t="s">
        <v>12</v>
      </c>
      <c r="P12" s="0" t="s">
        <v>187</v>
      </c>
      <c r="Q12" s="0" t="n">
        <f aca="false">Q7*I4*I5*B45</f>
        <v>281250</v>
      </c>
      <c r="R12" s="0" t="s">
        <v>12</v>
      </c>
    </row>
    <row r="14" customFormat="false" ht="12.8" hidden="false" customHeight="false" outlineLevel="0" collapsed="false">
      <c r="P14" s="2" t="s">
        <v>188</v>
      </c>
    </row>
    <row r="15" customFormat="false" ht="12.8" hidden="false" customHeight="false" outlineLevel="0" collapsed="false">
      <c r="A15" s="29" t="s">
        <v>189</v>
      </c>
      <c r="B15" s="29"/>
      <c r="C15" s="30"/>
      <c r="P15" s="0" t="s">
        <v>190</v>
      </c>
      <c r="Q15" s="0" t="n">
        <f aca="false">B9*Q7</f>
        <v>90</v>
      </c>
    </row>
    <row r="16" customFormat="false" ht="12.8" hidden="false" customHeight="false" outlineLevel="0" collapsed="false">
      <c r="A16" s="30" t="s">
        <v>81</v>
      </c>
      <c r="B16" s="31" t="n">
        <v>1200</v>
      </c>
      <c r="C16" s="30"/>
      <c r="P16" s="0" t="s">
        <v>191</v>
      </c>
      <c r="Q16" s="0" t="n">
        <f aca="false">Q15*B10</f>
        <v>22500</v>
      </c>
    </row>
    <row r="17" customFormat="false" ht="12.8" hidden="false" customHeight="false" outlineLevel="0" collapsed="false">
      <c r="A17" s="30" t="s">
        <v>192</v>
      </c>
      <c r="B17" s="31" t="n">
        <v>30</v>
      </c>
      <c r="C17" s="30"/>
      <c r="P17" s="0" t="s">
        <v>183</v>
      </c>
      <c r="Q17" s="0" t="n">
        <f aca="false">G7*Q16*G6</f>
        <v>506250</v>
      </c>
      <c r="R17" s="0" t="s">
        <v>12</v>
      </c>
    </row>
    <row r="18" customFormat="false" ht="12.8" hidden="false" customHeight="false" outlineLevel="0" collapsed="false">
      <c r="A18" s="30" t="s">
        <v>193</v>
      </c>
      <c r="B18" s="30" t="n">
        <v>3</v>
      </c>
      <c r="C18" s="30" t="s">
        <v>194</v>
      </c>
      <c r="P18" s="0" t="s">
        <v>185</v>
      </c>
      <c r="Q18" s="0" t="n">
        <f aca="false">Q16*D7*D6</f>
        <v>12600</v>
      </c>
      <c r="R18" s="0" t="s">
        <v>12</v>
      </c>
    </row>
    <row r="19" customFormat="false" ht="12.8" hidden="false" customHeight="false" outlineLevel="0" collapsed="false">
      <c r="A19" s="30" t="s">
        <v>195</v>
      </c>
      <c r="B19" s="31" t="n">
        <f aca="false">B16/B18</f>
        <v>400</v>
      </c>
      <c r="C19" s="30"/>
      <c r="P19" s="0" t="s">
        <v>187</v>
      </c>
      <c r="Q19" s="0" t="n">
        <f aca="false">Q16*I6*I7</f>
        <v>76725</v>
      </c>
      <c r="R19" s="0" t="s">
        <v>12</v>
      </c>
    </row>
    <row r="20" customFormat="false" ht="12.8" hidden="false" customHeight="false" outlineLevel="0" collapsed="false">
      <c r="A20" s="30" t="s">
        <v>196</v>
      </c>
      <c r="B20" s="31" t="n">
        <f aca="false">B19+B17*12</f>
        <v>760</v>
      </c>
      <c r="C20" s="30"/>
    </row>
    <row r="21" customFormat="false" ht="12.8" hidden="false" customHeight="false" outlineLevel="0" collapsed="false">
      <c r="A21" s="30" t="s">
        <v>197</v>
      </c>
      <c r="B21" s="30" t="n">
        <f aca="false">Q18/Q26</f>
        <v>1260</v>
      </c>
      <c r="C21" s="30"/>
      <c r="P21" s="2" t="s">
        <v>198</v>
      </c>
    </row>
    <row r="22" customFormat="false" ht="12.8" hidden="false" customHeight="false" outlineLevel="0" collapsed="false">
      <c r="A22" s="30" t="s">
        <v>199</v>
      </c>
      <c r="B22" s="31" t="n">
        <f aca="false">B20/B21</f>
        <v>0.603174603174603</v>
      </c>
      <c r="C22" s="30"/>
      <c r="P22" s="0" t="s">
        <v>200</v>
      </c>
      <c r="Q22" s="0" t="n">
        <f aca="false">1.5*G6*Q15*20/(90*0.75)</f>
        <v>30</v>
      </c>
    </row>
    <row r="23" customFormat="false" ht="12.8" hidden="false" customHeight="false" outlineLevel="0" collapsed="false">
      <c r="P23" s="0" t="s">
        <v>201</v>
      </c>
      <c r="Q23" s="8" t="n">
        <f aca="false">B41</f>
        <v>0.290266666666667</v>
      </c>
    </row>
    <row r="24" customFormat="false" ht="12.8" hidden="false" customHeight="false" outlineLevel="0" collapsed="false">
      <c r="P24" s="0" t="s">
        <v>202</v>
      </c>
      <c r="Q24" s="0" t="n">
        <f aca="false">Q17/Q22</f>
        <v>16875</v>
      </c>
    </row>
    <row r="25" customFormat="false" ht="12.8" hidden="false" customHeight="false" outlineLevel="0" collapsed="false">
      <c r="P25" s="0" t="s">
        <v>203</v>
      </c>
      <c r="Q25" s="0" t="s">
        <v>204</v>
      </c>
    </row>
    <row r="26" customFormat="false" ht="12.8" hidden="false" customHeight="false" outlineLevel="0" collapsed="false">
      <c r="P26" s="0" t="s">
        <v>205</v>
      </c>
      <c r="Q26" s="0" t="n">
        <v>10</v>
      </c>
    </row>
    <row r="27" customFormat="false" ht="12.8" hidden="false" customHeight="false" outlineLevel="0" collapsed="false">
      <c r="A27" s="29" t="s">
        <v>76</v>
      </c>
      <c r="B27" s="29"/>
    </row>
    <row r="28" customFormat="false" ht="12.8" hidden="false" customHeight="false" outlineLevel="0" collapsed="false">
      <c r="A28" s="30" t="s">
        <v>81</v>
      </c>
      <c r="B28" s="32" t="n">
        <v>30000</v>
      </c>
      <c r="P28" s="0" t="s">
        <v>206</v>
      </c>
    </row>
    <row r="29" customFormat="false" ht="12.8" hidden="false" customHeight="false" outlineLevel="0" collapsed="false">
      <c r="A29" s="30" t="s">
        <v>83</v>
      </c>
      <c r="B29" s="33" t="n">
        <v>0.05</v>
      </c>
      <c r="P29" s="34"/>
      <c r="Q29" s="34" t="s">
        <v>207</v>
      </c>
      <c r="R29" s="34" t="s">
        <v>208</v>
      </c>
    </row>
    <row r="30" customFormat="false" ht="12.8" hidden="false" customHeight="false" outlineLevel="0" collapsed="false">
      <c r="A30" s="30" t="s">
        <v>85</v>
      </c>
      <c r="B30" s="32" t="n">
        <f aca="false">B28*B29</f>
        <v>1500</v>
      </c>
      <c r="P30" s="10" t="s">
        <v>26</v>
      </c>
      <c r="Q30" s="10"/>
      <c r="R30" s="10"/>
    </row>
    <row r="31" customFormat="false" ht="12.8" hidden="false" customHeight="false" outlineLevel="0" collapsed="false">
      <c r="A31" s="30" t="s">
        <v>87</v>
      </c>
      <c r="B31" s="30" t="n">
        <f aca="false">Q24</f>
        <v>16875</v>
      </c>
      <c r="P31" s="0" t="s">
        <v>61</v>
      </c>
      <c r="Q31" s="0" t="n">
        <f aca="false">Q10*$B$52</f>
        <v>0</v>
      </c>
      <c r="R31" s="35" t="n">
        <f aca="false">Q7*B4*B57*12</f>
        <v>11880</v>
      </c>
    </row>
    <row r="32" customFormat="false" ht="12.8" hidden="false" customHeight="false" outlineLevel="0" collapsed="false">
      <c r="A32" s="30" t="s">
        <v>89</v>
      </c>
      <c r="B32" s="32" t="n">
        <v>60</v>
      </c>
      <c r="P32" s="0" t="s">
        <v>209</v>
      </c>
      <c r="Q32" s="0" t="n">
        <f aca="false">Q10*$B$49</f>
        <v>198450</v>
      </c>
      <c r="R32" s="36" t="n">
        <f aca="false">Q10*B60</f>
        <v>297675</v>
      </c>
    </row>
    <row r="33" customFormat="false" ht="12.8" hidden="false" customHeight="false" outlineLevel="0" collapsed="false">
      <c r="A33" s="30" t="s">
        <v>91</v>
      </c>
      <c r="B33" s="32" t="n">
        <f aca="false">12*B32</f>
        <v>720</v>
      </c>
      <c r="P33" s="0" t="s">
        <v>210</v>
      </c>
      <c r="Q33" s="0" t="n">
        <f aca="false">Q12*$B$47</f>
        <v>28125</v>
      </c>
      <c r="R33" s="36" t="n">
        <f aca="false">Q7*I4*12*B59</f>
        <v>32400</v>
      </c>
    </row>
    <row r="34" customFormat="false" ht="12.8" hidden="false" customHeight="false" outlineLevel="0" collapsed="false">
      <c r="A34" s="30" t="s">
        <v>92</v>
      </c>
      <c r="B34" s="32" t="n">
        <v>100</v>
      </c>
      <c r="P34" s="10" t="s">
        <v>188</v>
      </c>
      <c r="Q34" s="10"/>
      <c r="R34" s="10"/>
    </row>
    <row r="35" customFormat="false" ht="12.8" hidden="false" customHeight="false" outlineLevel="0" collapsed="false">
      <c r="A35" s="30" t="s">
        <v>94</v>
      </c>
      <c r="B35" s="32" t="n">
        <f aca="false">12*B34</f>
        <v>1200</v>
      </c>
      <c r="P35" s="0" t="s">
        <v>61</v>
      </c>
      <c r="Q35" s="0" t="n">
        <f aca="false">Q18*$B$52</f>
        <v>0</v>
      </c>
      <c r="R35" s="35" t="n">
        <f aca="false">Q18*B22</f>
        <v>7600</v>
      </c>
    </row>
    <row r="36" customFormat="false" ht="12.8" hidden="false" customHeight="false" outlineLevel="0" collapsed="false">
      <c r="A36" s="30" t="s">
        <v>96</v>
      </c>
      <c r="B36" s="32" t="n">
        <v>1.46</v>
      </c>
      <c r="P36" s="0" t="s">
        <v>209</v>
      </c>
      <c r="Q36" s="0" t="n">
        <f aca="false">Q17*$B$49</f>
        <v>101250</v>
      </c>
      <c r="R36" s="8" t="n">
        <f aca="false">Q17*B41</f>
        <v>146947.5</v>
      </c>
    </row>
    <row r="37" customFormat="false" ht="12.8" hidden="false" customHeight="false" outlineLevel="0" collapsed="false">
      <c r="A37" s="30" t="s">
        <v>99</v>
      </c>
      <c r="B37" s="30" t="n">
        <v>6</v>
      </c>
      <c r="P37" s="0" t="s">
        <v>210</v>
      </c>
      <c r="Q37" s="0" t="n">
        <f aca="false">Q19*$B$47</f>
        <v>7672.5</v>
      </c>
      <c r="R37" s="36" t="n">
        <f aca="false">Q19*B56</f>
        <v>11508.75</v>
      </c>
    </row>
    <row r="38" customFormat="false" ht="12.8" hidden="false" customHeight="false" outlineLevel="0" collapsed="false">
      <c r="A38" s="30" t="s">
        <v>102</v>
      </c>
      <c r="B38" s="32" t="n">
        <f aca="false">B31*B37/100*B36</f>
        <v>1478.25</v>
      </c>
    </row>
    <row r="39" customFormat="false" ht="12.8" hidden="false" customHeight="false" outlineLevel="0" collapsed="false">
      <c r="A39" s="30" t="s">
        <v>101</v>
      </c>
      <c r="B39" s="30" t="n">
        <v>2.33</v>
      </c>
      <c r="P39" s="0" t="s">
        <v>140</v>
      </c>
      <c r="Q39" s="0" t="n">
        <f aca="false">Q31+Q32+Q33+Q36+Q35+Q37</f>
        <v>335497.5</v>
      </c>
      <c r="R39" s="37" t="n">
        <f aca="false">R35+R36+R37</f>
        <v>166056.25</v>
      </c>
    </row>
    <row r="40" customFormat="false" ht="12.8" hidden="false" customHeight="false" outlineLevel="0" collapsed="false">
      <c r="A40" s="38" t="s">
        <v>105</v>
      </c>
      <c r="B40" s="39" t="n">
        <f aca="false">B30+B33+B35+B38</f>
        <v>4898.25</v>
      </c>
    </row>
    <row r="41" customFormat="false" ht="12.8" hidden="false" customHeight="false" outlineLevel="0" collapsed="false">
      <c r="A41" s="40" t="s">
        <v>106</v>
      </c>
      <c r="B41" s="41" t="n">
        <f aca="false">B40/B31</f>
        <v>0.290266666666667</v>
      </c>
    </row>
    <row r="42" customFormat="false" ht="12.8" hidden="false" customHeight="false" outlineLevel="0" collapsed="false">
      <c r="A42" s="30" t="s">
        <v>107</v>
      </c>
      <c r="B42" s="30" t="n">
        <f aca="false">(B31*B37/100)*2.33</f>
        <v>2359.125</v>
      </c>
    </row>
    <row r="45" customFormat="false" ht="12.8" hidden="false" customHeight="false" outlineLevel="0" collapsed="false">
      <c r="A45" s="0" t="s">
        <v>182</v>
      </c>
      <c r="B45" s="0" t="n">
        <v>250</v>
      </c>
    </row>
    <row r="46" customFormat="false" ht="12.8" hidden="false" customHeight="false" outlineLevel="0" collapsed="false">
      <c r="A46" s="2" t="s">
        <v>53</v>
      </c>
    </row>
    <row r="47" customFormat="false" ht="12.8" hidden="false" customHeight="false" outlineLevel="0" collapsed="false">
      <c r="A47" s="0" t="s">
        <v>55</v>
      </c>
      <c r="B47" s="0" t="n">
        <v>0.1</v>
      </c>
      <c r="C47" s="0" t="s">
        <v>56</v>
      </c>
    </row>
    <row r="48" customFormat="false" ht="12.8" hidden="false" customHeight="false" outlineLevel="0" collapsed="false">
      <c r="A48" s="0" t="s">
        <v>57</v>
      </c>
      <c r="B48" s="0" t="n">
        <v>0.2113</v>
      </c>
      <c r="C48" s="0" t="s">
        <v>56</v>
      </c>
    </row>
    <row r="49" customFormat="false" ht="12.8" hidden="false" customHeight="false" outlineLevel="0" collapsed="false">
      <c r="A49" s="0" t="s">
        <v>47</v>
      </c>
      <c r="B49" s="0" t="n">
        <v>0.2</v>
      </c>
      <c r="C49" s="0" t="s">
        <v>56</v>
      </c>
    </row>
    <row r="50" customFormat="false" ht="12.8" hidden="false" customHeight="false" outlineLevel="0" collapsed="false">
      <c r="A50" s="0" t="s">
        <v>59</v>
      </c>
      <c r="B50" s="0" t="n">
        <v>0.004</v>
      </c>
      <c r="C50" s="0" t="s">
        <v>56</v>
      </c>
    </row>
    <row r="51" customFormat="false" ht="12.8" hidden="false" customHeight="false" outlineLevel="0" collapsed="false">
      <c r="A51" s="0" t="s">
        <v>60</v>
      </c>
      <c r="B51" s="0" t="n">
        <v>0.0356</v>
      </c>
      <c r="C51" s="0" t="s">
        <v>56</v>
      </c>
    </row>
    <row r="52" customFormat="false" ht="12.8" hidden="false" customHeight="false" outlineLevel="0" collapsed="false">
      <c r="A52" s="0" t="s">
        <v>61</v>
      </c>
      <c r="B52" s="0" t="n">
        <v>0</v>
      </c>
      <c r="C52" s="0" t="s">
        <v>56</v>
      </c>
    </row>
    <row r="53" customFormat="false" ht="12.8" hidden="false" customHeight="false" outlineLevel="0" collapsed="false">
      <c r="A53" s="0" t="s">
        <v>62</v>
      </c>
      <c r="B53" s="0" t="n">
        <f aca="false">B44*20/100</f>
        <v>0</v>
      </c>
      <c r="C53" s="0" t="s">
        <v>56</v>
      </c>
    </row>
    <row r="55" customFormat="false" ht="12.8" hidden="false" customHeight="false" outlineLevel="0" collapsed="false">
      <c r="A55" s="2" t="s">
        <v>211</v>
      </c>
    </row>
    <row r="56" customFormat="false" ht="12.8" hidden="false" customHeight="false" outlineLevel="0" collapsed="false">
      <c r="A56" s="0" t="s">
        <v>34</v>
      </c>
      <c r="B56" s="36" t="n">
        <v>0.15</v>
      </c>
      <c r="C56" s="0" t="s">
        <v>31</v>
      </c>
    </row>
    <row r="57" customFormat="false" ht="12.8" hidden="false" customHeight="false" outlineLevel="0" collapsed="false">
      <c r="A57" s="0" t="s">
        <v>40</v>
      </c>
      <c r="B57" s="36" t="n">
        <v>15</v>
      </c>
      <c r="C57" s="0" t="s">
        <v>41</v>
      </c>
    </row>
    <row r="58" customFormat="false" ht="12.8" hidden="false" customHeight="false" outlineLevel="0" collapsed="false">
      <c r="A58" s="0" t="s">
        <v>43</v>
      </c>
      <c r="B58" s="8" t="n">
        <v>0.2</v>
      </c>
    </row>
    <row r="59" customFormat="false" ht="12.8" hidden="false" customHeight="false" outlineLevel="0" collapsed="false">
      <c r="A59" s="0" t="s">
        <v>212</v>
      </c>
      <c r="B59" s="36" t="n">
        <v>60</v>
      </c>
    </row>
    <row r="60" customFormat="false" ht="12.8" hidden="false" customHeight="false" outlineLevel="0" collapsed="false">
      <c r="A60" s="0" t="s">
        <v>213</v>
      </c>
      <c r="B60" s="36" t="n">
        <v>0.3</v>
      </c>
    </row>
  </sheetData>
  <mergeCells count="6">
    <mergeCell ref="A1:K2"/>
    <mergeCell ref="P5:Q6"/>
    <mergeCell ref="A15:B15"/>
    <mergeCell ref="A27:B27"/>
    <mergeCell ref="P30:R30"/>
    <mergeCell ref="P34:R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23:23 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4.77"/>
    <col collapsed="false" customWidth="true" hidden="false" outlineLevel="0" max="4" min="4" style="0" width="16.43"/>
    <col collapsed="false" customWidth="true" hidden="false" outlineLevel="0" max="6" min="6" style="0" width="12.96"/>
    <col collapsed="false" customWidth="true" hidden="false" outlineLevel="0" max="7" min="7" style="0" width="12.41"/>
    <col collapsed="false" customWidth="true" hidden="false" outlineLevel="0" max="8" min="8" style="0" width="14.77"/>
    <col collapsed="false" customWidth="true" hidden="false" outlineLevel="0" max="9" min="9" style="0" width="12.41"/>
    <col collapsed="false" customWidth="true" hidden="false" outlineLevel="0" max="12" min="11" style="0" width="12.96"/>
    <col collapsed="false" customWidth="true" hidden="false" outlineLevel="0" max="13" min="13" style="0" width="12.13"/>
    <col collapsed="false" customWidth="true" hidden="false" outlineLevel="0" max="16" min="16" style="0" width="19.21"/>
    <col collapsed="false" customWidth="true" hidden="false" outlineLevel="0" max="17" min="17" style="0" width="14.08"/>
  </cols>
  <sheetData>
    <row r="1" customFormat="false" ht="12.8" hidden="false" customHeight="false" outlineLevel="0" collapsed="false">
      <c r="A1" s="14" t="s">
        <v>174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7"/>
    </row>
    <row r="2" customFormat="false" ht="12.8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7"/>
    </row>
    <row r="3" customFormat="false" ht="12.8" hidden="false" customHeight="false" outlineLevel="0" collapsed="false">
      <c r="A3" s="17"/>
      <c r="B3" s="17" t="s">
        <v>112</v>
      </c>
      <c r="C3" s="17" t="s">
        <v>113</v>
      </c>
      <c r="D3" s="17" t="s">
        <v>114</v>
      </c>
      <c r="E3" s="17" t="s">
        <v>175</v>
      </c>
      <c r="F3" s="17" t="s">
        <v>176</v>
      </c>
      <c r="G3" s="17" t="s">
        <v>117</v>
      </c>
      <c r="H3" s="17" t="s">
        <v>118</v>
      </c>
      <c r="I3" s="17" t="s">
        <v>55</v>
      </c>
      <c r="J3" s="17" t="s">
        <v>57</v>
      </c>
      <c r="K3" s="17" t="s">
        <v>119</v>
      </c>
      <c r="L3" s="17" t="s">
        <v>177</v>
      </c>
    </row>
    <row r="4" customFormat="false" ht="12.8" hidden="false" customHeight="false" outlineLevel="0" collapsed="false">
      <c r="A4" s="17" t="s">
        <v>26</v>
      </c>
      <c r="B4" s="22" t="n">
        <v>0.32</v>
      </c>
      <c r="C4" s="22" t="n">
        <v>0</v>
      </c>
      <c r="D4" s="22" t="n">
        <v>0</v>
      </c>
      <c r="E4" s="22" t="n">
        <v>0</v>
      </c>
      <c r="F4" s="22" t="n">
        <v>0.43</v>
      </c>
      <c r="G4" s="22" t="n">
        <v>0</v>
      </c>
      <c r="H4" s="22" t="n">
        <v>0</v>
      </c>
      <c r="I4" s="22" t="n">
        <v>0.25</v>
      </c>
      <c r="J4" s="22" t="n">
        <v>0</v>
      </c>
      <c r="K4" s="22" t="n">
        <v>0</v>
      </c>
      <c r="L4" s="22" t="n">
        <f aca="false">SUM(B4:K4)</f>
        <v>1</v>
      </c>
    </row>
    <row r="5" customFormat="false" ht="12.8" hidden="false" customHeight="false" outlineLevel="0" collapsed="false">
      <c r="A5" s="17" t="s">
        <v>123</v>
      </c>
      <c r="B5" s="17" t="n">
        <v>4</v>
      </c>
      <c r="C5" s="17"/>
      <c r="D5" s="17"/>
      <c r="E5" s="17"/>
      <c r="F5" s="17" t="n">
        <v>21</v>
      </c>
      <c r="G5" s="17"/>
      <c r="H5" s="17"/>
      <c r="I5" s="17" t="n">
        <v>25</v>
      </c>
      <c r="J5" s="17"/>
      <c r="K5" s="17"/>
      <c r="L5" s="17"/>
      <c r="P5" s="10" t="s">
        <v>178</v>
      </c>
      <c r="Q5" s="10"/>
    </row>
    <row r="6" customFormat="false" ht="12.8" hidden="false" customHeight="false" outlineLevel="0" collapsed="false">
      <c r="A6" s="17" t="s">
        <v>124</v>
      </c>
      <c r="B6" s="22"/>
      <c r="C6" s="22"/>
      <c r="D6" s="22" t="n">
        <v>0.14</v>
      </c>
      <c r="E6" s="22" t="n">
        <v>0</v>
      </c>
      <c r="F6" s="22" t="n">
        <v>0</v>
      </c>
      <c r="G6" s="22" t="n">
        <v>0.5</v>
      </c>
      <c r="H6" s="22" t="n">
        <v>0</v>
      </c>
      <c r="I6" s="22" t="n">
        <v>0.36</v>
      </c>
      <c r="J6" s="22" t="n">
        <v>0</v>
      </c>
      <c r="K6" s="22" t="n">
        <v>0</v>
      </c>
      <c r="L6" s="22" t="n">
        <f aca="false">SUM(B6:K6)</f>
        <v>1</v>
      </c>
      <c r="P6" s="10"/>
      <c r="Q6" s="10"/>
    </row>
    <row r="7" customFormat="false" ht="12.8" hidden="false" customHeight="false" outlineLevel="0" collapsed="false">
      <c r="A7" s="17" t="s">
        <v>125</v>
      </c>
      <c r="B7" s="27" t="n">
        <v>4</v>
      </c>
      <c r="C7" s="27" t="n">
        <v>4</v>
      </c>
      <c r="D7" s="27" t="n">
        <v>4</v>
      </c>
      <c r="E7" s="27"/>
      <c r="F7" s="27"/>
      <c r="G7" s="27" t="n">
        <v>30</v>
      </c>
      <c r="H7" s="27"/>
      <c r="I7" s="27" t="n">
        <v>31</v>
      </c>
      <c r="J7" s="27"/>
      <c r="K7" s="27"/>
      <c r="L7" s="27"/>
      <c r="P7" s="0" t="s">
        <v>179</v>
      </c>
      <c r="Q7" s="0" t="n">
        <f aca="false">'Rechner A'!Q7</f>
        <v>300</v>
      </c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2.8" hidden="false" customHeight="false" outlineLevel="0" collapsed="false">
      <c r="A9" s="17" t="s">
        <v>180</v>
      </c>
      <c r="B9" s="17" t="n">
        <v>0.3</v>
      </c>
      <c r="C9" s="17"/>
      <c r="P9" s="2" t="s">
        <v>181</v>
      </c>
    </row>
    <row r="10" customFormat="false" ht="12.8" hidden="false" customHeight="false" outlineLevel="0" collapsed="false">
      <c r="A10" s="17" t="s">
        <v>182</v>
      </c>
      <c r="B10" s="17" t="n">
        <v>250</v>
      </c>
      <c r="C10" s="17"/>
      <c r="P10" s="0" t="s">
        <v>183</v>
      </c>
      <c r="Q10" s="0" t="n">
        <f aca="false">Q7*F4*F5*B45</f>
        <v>677250</v>
      </c>
      <c r="R10" s="0" t="s">
        <v>12</v>
      </c>
    </row>
    <row r="11" customFormat="false" ht="12.8" hidden="false" customHeight="false" outlineLevel="0" collapsed="false">
      <c r="A11" s="17" t="s">
        <v>184</v>
      </c>
      <c r="B11" s="17" t="n">
        <v>20</v>
      </c>
      <c r="C11" s="17" t="s">
        <v>12</v>
      </c>
      <c r="P11" s="0" t="s">
        <v>185</v>
      </c>
      <c r="Q11" s="0" t="n">
        <f aca="false">Q7*B4*B7*B45</f>
        <v>96000</v>
      </c>
      <c r="R11" s="0" t="s">
        <v>12</v>
      </c>
    </row>
    <row r="12" customFormat="false" ht="12.8" hidden="false" customHeight="false" outlineLevel="0" collapsed="false">
      <c r="A12" s="17" t="s">
        <v>186</v>
      </c>
      <c r="B12" s="17" t="n">
        <v>15</v>
      </c>
      <c r="C12" s="17" t="s">
        <v>12</v>
      </c>
      <c r="P12" s="0" t="s">
        <v>187</v>
      </c>
      <c r="Q12" s="0" t="n">
        <f aca="false">Q7*I4*I5*B45</f>
        <v>468750</v>
      </c>
      <c r="R12" s="0" t="s">
        <v>12</v>
      </c>
    </row>
    <row r="14" customFormat="false" ht="12.8" hidden="false" customHeight="false" outlineLevel="0" collapsed="false">
      <c r="P14" s="2" t="s">
        <v>188</v>
      </c>
    </row>
    <row r="15" customFormat="false" ht="12.8" hidden="false" customHeight="false" outlineLevel="0" collapsed="false">
      <c r="A15" s="29" t="s">
        <v>189</v>
      </c>
      <c r="B15" s="29"/>
      <c r="C15" s="30"/>
      <c r="P15" s="0" t="s">
        <v>190</v>
      </c>
      <c r="Q15" s="0" t="n">
        <f aca="false">B9*Q7</f>
        <v>90</v>
      </c>
    </row>
    <row r="16" customFormat="false" ht="12.8" hidden="false" customHeight="false" outlineLevel="0" collapsed="false">
      <c r="A16" s="30" t="s">
        <v>81</v>
      </c>
      <c r="B16" s="31" t="n">
        <v>1200</v>
      </c>
      <c r="C16" s="30"/>
      <c r="P16" s="0" t="s">
        <v>191</v>
      </c>
      <c r="Q16" s="0" t="n">
        <f aca="false">Q15*B10</f>
        <v>22500</v>
      </c>
    </row>
    <row r="17" customFormat="false" ht="12.8" hidden="false" customHeight="false" outlineLevel="0" collapsed="false">
      <c r="A17" s="30" t="s">
        <v>192</v>
      </c>
      <c r="B17" s="31" t="n">
        <v>30</v>
      </c>
      <c r="C17" s="30"/>
      <c r="P17" s="0" t="s">
        <v>183</v>
      </c>
      <c r="Q17" s="0" t="n">
        <f aca="false">G7*Q16*G6</f>
        <v>337500</v>
      </c>
      <c r="R17" s="0" t="s">
        <v>12</v>
      </c>
    </row>
    <row r="18" customFormat="false" ht="12.8" hidden="false" customHeight="false" outlineLevel="0" collapsed="false">
      <c r="A18" s="30" t="s">
        <v>193</v>
      </c>
      <c r="B18" s="30" t="n">
        <v>3</v>
      </c>
      <c r="C18" s="30" t="s">
        <v>194</v>
      </c>
      <c r="D18" s="0" t="s">
        <v>214</v>
      </c>
      <c r="P18" s="0" t="s">
        <v>185</v>
      </c>
      <c r="Q18" s="0" t="n">
        <f aca="false">Q16*D7*D6</f>
        <v>12600</v>
      </c>
      <c r="R18" s="0" t="s">
        <v>12</v>
      </c>
    </row>
    <row r="19" customFormat="false" ht="12.8" hidden="false" customHeight="false" outlineLevel="0" collapsed="false">
      <c r="A19" s="30" t="s">
        <v>195</v>
      </c>
      <c r="B19" s="31" t="n">
        <f aca="false">B16/B18</f>
        <v>400</v>
      </c>
      <c r="C19" s="30"/>
      <c r="P19" s="0" t="s">
        <v>187</v>
      </c>
      <c r="Q19" s="0" t="n">
        <f aca="false">Q16*I6*I7</f>
        <v>251100</v>
      </c>
      <c r="R19" s="0" t="s">
        <v>12</v>
      </c>
    </row>
    <row r="20" customFormat="false" ht="12.8" hidden="false" customHeight="false" outlineLevel="0" collapsed="false">
      <c r="A20" s="30" t="s">
        <v>196</v>
      </c>
      <c r="B20" s="31" t="n">
        <f aca="false">B19+B17*12</f>
        <v>760</v>
      </c>
      <c r="C20" s="30"/>
    </row>
    <row r="21" customFormat="false" ht="12.8" hidden="false" customHeight="false" outlineLevel="0" collapsed="false">
      <c r="A21" s="30" t="s">
        <v>197</v>
      </c>
      <c r="B21" s="30" t="n">
        <f aca="false">Q18/Q26</f>
        <v>1260</v>
      </c>
      <c r="C21" s="30"/>
      <c r="P21" s="2" t="s">
        <v>198</v>
      </c>
    </row>
    <row r="22" customFormat="false" ht="12.8" hidden="false" customHeight="false" outlineLevel="0" collapsed="false">
      <c r="A22" s="30" t="s">
        <v>199</v>
      </c>
      <c r="B22" s="31" t="n">
        <f aca="false">B20/B21</f>
        <v>0.603174603174603</v>
      </c>
      <c r="C22" s="30"/>
      <c r="P22" s="0" t="s">
        <v>200</v>
      </c>
      <c r="Q22" s="0" t="n">
        <f aca="false">1.5*G6*Q15*20/(90*0.75)</f>
        <v>20</v>
      </c>
    </row>
    <row r="23" customFormat="false" ht="12.8" hidden="false" customHeight="false" outlineLevel="0" collapsed="false">
      <c r="P23" s="0" t="s">
        <v>201</v>
      </c>
      <c r="Q23" s="8" t="n">
        <f aca="false">B41</f>
        <v>0.290266666666667</v>
      </c>
    </row>
    <row r="24" customFormat="false" ht="12.8" hidden="false" customHeight="false" outlineLevel="0" collapsed="false">
      <c r="P24" s="0" t="s">
        <v>202</v>
      </c>
      <c r="Q24" s="0" t="n">
        <f aca="false">Q17/Q22</f>
        <v>16875</v>
      </c>
    </row>
    <row r="25" customFormat="false" ht="12.8" hidden="false" customHeight="false" outlineLevel="0" collapsed="false">
      <c r="P25" s="0" t="s">
        <v>203</v>
      </c>
      <c r="Q25" s="0" t="s">
        <v>204</v>
      </c>
    </row>
    <row r="26" customFormat="false" ht="12.8" hidden="false" customHeight="false" outlineLevel="0" collapsed="false">
      <c r="P26" s="0" t="s">
        <v>205</v>
      </c>
      <c r="Q26" s="0" t="n">
        <v>10</v>
      </c>
    </row>
    <row r="27" customFormat="false" ht="12.8" hidden="false" customHeight="false" outlineLevel="0" collapsed="false">
      <c r="A27" s="29" t="s">
        <v>76</v>
      </c>
      <c r="B27" s="29"/>
    </row>
    <row r="28" customFormat="false" ht="12.8" hidden="false" customHeight="false" outlineLevel="0" collapsed="false">
      <c r="A28" s="30" t="s">
        <v>81</v>
      </c>
      <c r="B28" s="32" t="n">
        <v>30000</v>
      </c>
      <c r="P28" s="0" t="s">
        <v>206</v>
      </c>
    </row>
    <row r="29" customFormat="false" ht="12.8" hidden="false" customHeight="false" outlineLevel="0" collapsed="false">
      <c r="A29" s="30" t="s">
        <v>83</v>
      </c>
      <c r="B29" s="33" t="n">
        <v>0.05</v>
      </c>
      <c r="P29" s="34"/>
      <c r="Q29" s="34" t="s">
        <v>207</v>
      </c>
      <c r="R29" s="34" t="s">
        <v>208</v>
      </c>
    </row>
    <row r="30" customFormat="false" ht="12.8" hidden="false" customHeight="false" outlineLevel="0" collapsed="false">
      <c r="A30" s="30" t="s">
        <v>85</v>
      </c>
      <c r="B30" s="32" t="n">
        <f aca="false">B28*B29</f>
        <v>1500</v>
      </c>
      <c r="P30" s="10" t="s">
        <v>26</v>
      </c>
      <c r="Q30" s="10"/>
      <c r="R30" s="10"/>
    </row>
    <row r="31" customFormat="false" ht="12.8" hidden="false" customHeight="false" outlineLevel="0" collapsed="false">
      <c r="A31" s="30" t="s">
        <v>87</v>
      </c>
      <c r="B31" s="30" t="n">
        <f aca="false">Q24</f>
        <v>16875</v>
      </c>
      <c r="P31" s="0" t="s">
        <v>61</v>
      </c>
      <c r="Q31" s="0" t="n">
        <f aca="false">Q10*$B$52</f>
        <v>0</v>
      </c>
      <c r="R31" s="35" t="n">
        <f aca="false">Q7*B4*B57*12</f>
        <v>17280</v>
      </c>
    </row>
    <row r="32" customFormat="false" ht="12.8" hidden="false" customHeight="false" outlineLevel="0" collapsed="false">
      <c r="A32" s="30" t="s">
        <v>89</v>
      </c>
      <c r="B32" s="32" t="n">
        <v>60</v>
      </c>
      <c r="P32" s="0" t="s">
        <v>209</v>
      </c>
      <c r="Q32" s="0" t="n">
        <f aca="false">Q10*$B$49</f>
        <v>135450</v>
      </c>
      <c r="R32" s="36" t="n">
        <f aca="false">Q10*B60</f>
        <v>203175</v>
      </c>
    </row>
    <row r="33" customFormat="false" ht="12.8" hidden="false" customHeight="false" outlineLevel="0" collapsed="false">
      <c r="A33" s="30" t="s">
        <v>91</v>
      </c>
      <c r="B33" s="32" t="n">
        <f aca="false">12*B32</f>
        <v>720</v>
      </c>
      <c r="P33" s="0" t="s">
        <v>210</v>
      </c>
      <c r="Q33" s="0" t="n">
        <f aca="false">Q12*$B$47</f>
        <v>46875</v>
      </c>
      <c r="R33" s="36" t="n">
        <f aca="false">Q7*I4*12*B59</f>
        <v>54000</v>
      </c>
    </row>
    <row r="34" customFormat="false" ht="12.8" hidden="false" customHeight="false" outlineLevel="0" collapsed="false">
      <c r="A34" s="30" t="s">
        <v>92</v>
      </c>
      <c r="B34" s="32" t="n">
        <v>100</v>
      </c>
      <c r="P34" s="10" t="s">
        <v>188</v>
      </c>
      <c r="Q34" s="10"/>
      <c r="R34" s="10"/>
    </row>
    <row r="35" customFormat="false" ht="12.8" hidden="false" customHeight="false" outlineLevel="0" collapsed="false">
      <c r="A35" s="30" t="s">
        <v>94</v>
      </c>
      <c r="B35" s="32" t="n">
        <f aca="false">12*B34</f>
        <v>1200</v>
      </c>
      <c r="P35" s="0" t="s">
        <v>61</v>
      </c>
      <c r="Q35" s="0" t="n">
        <f aca="false">Q18*$B$52</f>
        <v>0</v>
      </c>
      <c r="R35" s="35" t="n">
        <f aca="false">Q18*B22</f>
        <v>7600</v>
      </c>
    </row>
    <row r="36" customFormat="false" ht="12.8" hidden="false" customHeight="false" outlineLevel="0" collapsed="false">
      <c r="A36" s="30" t="s">
        <v>96</v>
      </c>
      <c r="B36" s="32" t="n">
        <v>1.46</v>
      </c>
      <c r="P36" s="0" t="s">
        <v>209</v>
      </c>
      <c r="Q36" s="0" t="n">
        <f aca="false">Q17*$B$49</f>
        <v>67500</v>
      </c>
      <c r="R36" s="8" t="n">
        <f aca="false">Q17*B41</f>
        <v>97965</v>
      </c>
    </row>
    <row r="37" customFormat="false" ht="12.8" hidden="false" customHeight="false" outlineLevel="0" collapsed="false">
      <c r="A37" s="30" t="s">
        <v>99</v>
      </c>
      <c r="B37" s="30" t="n">
        <v>6</v>
      </c>
      <c r="P37" s="0" t="s">
        <v>210</v>
      </c>
      <c r="Q37" s="0" t="n">
        <f aca="false">Q19*$B$47</f>
        <v>25110</v>
      </c>
      <c r="R37" s="36" t="n">
        <f aca="false">Q19*B56</f>
        <v>37665</v>
      </c>
    </row>
    <row r="38" customFormat="false" ht="12.8" hidden="false" customHeight="false" outlineLevel="0" collapsed="false">
      <c r="A38" s="30" t="s">
        <v>102</v>
      </c>
      <c r="B38" s="32" t="n">
        <f aca="false">B31*B37/100*B36</f>
        <v>1478.25</v>
      </c>
    </row>
    <row r="39" customFormat="false" ht="12.8" hidden="false" customHeight="false" outlineLevel="0" collapsed="false">
      <c r="A39" s="30" t="s">
        <v>101</v>
      </c>
      <c r="B39" s="30" t="n">
        <v>2.33</v>
      </c>
      <c r="P39" s="0" t="s">
        <v>140</v>
      </c>
      <c r="Q39" s="0" t="n">
        <f aca="false">Q31+Q32+Q33+Q36+Q35+Q37</f>
        <v>274935</v>
      </c>
      <c r="R39" s="37" t="n">
        <f aca="false">R35+R36+R37</f>
        <v>143230</v>
      </c>
    </row>
    <row r="40" customFormat="false" ht="12.8" hidden="false" customHeight="false" outlineLevel="0" collapsed="false">
      <c r="A40" s="38" t="s">
        <v>105</v>
      </c>
      <c r="B40" s="39" t="n">
        <f aca="false">B30+B33+B35+B38</f>
        <v>4898.25</v>
      </c>
    </row>
    <row r="41" customFormat="false" ht="12.8" hidden="false" customHeight="false" outlineLevel="0" collapsed="false">
      <c r="A41" s="40" t="s">
        <v>106</v>
      </c>
      <c r="B41" s="41" t="n">
        <f aca="false">B40/B31</f>
        <v>0.290266666666667</v>
      </c>
      <c r="P41" s="0" t="s">
        <v>215</v>
      </c>
      <c r="Q41" s="0" t="n">
        <f aca="false">Q39-'Rechner A'!Q39</f>
        <v>-60562.5</v>
      </c>
      <c r="R41" s="37" t="n">
        <f aca="false">R39-'Rechner A'!R39</f>
        <v>-22826.25</v>
      </c>
    </row>
    <row r="42" customFormat="false" ht="12.8" hidden="false" customHeight="false" outlineLevel="0" collapsed="false">
      <c r="A42" s="30" t="s">
        <v>107</v>
      </c>
      <c r="B42" s="30" t="n">
        <f aca="false">(B31*B37/100)*2.33</f>
        <v>2359.125</v>
      </c>
      <c r="P42" s="0" t="s">
        <v>216</v>
      </c>
      <c r="Q42" s="3" t="n">
        <f aca="false">Q41/'Rechner A'!Q39</f>
        <v>-0.180515503096148</v>
      </c>
      <c r="R42" s="3" t="n">
        <f aca="false">R41/'Rechner A'!R39</f>
        <v>-0.137460950732056</v>
      </c>
    </row>
    <row r="45" customFormat="false" ht="12.8" hidden="false" customHeight="false" outlineLevel="0" collapsed="false">
      <c r="A45" s="0" t="s">
        <v>182</v>
      </c>
      <c r="B45" s="0" t="n">
        <v>250</v>
      </c>
    </row>
    <row r="46" customFormat="false" ht="12.8" hidden="false" customHeight="false" outlineLevel="0" collapsed="false">
      <c r="A46" s="2" t="s">
        <v>53</v>
      </c>
    </row>
    <row r="47" customFormat="false" ht="12.8" hidden="false" customHeight="false" outlineLevel="0" collapsed="false">
      <c r="A47" s="0" t="s">
        <v>55</v>
      </c>
      <c r="B47" s="0" t="n">
        <v>0.1</v>
      </c>
      <c r="C47" s="0" t="s">
        <v>56</v>
      </c>
    </row>
    <row r="48" customFormat="false" ht="12.8" hidden="false" customHeight="false" outlineLevel="0" collapsed="false">
      <c r="A48" s="0" t="s">
        <v>57</v>
      </c>
      <c r="B48" s="0" t="n">
        <v>0.2113</v>
      </c>
      <c r="C48" s="0" t="s">
        <v>56</v>
      </c>
    </row>
    <row r="49" customFormat="false" ht="12.8" hidden="false" customHeight="false" outlineLevel="0" collapsed="false">
      <c r="A49" s="0" t="s">
        <v>47</v>
      </c>
      <c r="B49" s="0" t="n">
        <v>0.2</v>
      </c>
      <c r="C49" s="0" t="s">
        <v>56</v>
      </c>
    </row>
    <row r="50" customFormat="false" ht="12.8" hidden="false" customHeight="false" outlineLevel="0" collapsed="false">
      <c r="A50" s="0" t="s">
        <v>59</v>
      </c>
      <c r="B50" s="0" t="n">
        <v>0.004</v>
      </c>
      <c r="C50" s="0" t="s">
        <v>56</v>
      </c>
    </row>
    <row r="51" customFormat="false" ht="12.8" hidden="false" customHeight="false" outlineLevel="0" collapsed="false">
      <c r="A51" s="0" t="s">
        <v>60</v>
      </c>
      <c r="B51" s="0" t="n">
        <v>0.0356</v>
      </c>
      <c r="C51" s="0" t="s">
        <v>56</v>
      </c>
    </row>
    <row r="52" customFormat="false" ht="12.8" hidden="false" customHeight="false" outlineLevel="0" collapsed="false">
      <c r="A52" s="0" t="s">
        <v>61</v>
      </c>
      <c r="B52" s="0" t="n">
        <v>0</v>
      </c>
      <c r="C52" s="0" t="s">
        <v>56</v>
      </c>
    </row>
    <row r="53" customFormat="false" ht="12.8" hidden="false" customHeight="false" outlineLevel="0" collapsed="false">
      <c r="A53" s="0" t="s">
        <v>62</v>
      </c>
      <c r="B53" s="0" t="n">
        <f aca="false">B44*20/100</f>
        <v>0</v>
      </c>
      <c r="C53" s="0" t="s">
        <v>56</v>
      </c>
    </row>
    <row r="55" customFormat="false" ht="12.8" hidden="false" customHeight="false" outlineLevel="0" collapsed="false">
      <c r="A55" s="2" t="s">
        <v>211</v>
      </c>
    </row>
    <row r="56" customFormat="false" ht="12.8" hidden="false" customHeight="false" outlineLevel="0" collapsed="false">
      <c r="A56" s="0" t="s">
        <v>34</v>
      </c>
      <c r="B56" s="36" t="n">
        <v>0.15</v>
      </c>
      <c r="C56" s="0" t="s">
        <v>31</v>
      </c>
    </row>
    <row r="57" customFormat="false" ht="12.8" hidden="false" customHeight="false" outlineLevel="0" collapsed="false">
      <c r="A57" s="0" t="s">
        <v>40</v>
      </c>
      <c r="B57" s="36" t="n">
        <v>15</v>
      </c>
      <c r="C57" s="0" t="s">
        <v>41</v>
      </c>
    </row>
    <row r="58" customFormat="false" ht="12.8" hidden="false" customHeight="false" outlineLevel="0" collapsed="false">
      <c r="A58" s="0" t="s">
        <v>43</v>
      </c>
      <c r="B58" s="8" t="n">
        <v>0.2</v>
      </c>
    </row>
    <row r="59" customFormat="false" ht="12.8" hidden="false" customHeight="false" outlineLevel="0" collapsed="false">
      <c r="A59" s="0" t="s">
        <v>212</v>
      </c>
      <c r="B59" s="36" t="n">
        <v>60</v>
      </c>
    </row>
    <row r="60" customFormat="false" ht="12.8" hidden="false" customHeight="false" outlineLevel="0" collapsed="false">
      <c r="A60" s="0" t="s">
        <v>213</v>
      </c>
      <c r="B60" s="36" t="n">
        <v>0.3</v>
      </c>
    </row>
  </sheetData>
  <mergeCells count="6">
    <mergeCell ref="A1:K2"/>
    <mergeCell ref="P5:Q6"/>
    <mergeCell ref="A15:B15"/>
    <mergeCell ref="A27:B27"/>
    <mergeCell ref="P30:R30"/>
    <mergeCell ref="P34:R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9"/>
  <sheetViews>
    <sheetView showFormulas="false" showGridLines="true" showRowColHeaders="true" showZeros="true" rightToLeft="false" tabSelected="false" showOutlineSymbols="true" defaultGridColor="true" view="normal" topLeftCell="G46" colorId="64" zoomScale="100" zoomScaleNormal="100" zoomScalePageLayoutView="100" workbookViewId="0">
      <selection pane="topLeft" activeCell="L21" activeCellId="1" sqref="23:23 L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14.77"/>
    <col collapsed="false" customWidth="true" hidden="false" outlineLevel="0" max="4" min="4" style="0" width="9.77"/>
    <col collapsed="false" customWidth="true" hidden="false" outlineLevel="0" max="5" min="5" style="0" width="21.58"/>
    <col collapsed="false" customWidth="true" hidden="false" outlineLevel="0" max="6" min="6" style="0" width="14.49"/>
    <col collapsed="false" customWidth="true" hidden="false" outlineLevel="0" max="7" min="7" style="0" width="13.1"/>
    <col collapsed="false" customWidth="true" hidden="false" outlineLevel="0" max="15" min="15" style="0" width="32.69"/>
    <col collapsed="false" customWidth="true" hidden="false" outlineLevel="0" max="16" min="16" style="0" width="14.08"/>
    <col collapsed="false" customWidth="true" hidden="false" outlineLevel="0" max="17" min="17" style="0" width="17.42"/>
    <col collapsed="false" customWidth="true" hidden="false" outlineLevel="0" max="19" min="19" style="0" width="32.69"/>
  </cols>
  <sheetData>
    <row r="1" customFormat="false" ht="12.8" hidden="false" customHeight="false" outlineLevel="0" collapsed="false">
      <c r="A1" s="15" t="s">
        <v>111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customFormat="false" ht="12.8" hidden="false" customHeight="false" outlineLevel="0" collapsed="false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</row>
    <row r="3" customFormat="false" ht="26.1" hidden="false" customHeight="true" outlineLevel="0" collapsed="false">
      <c r="A3" s="16"/>
      <c r="B3" s="20" t="s">
        <v>112</v>
      </c>
      <c r="C3" s="20" t="s">
        <v>113</v>
      </c>
      <c r="D3" s="20" t="s">
        <v>114</v>
      </c>
      <c r="E3" s="20" t="s">
        <v>121</v>
      </c>
      <c r="F3" s="21" t="s">
        <v>122</v>
      </c>
      <c r="G3" s="20" t="s">
        <v>117</v>
      </c>
      <c r="H3" s="20" t="s">
        <v>118</v>
      </c>
      <c r="I3" s="20" t="s">
        <v>55</v>
      </c>
      <c r="J3" s="20" t="s">
        <v>57</v>
      </c>
      <c r="K3" s="20" t="s">
        <v>119</v>
      </c>
      <c r="L3" s="16" t="s">
        <v>120</v>
      </c>
      <c r="O3" s="10" t="s">
        <v>178</v>
      </c>
      <c r="P3" s="10"/>
      <c r="Q3" s="10"/>
    </row>
    <row r="4" customFormat="false" ht="12.8" hidden="false" customHeight="false" outlineLevel="0" collapsed="false">
      <c r="A4" s="20" t="s">
        <v>26</v>
      </c>
      <c r="B4" s="23" t="n">
        <v>0.22</v>
      </c>
      <c r="C4" s="23" t="n">
        <v>0</v>
      </c>
      <c r="D4" s="23" t="n">
        <v>0</v>
      </c>
      <c r="E4" s="23" t="n">
        <v>0.1</v>
      </c>
      <c r="F4" s="23" t="n">
        <v>0.53</v>
      </c>
      <c r="G4" s="23" t="n">
        <v>0</v>
      </c>
      <c r="H4" s="23" t="n">
        <v>0</v>
      </c>
      <c r="I4" s="23" t="n">
        <v>0.15</v>
      </c>
      <c r="J4" s="23" t="n">
        <v>0</v>
      </c>
      <c r="K4" s="23" t="n">
        <v>0</v>
      </c>
      <c r="L4" s="16" t="n">
        <v>1</v>
      </c>
      <c r="M4" s="3" t="n">
        <f aca="false">SUM(B4:K4)</f>
        <v>1</v>
      </c>
      <c r="O4" s="10"/>
      <c r="P4" s="10"/>
      <c r="Q4" s="10"/>
    </row>
    <row r="5" customFormat="false" ht="12.8" hidden="false" customHeight="false" outlineLevel="0" collapsed="false">
      <c r="A5" s="16" t="s">
        <v>123</v>
      </c>
      <c r="B5" s="16" t="n">
        <v>8</v>
      </c>
      <c r="C5" s="16"/>
      <c r="D5" s="16"/>
      <c r="E5" s="16" t="n">
        <v>42</v>
      </c>
      <c r="F5" s="16" t="n">
        <v>42</v>
      </c>
      <c r="G5" s="16"/>
      <c r="H5" s="16"/>
      <c r="I5" s="16" t="n">
        <v>50</v>
      </c>
      <c r="J5" s="16"/>
      <c r="K5" s="16"/>
      <c r="L5" s="16"/>
      <c r="M5" s="3"/>
      <c r="O5" s="0" t="s">
        <v>179</v>
      </c>
      <c r="P5" s="0" t="n">
        <v>1000</v>
      </c>
    </row>
    <row r="6" customFormat="false" ht="12.8" hidden="false" customHeight="false" outlineLevel="0" collapsed="false">
      <c r="A6" s="24" t="s">
        <v>124</v>
      </c>
      <c r="B6" s="25"/>
      <c r="C6" s="25"/>
      <c r="D6" s="25" t="n">
        <v>0.1</v>
      </c>
      <c r="E6" s="25" t="n">
        <v>0.1</v>
      </c>
      <c r="F6" s="25" t="n">
        <v>0.2</v>
      </c>
      <c r="G6" s="25" t="n">
        <v>0.5</v>
      </c>
      <c r="H6" s="25" t="n">
        <v>0</v>
      </c>
      <c r="I6" s="25" t="n">
        <v>0.055</v>
      </c>
      <c r="J6" s="25" t="n">
        <v>0.015</v>
      </c>
      <c r="K6" s="25" t="n">
        <v>0.03</v>
      </c>
      <c r="L6" s="26"/>
      <c r="M6" s="3" t="n">
        <f aca="false">SUM(B6:K6)</f>
        <v>1</v>
      </c>
    </row>
    <row r="7" customFormat="false" ht="12.8" hidden="false" customHeight="false" outlineLevel="0" collapsed="false">
      <c r="A7" s="16" t="s">
        <v>125</v>
      </c>
      <c r="B7" s="28" t="n">
        <v>4</v>
      </c>
      <c r="C7" s="28" t="n">
        <v>4</v>
      </c>
      <c r="D7" s="28" t="n">
        <v>4</v>
      </c>
      <c r="E7" s="28" t="n">
        <v>75</v>
      </c>
      <c r="F7" s="28" t="n">
        <v>75</v>
      </c>
      <c r="G7" s="28" t="n">
        <v>38</v>
      </c>
      <c r="H7" s="28"/>
      <c r="I7" s="28" t="n">
        <v>31</v>
      </c>
      <c r="J7" s="28" t="n">
        <v>4280</v>
      </c>
      <c r="K7" s="28" t="n">
        <v>554.8</v>
      </c>
      <c r="L7" s="16"/>
      <c r="O7" s="2" t="s">
        <v>181</v>
      </c>
      <c r="P7" s="42" t="n">
        <f aca="false">SUM(P9:P12)</f>
        <v>11765000</v>
      </c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3"/>
      <c r="O8" s="0" t="s">
        <v>217</v>
      </c>
      <c r="P8" s="0" t="n">
        <f aca="false">P5*F4*F5*L4*B13</f>
        <v>5565000</v>
      </c>
      <c r="Q8" s="0" t="s">
        <v>12</v>
      </c>
    </row>
    <row r="9" customFormat="false" ht="12.8" hidden="false" customHeight="false" outlineLevel="0" collapsed="false">
      <c r="O9" s="0" t="s">
        <v>218</v>
      </c>
      <c r="P9" s="0" t="n">
        <f aca="false">L4*P5*E4*E5*B13</f>
        <v>1050000</v>
      </c>
      <c r="Q9" s="0" t="s">
        <v>12</v>
      </c>
      <c r="S9" s="10"/>
      <c r="T9" s="10"/>
      <c r="U9" s="10"/>
    </row>
    <row r="10" customFormat="false" ht="12.8" hidden="false" customHeight="false" outlineLevel="0" collapsed="false">
      <c r="A10" s="17" t="s">
        <v>180</v>
      </c>
      <c r="B10" s="17" t="n">
        <v>0.3</v>
      </c>
      <c r="C10" s="17"/>
      <c r="E10" s="43" t="s">
        <v>219</v>
      </c>
      <c r="F10" s="43"/>
      <c r="G10" s="43"/>
      <c r="O10" s="0" t="s">
        <v>220</v>
      </c>
      <c r="P10" s="0" t="n">
        <f aca="false">L4*P5*B18*F5*B13</f>
        <v>8400000</v>
      </c>
      <c r="Q10" s="0" t="s">
        <v>12</v>
      </c>
      <c r="S10" s="10"/>
      <c r="T10" s="10"/>
      <c r="U10" s="10"/>
    </row>
    <row r="11" customFormat="false" ht="12.8" hidden="false" customHeight="false" outlineLevel="0" collapsed="false">
      <c r="A11" s="17" t="s">
        <v>184</v>
      </c>
      <c r="B11" s="17" t="n">
        <v>20</v>
      </c>
      <c r="C11" s="17" t="s">
        <v>12</v>
      </c>
      <c r="E11" s="44" t="s">
        <v>221</v>
      </c>
      <c r="F11" s="45" t="n">
        <v>0.5</v>
      </c>
      <c r="G11" s="44"/>
      <c r="O11" s="0" t="s">
        <v>185</v>
      </c>
      <c r="P11" s="0" t="n">
        <f aca="false">L4*P5*B4*B5*B13</f>
        <v>440000</v>
      </c>
      <c r="Q11" s="0" t="s">
        <v>12</v>
      </c>
    </row>
    <row r="12" customFormat="false" ht="12.8" hidden="false" customHeight="false" outlineLevel="0" collapsed="false">
      <c r="A12" s="17" t="s">
        <v>186</v>
      </c>
      <c r="B12" s="17" t="n">
        <v>15</v>
      </c>
      <c r="C12" s="17" t="s">
        <v>12</v>
      </c>
      <c r="E12" s="44" t="s">
        <v>222</v>
      </c>
      <c r="F12" s="45" t="n">
        <v>0.5</v>
      </c>
      <c r="G12" s="44"/>
      <c r="O12" s="0" t="s">
        <v>187</v>
      </c>
      <c r="P12" s="0" t="n">
        <f aca="false">L4*P5*I4*I5*B13</f>
        <v>1875000</v>
      </c>
      <c r="Q12" s="0" t="s">
        <v>12</v>
      </c>
    </row>
    <row r="13" customFormat="false" ht="12.8" hidden="false" customHeight="false" outlineLevel="0" collapsed="false">
      <c r="A13" s="46" t="s">
        <v>223</v>
      </c>
      <c r="B13" s="46" t="n">
        <v>250</v>
      </c>
      <c r="C13" s="46"/>
      <c r="E13" s="44" t="s">
        <v>224</v>
      </c>
      <c r="F13" s="45" t="n">
        <v>0</v>
      </c>
      <c r="G13" s="44"/>
      <c r="S13" s="2"/>
    </row>
    <row r="14" customFormat="false" ht="12.8" hidden="false" customHeight="false" outlineLevel="0" collapsed="false">
      <c r="A14" s="46" t="s">
        <v>27</v>
      </c>
      <c r="B14" s="46" t="n">
        <v>15</v>
      </c>
      <c r="C14" s="46" t="s">
        <v>25</v>
      </c>
      <c r="E14" s="44" t="s">
        <v>225</v>
      </c>
      <c r="F14" s="45" t="n">
        <v>0</v>
      </c>
      <c r="G14" s="44"/>
      <c r="O14" s="2" t="s">
        <v>188</v>
      </c>
      <c r="P14" s="42" t="n">
        <f aca="false">SUM(P24:P30)</f>
        <v>9333675</v>
      </c>
    </row>
    <row r="15" customFormat="false" ht="12.8" hidden="false" customHeight="false" outlineLevel="0" collapsed="false">
      <c r="E15" s="44" t="s">
        <v>226</v>
      </c>
      <c r="F15" s="45" t="n">
        <v>0</v>
      </c>
      <c r="G15" s="44"/>
      <c r="O15" s="0" t="s">
        <v>190</v>
      </c>
      <c r="P15" s="0" t="n">
        <f aca="false">B10*P5</f>
        <v>300</v>
      </c>
    </row>
    <row r="16" customFormat="false" ht="12.8" hidden="false" customHeight="false" outlineLevel="0" collapsed="false">
      <c r="E16" s="44" t="s">
        <v>227</v>
      </c>
      <c r="F16" s="45" t="n">
        <v>0</v>
      </c>
      <c r="G16" s="44"/>
      <c r="O16" s="0" t="s">
        <v>191</v>
      </c>
      <c r="P16" s="0" t="n">
        <f aca="false">P15*B13</f>
        <v>75000</v>
      </c>
    </row>
    <row r="17" customFormat="false" ht="12.8" hidden="false" customHeight="false" outlineLevel="0" collapsed="false">
      <c r="A17" s="47" t="s">
        <v>228</v>
      </c>
      <c r="B17" s="47"/>
      <c r="C17" s="47"/>
      <c r="E17" s="48" t="s">
        <v>229</v>
      </c>
      <c r="F17" s="48"/>
      <c r="G17" s="48"/>
      <c r="O17" s="0" t="s">
        <v>230</v>
      </c>
      <c r="P17" s="0" t="n">
        <f aca="false">P16*F6</f>
        <v>15000</v>
      </c>
      <c r="Q17" s="0" t="n">
        <f aca="false">SUM(P17:P23)</f>
        <v>75000</v>
      </c>
    </row>
    <row r="18" customFormat="false" ht="12.8" hidden="false" customHeight="false" outlineLevel="0" collapsed="false">
      <c r="A18" s="49" t="s">
        <v>231</v>
      </c>
      <c r="B18" s="50" t="n">
        <v>0.8</v>
      </c>
      <c r="C18" s="49"/>
      <c r="J18" s="2"/>
      <c r="O18" s="0" t="s">
        <v>232</v>
      </c>
      <c r="P18" s="0" t="n">
        <f aca="false">P16*G6</f>
        <v>37500</v>
      </c>
    </row>
    <row r="19" customFormat="false" ht="12.8" hidden="false" customHeight="false" outlineLevel="0" collapsed="false">
      <c r="A19" s="49" t="s">
        <v>233</v>
      </c>
      <c r="B19" s="50" t="n">
        <f aca="false">1-B18</f>
        <v>0.2</v>
      </c>
      <c r="C19" s="49"/>
      <c r="O19" s="0" t="s">
        <v>234</v>
      </c>
      <c r="P19" s="0" t="n">
        <f aca="false">P16*I6</f>
        <v>4125</v>
      </c>
      <c r="S19" s="2"/>
    </row>
    <row r="20" customFormat="false" ht="12.8" hidden="false" customHeight="false" outlineLevel="0" collapsed="false">
      <c r="A20" s="49" t="s">
        <v>235</v>
      </c>
      <c r="B20" s="51" t="n">
        <v>50000</v>
      </c>
      <c r="C20" s="49"/>
      <c r="E20" s="7" t="s">
        <v>236</v>
      </c>
      <c r="F20" s="7"/>
      <c r="G20" s="7"/>
      <c r="O20" s="0" t="s">
        <v>237</v>
      </c>
      <c r="P20" s="0" t="n">
        <f aca="false">P16*D6</f>
        <v>7500</v>
      </c>
    </row>
    <row r="21" customFormat="false" ht="12.8" hidden="false" customHeight="false" outlineLevel="0" collapsed="false">
      <c r="A21" s="49" t="s">
        <v>238</v>
      </c>
      <c r="B21" s="51" t="n">
        <v>35000</v>
      </c>
      <c r="C21" s="49"/>
      <c r="E21" s="52" t="s">
        <v>221</v>
      </c>
      <c r="F21" s="53" t="n">
        <v>0.8</v>
      </c>
      <c r="G21" s="52"/>
      <c r="O21" s="0" t="s">
        <v>239</v>
      </c>
      <c r="P21" s="0" t="n">
        <f aca="false">$P$16*J6</f>
        <v>1125</v>
      </c>
    </row>
    <row r="22" customFormat="false" ht="12.8" hidden="false" customHeight="false" outlineLevel="0" collapsed="false">
      <c r="A22" s="49" t="s">
        <v>240</v>
      </c>
      <c r="B22" s="49"/>
      <c r="C22" s="49"/>
      <c r="E22" s="52" t="s">
        <v>222</v>
      </c>
      <c r="F22" s="53" t="n">
        <v>0.2</v>
      </c>
      <c r="G22" s="52"/>
      <c r="O22" s="0" t="s">
        <v>241</v>
      </c>
      <c r="P22" s="0" t="n">
        <f aca="false">P16*K6</f>
        <v>2250</v>
      </c>
    </row>
    <row r="23" customFormat="false" ht="12.8" hidden="false" customHeight="false" outlineLevel="0" collapsed="false">
      <c r="E23" s="52" t="s">
        <v>225</v>
      </c>
      <c r="F23" s="53" t="n">
        <v>0</v>
      </c>
      <c r="G23" s="52"/>
      <c r="O23" s="0" t="s">
        <v>242</v>
      </c>
      <c r="P23" s="0" t="n">
        <f aca="false">P16*E6</f>
        <v>7500</v>
      </c>
    </row>
    <row r="24" customFormat="false" ht="12.8" hidden="false" customHeight="false" outlineLevel="0" collapsed="false">
      <c r="E24" s="52" t="s">
        <v>226</v>
      </c>
      <c r="F24" s="53" t="n">
        <v>0</v>
      </c>
      <c r="G24" s="52"/>
      <c r="O24" s="0" t="s">
        <v>243</v>
      </c>
      <c r="P24" s="0" t="n">
        <f aca="false">P17*F7*L4</f>
        <v>1125000</v>
      </c>
      <c r="Q24" s="0" t="s">
        <v>12</v>
      </c>
    </row>
    <row r="25" customFormat="false" ht="12.8" hidden="false" customHeight="false" outlineLevel="0" collapsed="false">
      <c r="O25" s="0" t="s">
        <v>244</v>
      </c>
      <c r="P25" s="0" t="n">
        <f aca="false">P18*G7*L4</f>
        <v>1425000</v>
      </c>
      <c r="Q25" s="0" t="s">
        <v>12</v>
      </c>
    </row>
    <row r="26" customFormat="false" ht="12.8" hidden="false" customHeight="false" outlineLevel="0" collapsed="false">
      <c r="A26" s="29" t="s">
        <v>189</v>
      </c>
      <c r="B26" s="29"/>
      <c r="C26" s="30"/>
      <c r="O26" s="0" t="s">
        <v>245</v>
      </c>
      <c r="P26" s="0" t="n">
        <f aca="false">P16*I6*I7*L4</f>
        <v>127875</v>
      </c>
      <c r="Q26" s="0" t="s">
        <v>12</v>
      </c>
    </row>
    <row r="27" customFormat="false" ht="12.8" hidden="false" customHeight="false" outlineLevel="0" collapsed="false">
      <c r="A27" s="30" t="s">
        <v>81</v>
      </c>
      <c r="B27" s="31" t="n">
        <v>1200</v>
      </c>
      <c r="C27" s="30"/>
      <c r="O27" s="0" t="s">
        <v>246</v>
      </c>
      <c r="P27" s="0" t="n">
        <f aca="false">P16*D6*D7*L4</f>
        <v>30000</v>
      </c>
      <c r="Q27" s="0" t="s">
        <v>12</v>
      </c>
    </row>
    <row r="28" customFormat="false" ht="12.8" hidden="false" customHeight="false" outlineLevel="0" collapsed="false">
      <c r="A28" s="30" t="s">
        <v>192</v>
      </c>
      <c r="B28" s="31" t="n">
        <v>30</v>
      </c>
      <c r="C28" s="30"/>
      <c r="O28" s="0" t="s">
        <v>247</v>
      </c>
      <c r="P28" s="0" t="n">
        <f aca="false">P16*J6*J7</f>
        <v>4815000</v>
      </c>
      <c r="Q28" s="0" t="s">
        <v>12</v>
      </c>
    </row>
    <row r="29" customFormat="false" ht="12.8" hidden="false" customHeight="false" outlineLevel="0" collapsed="false">
      <c r="A29" s="30" t="s">
        <v>193</v>
      </c>
      <c r="B29" s="30" t="n">
        <v>3</v>
      </c>
      <c r="C29" s="30" t="s">
        <v>194</v>
      </c>
      <c r="O29" s="0" t="s">
        <v>248</v>
      </c>
      <c r="P29" s="0" t="n">
        <f aca="false">K6*P16*K7</f>
        <v>1248300</v>
      </c>
      <c r="Q29" s="0" t="s">
        <v>12</v>
      </c>
    </row>
    <row r="30" customFormat="false" ht="12.8" hidden="false" customHeight="false" outlineLevel="0" collapsed="false">
      <c r="A30" s="30" t="s">
        <v>195</v>
      </c>
      <c r="B30" s="31" t="n">
        <f aca="false">B27/B29</f>
        <v>400</v>
      </c>
      <c r="C30" s="30"/>
      <c r="O30" s="0" t="s">
        <v>249</v>
      </c>
      <c r="P30" s="0" t="n">
        <f aca="false">P16*E6*E7</f>
        <v>562500</v>
      </c>
      <c r="Q30" s="0" t="s">
        <v>12</v>
      </c>
    </row>
    <row r="31" customFormat="false" ht="12.8" hidden="false" customHeight="false" outlineLevel="0" collapsed="false">
      <c r="A31" s="30" t="s">
        <v>196</v>
      </c>
      <c r="B31" s="31" t="n">
        <f aca="false">B30+B28*12</f>
        <v>760</v>
      </c>
      <c r="C31" s="30"/>
      <c r="S31" s="2"/>
      <c r="U31" s="2"/>
    </row>
    <row r="32" customFormat="false" ht="12.8" hidden="false" customHeight="false" outlineLevel="0" collapsed="false">
      <c r="A32" s="30" t="s">
        <v>197</v>
      </c>
      <c r="B32" s="30" t="n">
        <f aca="false">Q49</f>
        <v>2000</v>
      </c>
      <c r="C32" s="30"/>
      <c r="O32" s="2" t="s">
        <v>250</v>
      </c>
      <c r="Q32" s="2" t="s">
        <v>251</v>
      </c>
    </row>
    <row r="33" customFormat="false" ht="12.8" hidden="false" customHeight="false" outlineLevel="0" collapsed="false">
      <c r="A33" s="30" t="s">
        <v>199</v>
      </c>
      <c r="B33" s="31" t="n">
        <f aca="false">B31/B32</f>
        <v>0.38</v>
      </c>
      <c r="C33" s="30"/>
      <c r="O33" s="0" t="s">
        <v>252</v>
      </c>
      <c r="P33" s="0" t="n">
        <f aca="false">P5*B18</f>
        <v>800</v>
      </c>
      <c r="Q33" s="0" t="n">
        <f aca="false">(P10+P24)/P33</f>
        <v>11906.25</v>
      </c>
    </row>
    <row r="34" customFormat="false" ht="12.8" hidden="false" customHeight="false" outlineLevel="0" collapsed="false">
      <c r="O34" s="0" t="s">
        <v>253</v>
      </c>
      <c r="P34" s="0" t="n">
        <f aca="false">ROUND(P33*F21,0)</f>
        <v>640</v>
      </c>
      <c r="Q34" s="0" t="n">
        <f aca="false">(P10+P24)/P33</f>
        <v>11906.25</v>
      </c>
    </row>
    <row r="35" customFormat="false" ht="12.8" hidden="false" customHeight="false" outlineLevel="0" collapsed="false">
      <c r="O35" s="0" t="s">
        <v>254</v>
      </c>
      <c r="P35" s="0" t="n">
        <f aca="false">ROUND(P33*F22,0)</f>
        <v>160</v>
      </c>
      <c r="Q35" s="0" t="n">
        <f aca="false">(P10+P24)/P33</f>
        <v>11906.25</v>
      </c>
    </row>
    <row r="36" customFormat="false" ht="12.8" hidden="false" customHeight="false" outlineLevel="0" collapsed="false">
      <c r="A36" s="54" t="s">
        <v>209</v>
      </c>
      <c r="B36" s="54"/>
      <c r="E36" s="54" t="s">
        <v>250</v>
      </c>
      <c r="F36" s="54"/>
      <c r="O36" s="0" t="s">
        <v>255</v>
      </c>
      <c r="P36" s="0" t="n">
        <f aca="false">ROUND(P33*F23,0)</f>
        <v>0</v>
      </c>
      <c r="Q36" s="0" t="n">
        <v>0</v>
      </c>
    </row>
    <row r="37" customFormat="false" ht="12.8" hidden="false" customHeight="false" outlineLevel="0" collapsed="false">
      <c r="A37" s="54"/>
      <c r="B37" s="54"/>
      <c r="E37" s="54"/>
      <c r="F37" s="54"/>
      <c r="O37" s="0" t="s">
        <v>256</v>
      </c>
      <c r="P37" s="0" t="n">
        <f aca="false">ROUND(P33*F24,0)</f>
        <v>0</v>
      </c>
      <c r="Q37" s="0" t="n">
        <v>0</v>
      </c>
    </row>
    <row r="39" customFormat="false" ht="12.8" hidden="false" customHeight="false" outlineLevel="0" collapsed="false">
      <c r="A39" s="29" t="s">
        <v>257</v>
      </c>
      <c r="B39" s="29"/>
      <c r="E39" s="29" t="s">
        <v>258</v>
      </c>
      <c r="F39" s="29"/>
      <c r="O39" s="2" t="s">
        <v>198</v>
      </c>
      <c r="S39" s="2"/>
    </row>
    <row r="40" customFormat="false" ht="12.8" hidden="false" customHeight="false" outlineLevel="0" collapsed="false">
      <c r="A40" s="30" t="s">
        <v>81</v>
      </c>
      <c r="B40" s="32" t="n">
        <v>30000</v>
      </c>
      <c r="E40" s="30" t="s">
        <v>81</v>
      </c>
      <c r="F40" s="32" t="n">
        <v>35000</v>
      </c>
      <c r="O40" s="0" t="s">
        <v>259</v>
      </c>
      <c r="P40" s="0" t="n">
        <v>30000</v>
      </c>
    </row>
    <row r="41" customFormat="false" ht="12.8" hidden="false" customHeight="false" outlineLevel="0" collapsed="false">
      <c r="A41" s="30" t="s">
        <v>260</v>
      </c>
      <c r="B41" s="55" t="n">
        <v>3</v>
      </c>
      <c r="E41" s="30" t="s">
        <v>260</v>
      </c>
      <c r="F41" s="55" t="n">
        <v>3</v>
      </c>
      <c r="P41" s="2" t="s">
        <v>261</v>
      </c>
      <c r="Q41" s="2" t="s">
        <v>251</v>
      </c>
      <c r="T41" s="2"/>
      <c r="U41" s="2"/>
    </row>
    <row r="42" customFormat="false" ht="12.8" hidden="false" customHeight="false" outlineLevel="0" collapsed="false">
      <c r="A42" s="30" t="s">
        <v>262</v>
      </c>
      <c r="B42" s="56" t="n">
        <v>15000</v>
      </c>
      <c r="E42" s="30" t="s">
        <v>262</v>
      </c>
      <c r="F42" s="56" t="n">
        <v>17000</v>
      </c>
      <c r="O42" s="0" t="s">
        <v>200</v>
      </c>
      <c r="P42" s="0" t="n">
        <f aca="false">ROUND(P25/P40,0)</f>
        <v>48</v>
      </c>
      <c r="Q42" s="0" t="n">
        <f aca="false">P25/P42</f>
        <v>29687.5</v>
      </c>
    </row>
    <row r="43" customFormat="false" ht="12.8" hidden="false" customHeight="false" outlineLevel="0" collapsed="false">
      <c r="A43" s="30" t="s">
        <v>85</v>
      </c>
      <c r="B43" s="32" t="n">
        <f aca="false">(B40-B42)/B41</f>
        <v>5000</v>
      </c>
      <c r="E43" s="30" t="s">
        <v>85</v>
      </c>
      <c r="F43" s="32" t="n">
        <f aca="false">(F40-F42)/F41</f>
        <v>6000</v>
      </c>
      <c r="O43" s="0" t="s">
        <v>253</v>
      </c>
      <c r="P43" s="57" t="n">
        <f aca="false">$P$42*F11</f>
        <v>24</v>
      </c>
      <c r="Q43" s="0" t="n">
        <f aca="false">P25/P42</f>
        <v>29687.5</v>
      </c>
      <c r="T43" s="57"/>
    </row>
    <row r="44" customFormat="false" ht="12.8" hidden="false" customHeight="false" outlineLevel="0" collapsed="false">
      <c r="A44" s="30" t="s">
        <v>87</v>
      </c>
      <c r="B44" s="30" t="n">
        <f aca="false">Q43</f>
        <v>29687.5</v>
      </c>
      <c r="E44" s="30" t="s">
        <v>87</v>
      </c>
      <c r="F44" s="30" t="n">
        <f aca="false">Q34</f>
        <v>11906.25</v>
      </c>
      <c r="O44" s="58" t="s">
        <v>254</v>
      </c>
      <c r="P44" s="57" t="n">
        <f aca="false">$P$42*F12</f>
        <v>24</v>
      </c>
      <c r="Q44" s="0" t="n">
        <f aca="false">P25/P42</f>
        <v>29687.5</v>
      </c>
      <c r="S44" s="58"/>
      <c r="T44" s="57"/>
    </row>
    <row r="45" customFormat="false" ht="12.8" hidden="false" customHeight="false" outlineLevel="0" collapsed="false">
      <c r="A45" s="30" t="s">
        <v>89</v>
      </c>
      <c r="B45" s="32" t="n">
        <v>60</v>
      </c>
      <c r="E45" s="30" t="s">
        <v>89</v>
      </c>
      <c r="F45" s="32" t="n">
        <v>60</v>
      </c>
      <c r="O45" s="58" t="s">
        <v>263</v>
      </c>
      <c r="P45" s="57" t="n">
        <f aca="false">$P$42*F13</f>
        <v>0</v>
      </c>
      <c r="Q45" s="0" t="n">
        <f aca="false">P25/P42</f>
        <v>29687.5</v>
      </c>
      <c r="S45" s="58"/>
      <c r="T45" s="57"/>
    </row>
    <row r="46" customFormat="false" ht="12.8" hidden="false" customHeight="false" outlineLevel="0" collapsed="false">
      <c r="A46" s="30" t="s">
        <v>91</v>
      </c>
      <c r="B46" s="32" t="n">
        <f aca="false">12*B45</f>
        <v>720</v>
      </c>
      <c r="E46" s="30" t="s">
        <v>91</v>
      </c>
      <c r="F46" s="32" t="n">
        <f aca="false">12*F45</f>
        <v>720</v>
      </c>
      <c r="O46" s="58" t="s">
        <v>255</v>
      </c>
      <c r="P46" s="57" t="n">
        <f aca="false">$P$42*F14</f>
        <v>0</v>
      </c>
      <c r="Q46" s="0" t="n">
        <f aca="false">P25/P42</f>
        <v>29687.5</v>
      </c>
      <c r="S46" s="58"/>
      <c r="T46" s="57"/>
    </row>
    <row r="47" customFormat="false" ht="12.8" hidden="false" customHeight="false" outlineLevel="0" collapsed="false">
      <c r="A47" s="30" t="s">
        <v>92</v>
      </c>
      <c r="B47" s="32" t="n">
        <v>100</v>
      </c>
      <c r="E47" s="30" t="s">
        <v>92</v>
      </c>
      <c r="F47" s="32" t="n">
        <v>100</v>
      </c>
      <c r="O47" s="58" t="s">
        <v>256</v>
      </c>
      <c r="P47" s="57" t="n">
        <f aca="false">$P$42*F15</f>
        <v>0</v>
      </c>
      <c r="Q47" s="0" t="n">
        <f aca="false">P25/P42</f>
        <v>29687.5</v>
      </c>
      <c r="S47" s="58"/>
      <c r="T47" s="57"/>
    </row>
    <row r="48" customFormat="false" ht="12.8" hidden="false" customHeight="false" outlineLevel="0" collapsed="false">
      <c r="A48" s="30" t="s">
        <v>94</v>
      </c>
      <c r="B48" s="32" t="n">
        <f aca="false">12*B47</f>
        <v>1200</v>
      </c>
      <c r="E48" s="30" t="s">
        <v>94</v>
      </c>
      <c r="F48" s="32" t="n">
        <f aca="false">12*F47</f>
        <v>1200</v>
      </c>
      <c r="O48" s="58" t="s">
        <v>264</v>
      </c>
      <c r="P48" s="57" t="n">
        <f aca="false">$P$42*F16</f>
        <v>0</v>
      </c>
      <c r="Q48" s="0" t="n">
        <f aca="false">P25/P42</f>
        <v>29687.5</v>
      </c>
      <c r="S48" s="58"/>
      <c r="T48" s="57"/>
    </row>
    <row r="49" customFormat="false" ht="12.8" hidden="false" customHeight="false" outlineLevel="0" collapsed="false">
      <c r="A49" s="30" t="s">
        <v>96</v>
      </c>
      <c r="B49" s="32" t="n">
        <v>1.26</v>
      </c>
      <c r="E49" s="30" t="s">
        <v>96</v>
      </c>
      <c r="F49" s="32" t="n">
        <v>1.46</v>
      </c>
      <c r="O49" s="0" t="s">
        <v>265</v>
      </c>
      <c r="P49" s="0" t="n">
        <v>15</v>
      </c>
      <c r="Q49" s="0" t="n">
        <f aca="false">P27/P49</f>
        <v>2000</v>
      </c>
    </row>
    <row r="50" customFormat="false" ht="12.8" hidden="false" customHeight="false" outlineLevel="0" collapsed="false">
      <c r="A50" s="30" t="s">
        <v>99</v>
      </c>
      <c r="B50" s="30" t="n">
        <v>6</v>
      </c>
      <c r="E50" s="30" t="s">
        <v>99</v>
      </c>
      <c r="F50" s="30" t="n">
        <v>6</v>
      </c>
    </row>
    <row r="51" customFormat="false" ht="12.8" hidden="false" customHeight="false" outlineLevel="0" collapsed="false">
      <c r="A51" s="30" t="s">
        <v>102</v>
      </c>
      <c r="B51" s="32" t="n">
        <f aca="false">B44*B50/100*B49</f>
        <v>2244.375</v>
      </c>
      <c r="E51" s="30" t="s">
        <v>102</v>
      </c>
      <c r="F51" s="32" t="n">
        <f aca="false">F44*F50/100*F49</f>
        <v>1042.9875</v>
      </c>
      <c r="O51" s="10" t="s">
        <v>206</v>
      </c>
      <c r="P51" s="10"/>
      <c r="Q51" s="10"/>
    </row>
    <row r="52" customFormat="false" ht="12.8" hidden="false" customHeight="false" outlineLevel="0" collapsed="false">
      <c r="A52" s="30" t="s">
        <v>101</v>
      </c>
      <c r="B52" s="30" t="n">
        <v>2.6</v>
      </c>
      <c r="E52" s="30" t="s">
        <v>101</v>
      </c>
      <c r="F52" s="30" t="n">
        <v>2.33</v>
      </c>
      <c r="O52" s="10"/>
      <c r="P52" s="10"/>
      <c r="Q52" s="10"/>
      <c r="S52" s="59"/>
      <c r="T52" s="59"/>
      <c r="U52" s="59"/>
    </row>
    <row r="53" customFormat="false" ht="12.8" hidden="false" customHeight="false" outlineLevel="0" collapsed="false">
      <c r="A53" s="38" t="s">
        <v>105</v>
      </c>
      <c r="B53" s="39" t="n">
        <f aca="false">B43+B46+B48+B51</f>
        <v>9164.375</v>
      </c>
      <c r="E53" s="38" t="s">
        <v>105</v>
      </c>
      <c r="F53" s="39" t="n">
        <f aca="false">F43+F46+F48+F51</f>
        <v>8962.9875</v>
      </c>
      <c r="O53" s="10" t="s">
        <v>26</v>
      </c>
      <c r="P53" s="10"/>
      <c r="Q53" s="10"/>
      <c r="S53" s="10"/>
      <c r="T53" s="10"/>
      <c r="U53" s="10"/>
    </row>
    <row r="54" customFormat="false" ht="12.8" hidden="false" customHeight="false" outlineLevel="0" collapsed="false">
      <c r="A54" s="40" t="s">
        <v>106</v>
      </c>
      <c r="B54" s="41" t="n">
        <f aca="false">B53/B44</f>
        <v>0.308694736842105</v>
      </c>
      <c r="E54" s="40" t="s">
        <v>106</v>
      </c>
      <c r="F54" s="41" t="n">
        <f aca="false">F53/F44</f>
        <v>0.752796850393701</v>
      </c>
      <c r="P54" s="34" t="s">
        <v>266</v>
      </c>
      <c r="Q54" s="34" t="s">
        <v>208</v>
      </c>
      <c r="U54" s="60"/>
    </row>
    <row r="55" customFormat="false" ht="12.8" hidden="false" customHeight="false" outlineLevel="0" collapsed="false">
      <c r="A55" s="30" t="s">
        <v>107</v>
      </c>
      <c r="B55" s="30" t="n">
        <f aca="false">(B44*B50/100)*B52</f>
        <v>4631.25</v>
      </c>
      <c r="E55" s="30" t="s">
        <v>107</v>
      </c>
      <c r="F55" s="30" t="n">
        <f aca="false">(F44*F50/100)*F52</f>
        <v>1664.49375</v>
      </c>
      <c r="O55" s="0" t="s">
        <v>61</v>
      </c>
      <c r="P55" s="0" t="n">
        <f aca="false">P8*$B$58</f>
        <v>0</v>
      </c>
      <c r="Q55" s="60" t="n">
        <v>0</v>
      </c>
      <c r="U55" s="60"/>
    </row>
    <row r="56" customFormat="false" ht="12.8" hidden="false" customHeight="false" outlineLevel="0" collapsed="false">
      <c r="A56" s="30" t="s">
        <v>267</v>
      </c>
      <c r="B56" s="30" t="n">
        <f aca="false">B55/B44</f>
        <v>0.156</v>
      </c>
      <c r="E56" s="30" t="s">
        <v>267</v>
      </c>
      <c r="F56" s="30" t="n">
        <f aca="false">F55/F44</f>
        <v>0.1398</v>
      </c>
      <c r="O56" s="0" t="s">
        <v>268</v>
      </c>
      <c r="P56" s="0" t="n">
        <f aca="false">P9*B157</f>
        <v>210000</v>
      </c>
      <c r="Q56" s="60" t="n">
        <f aca="false">P9*B168</f>
        <v>315000</v>
      </c>
      <c r="U56" s="60"/>
    </row>
    <row r="57" customFormat="false" ht="12.8" hidden="false" customHeight="false" outlineLevel="0" collapsed="false">
      <c r="O57" s="0" t="s">
        <v>269</v>
      </c>
      <c r="P57" s="0" t="n">
        <f aca="false">P10*F21*F56+P10*F22*F75 + P10*F23*F94+P10*F24*F113</f>
        <v>1174320</v>
      </c>
      <c r="Q57" s="60" t="n">
        <f aca="false">P10*F21*F54+P10*F22*F73 + P10*F23*F92+P10*F24*F111</f>
        <v>6652732.38845144</v>
      </c>
      <c r="U57" s="60"/>
    </row>
    <row r="58" customFormat="false" ht="12.8" hidden="false" customHeight="false" outlineLevel="0" collapsed="false">
      <c r="A58" s="29" t="s">
        <v>270</v>
      </c>
      <c r="B58" s="29"/>
      <c r="E58" s="29" t="s">
        <v>270</v>
      </c>
      <c r="F58" s="29"/>
      <c r="G58" s="8"/>
      <c r="O58" s="0" t="s">
        <v>210</v>
      </c>
      <c r="P58" s="0" t="n">
        <f aca="false">P12*B155</f>
        <v>187500</v>
      </c>
      <c r="Q58" s="9" t="n">
        <f aca="false">P5*I4*B167*12</f>
        <v>108000</v>
      </c>
      <c r="R58" s="9"/>
      <c r="S58" s="10"/>
      <c r="T58" s="10"/>
      <c r="U58" s="10"/>
    </row>
    <row r="59" customFormat="false" ht="12.8" hidden="false" customHeight="false" outlineLevel="0" collapsed="false">
      <c r="A59" s="30" t="s">
        <v>81</v>
      </c>
      <c r="B59" s="32" t="n">
        <v>55000</v>
      </c>
      <c r="E59" s="30" t="s">
        <v>81</v>
      </c>
      <c r="F59" s="32" t="n">
        <v>55000</v>
      </c>
      <c r="O59" s="10" t="s">
        <v>188</v>
      </c>
      <c r="P59" s="10"/>
      <c r="Q59" s="10"/>
      <c r="U59" s="60"/>
    </row>
    <row r="60" customFormat="false" ht="12.8" hidden="false" customHeight="false" outlineLevel="0" collapsed="false">
      <c r="A60" s="30" t="s">
        <v>260</v>
      </c>
      <c r="B60" s="55" t="n">
        <v>3</v>
      </c>
      <c r="E60" s="30" t="s">
        <v>260</v>
      </c>
      <c r="F60" s="55" t="n">
        <v>3</v>
      </c>
      <c r="P60" s="34" t="s">
        <v>266</v>
      </c>
      <c r="Q60" s="34" t="s">
        <v>208</v>
      </c>
      <c r="U60" s="60"/>
    </row>
    <row r="61" customFormat="false" ht="12.8" hidden="false" customHeight="false" outlineLevel="0" collapsed="false">
      <c r="A61" s="30" t="s">
        <v>262</v>
      </c>
      <c r="B61" s="56" t="n">
        <v>30000</v>
      </c>
      <c r="E61" s="30" t="s">
        <v>262</v>
      </c>
      <c r="F61" s="56" t="n">
        <v>30000</v>
      </c>
      <c r="O61" s="0" t="s">
        <v>61</v>
      </c>
      <c r="P61" s="0" t="n">
        <v>0</v>
      </c>
      <c r="Q61" s="60" t="n">
        <f aca="false">P27*B33</f>
        <v>11400</v>
      </c>
      <c r="U61" s="60"/>
    </row>
    <row r="62" customFormat="false" ht="12.8" hidden="false" customHeight="false" outlineLevel="0" collapsed="false">
      <c r="A62" s="30" t="s">
        <v>85</v>
      </c>
      <c r="B62" s="32" t="n">
        <f aca="false">(B59-B61)/B60</f>
        <v>8333.33333333333</v>
      </c>
      <c r="E62" s="30" t="s">
        <v>85</v>
      </c>
      <c r="F62" s="32" t="n">
        <f aca="false">(F59-F61)/F60</f>
        <v>8333.33333333333</v>
      </c>
      <c r="O62" s="0" t="s">
        <v>250</v>
      </c>
      <c r="P62" s="0" t="n">
        <f aca="false">P24*F21*F56+P24*F22*F75+P24*F23*F94+P24*F24*F113</f>
        <v>157275</v>
      </c>
      <c r="Q62" s="60" t="n">
        <f aca="false">P24*F21*F54+P24*F22*F73+P24*F23*F92+P24*F24*F111</f>
        <v>890990.94488189</v>
      </c>
      <c r="U62" s="60"/>
    </row>
    <row r="63" customFormat="false" ht="12.8" hidden="false" customHeight="false" outlineLevel="0" collapsed="false">
      <c r="A63" s="30" t="s">
        <v>87</v>
      </c>
      <c r="B63" s="30" t="n">
        <f aca="false">Q44</f>
        <v>29687.5</v>
      </c>
      <c r="E63" s="30" t="s">
        <v>87</v>
      </c>
      <c r="F63" s="30" t="n">
        <f aca="false">Q35</f>
        <v>11906.25</v>
      </c>
      <c r="O63" s="0" t="s">
        <v>58</v>
      </c>
      <c r="P63" s="0" t="n">
        <f aca="false">P25*F11*B56+P25*F12*B75+P25*F13*B94 + P25*F14*B113+P25*F15*B132+P25*F15*B151</f>
        <v>210757.5</v>
      </c>
      <c r="Q63" s="60" t="n">
        <f aca="false">P25*F11*B54+P25*F12*B73+P25*F13*B92 + P25*F14*B111+P25*F15*B130+P25*F16*B149</f>
        <v>528440</v>
      </c>
      <c r="U63" s="60"/>
    </row>
    <row r="64" customFormat="false" ht="12.8" hidden="false" customHeight="false" outlineLevel="0" collapsed="false">
      <c r="A64" s="30" t="s">
        <v>89</v>
      </c>
      <c r="B64" s="32" t="n">
        <v>60</v>
      </c>
      <c r="E64" s="30" t="s">
        <v>89</v>
      </c>
      <c r="F64" s="32" t="n">
        <v>60</v>
      </c>
      <c r="O64" s="0" t="s">
        <v>271</v>
      </c>
      <c r="P64" s="0" t="n">
        <f aca="false">P30*B157</f>
        <v>112500</v>
      </c>
      <c r="Q64" s="36" t="n">
        <f aca="false">P30*B168</f>
        <v>168750</v>
      </c>
      <c r="U64" s="36"/>
    </row>
    <row r="65" customFormat="false" ht="12.8" hidden="false" customHeight="false" outlineLevel="0" collapsed="false">
      <c r="A65" s="30" t="s">
        <v>91</v>
      </c>
      <c r="B65" s="32" t="n">
        <f aca="false">12*B64</f>
        <v>720</v>
      </c>
      <c r="E65" s="30" t="s">
        <v>91</v>
      </c>
      <c r="F65" s="32" t="n">
        <f aca="false">12*F64</f>
        <v>720</v>
      </c>
      <c r="O65" s="0" t="s">
        <v>55</v>
      </c>
      <c r="P65" s="0" t="n">
        <f aca="false">P26*B155</f>
        <v>12787.5</v>
      </c>
      <c r="Q65" s="60" t="n">
        <f aca="false">P26*B169</f>
        <v>16623.75</v>
      </c>
    </row>
    <row r="66" customFormat="false" ht="12.8" hidden="false" customHeight="false" outlineLevel="0" collapsed="false">
      <c r="A66" s="30" t="s">
        <v>92</v>
      </c>
      <c r="B66" s="32" t="n">
        <v>100</v>
      </c>
      <c r="E66" s="30" t="s">
        <v>92</v>
      </c>
      <c r="F66" s="32" t="n">
        <v>100</v>
      </c>
      <c r="O66" s="0" t="s">
        <v>57</v>
      </c>
      <c r="P66" s="0" t="n">
        <f aca="false">P28*B156</f>
        <v>1017409.5</v>
      </c>
      <c r="Q66" s="60" t="n">
        <f aca="false">P28*B166</f>
        <v>963000</v>
      </c>
      <c r="U66" s="60"/>
    </row>
    <row r="67" customFormat="false" ht="12.8" hidden="false" customHeight="false" outlineLevel="0" collapsed="false">
      <c r="A67" s="30" t="s">
        <v>94</v>
      </c>
      <c r="B67" s="32" t="n">
        <f aca="false">12*B66</f>
        <v>1200</v>
      </c>
      <c r="E67" s="30" t="s">
        <v>94</v>
      </c>
      <c r="F67" s="32" t="n">
        <f aca="false">12*F66</f>
        <v>1200</v>
      </c>
      <c r="O67" s="0" t="s">
        <v>119</v>
      </c>
      <c r="P67" s="0" t="n">
        <f aca="false">P29*B159</f>
        <v>44439.48</v>
      </c>
      <c r="Q67" s="36" t="n">
        <f aca="false">P29*B164</f>
        <v>187245</v>
      </c>
      <c r="U67" s="60"/>
    </row>
    <row r="68" customFormat="false" ht="12.8" hidden="false" customHeight="false" outlineLevel="0" collapsed="false">
      <c r="A68" s="30" t="s">
        <v>96</v>
      </c>
      <c r="B68" s="32" t="n">
        <v>1.46</v>
      </c>
      <c r="E68" s="30" t="s">
        <v>96</v>
      </c>
      <c r="F68" s="32" t="n">
        <v>1.46</v>
      </c>
    </row>
    <row r="69" customFormat="false" ht="12.8" hidden="false" customHeight="false" outlineLevel="0" collapsed="false">
      <c r="A69" s="30" t="s">
        <v>99</v>
      </c>
      <c r="B69" s="30" t="n">
        <v>6</v>
      </c>
      <c r="E69" s="30" t="s">
        <v>99</v>
      </c>
      <c r="F69" s="30" t="n">
        <v>6</v>
      </c>
      <c r="O69" s="0" t="s">
        <v>140</v>
      </c>
      <c r="P69" s="0" t="n">
        <f aca="false">P55+P56+P57+P58+P61+P62+P63+P65+P66+P67</f>
        <v>3014488.98</v>
      </c>
      <c r="Q69" s="60" t="n">
        <f aca="false">Q57+Q61+Q62+Q63+Q65+Q66+Q67</f>
        <v>9250432.08333333</v>
      </c>
    </row>
    <row r="70" customFormat="false" ht="12.8" hidden="false" customHeight="false" outlineLevel="0" collapsed="false">
      <c r="A70" s="30" t="s">
        <v>102</v>
      </c>
      <c r="B70" s="32" t="n">
        <f aca="false">B63*B69/100*B68</f>
        <v>2600.625</v>
      </c>
      <c r="E70" s="30" t="s">
        <v>102</v>
      </c>
      <c r="F70" s="32" t="n">
        <f aca="false">F63*F69/100*F68</f>
        <v>1042.9875</v>
      </c>
      <c r="O70" s="0" t="s">
        <v>272</v>
      </c>
      <c r="P70" s="0" t="n">
        <f aca="false">P69/$P$5</f>
        <v>3014.48898</v>
      </c>
      <c r="Q70" s="60" t="n">
        <f aca="false">Q69/$P$5</f>
        <v>9250.43208333333</v>
      </c>
    </row>
    <row r="71" customFormat="false" ht="12.8" hidden="false" customHeight="false" outlineLevel="0" collapsed="false">
      <c r="A71" s="30" t="s">
        <v>101</v>
      </c>
      <c r="B71" s="30" t="n">
        <v>2.33</v>
      </c>
      <c r="E71" s="30" t="s">
        <v>101</v>
      </c>
      <c r="F71" s="30" t="n">
        <v>2.33</v>
      </c>
    </row>
    <row r="72" customFormat="false" ht="12.8" hidden="false" customHeight="false" outlineLevel="0" collapsed="false">
      <c r="A72" s="38" t="s">
        <v>105</v>
      </c>
      <c r="B72" s="39" t="n">
        <f aca="false">B62+B65+B67+B70</f>
        <v>12853.9583333333</v>
      </c>
      <c r="E72" s="38" t="s">
        <v>105</v>
      </c>
      <c r="F72" s="39" t="n">
        <f aca="false">F62+F65+F67+F70</f>
        <v>11296.3208333333</v>
      </c>
    </row>
    <row r="73" customFormat="false" ht="12.8" hidden="false" customHeight="false" outlineLevel="0" collapsed="false">
      <c r="A73" s="40" t="s">
        <v>106</v>
      </c>
      <c r="B73" s="41" t="n">
        <f aca="false">B72/B63</f>
        <v>0.432975438596491</v>
      </c>
      <c r="E73" s="40" t="s">
        <v>106</v>
      </c>
      <c r="F73" s="41" t="n">
        <f aca="false">F72/F63</f>
        <v>0.948772353455818</v>
      </c>
    </row>
    <row r="74" customFormat="false" ht="12.8" hidden="false" customHeight="false" outlineLevel="0" collapsed="false">
      <c r="A74" s="30" t="s">
        <v>107</v>
      </c>
      <c r="B74" s="30" t="n">
        <f aca="false">(B63*B69/100)*B71</f>
        <v>4150.3125</v>
      </c>
      <c r="E74" s="30" t="s">
        <v>107</v>
      </c>
      <c r="F74" s="30" t="n">
        <f aca="false">(F63*F69/100)*F71</f>
        <v>1664.49375</v>
      </c>
    </row>
    <row r="75" customFormat="false" ht="12.8" hidden="false" customHeight="false" outlineLevel="0" collapsed="false">
      <c r="A75" s="30" t="s">
        <v>267</v>
      </c>
      <c r="B75" s="30" t="n">
        <f aca="false">B74/B63</f>
        <v>0.1398</v>
      </c>
      <c r="E75" s="30" t="s">
        <v>267</v>
      </c>
      <c r="F75" s="30" t="n">
        <f aca="false">F74/F63</f>
        <v>0.1398</v>
      </c>
    </row>
    <row r="77" customFormat="false" ht="12.8" hidden="false" customHeight="false" outlineLevel="0" collapsed="false">
      <c r="A77" s="29" t="s">
        <v>273</v>
      </c>
      <c r="B77" s="29"/>
      <c r="E77" s="29" t="s">
        <v>274</v>
      </c>
      <c r="F77" s="29"/>
    </row>
    <row r="78" customFormat="false" ht="12.8" hidden="false" customHeight="false" outlineLevel="0" collapsed="false">
      <c r="A78" s="30" t="s">
        <v>81</v>
      </c>
      <c r="B78" s="32" t="n">
        <v>31750</v>
      </c>
      <c r="E78" s="30" t="s">
        <v>81</v>
      </c>
      <c r="F78" s="32" t="n">
        <v>32000</v>
      </c>
    </row>
    <row r="79" customFormat="false" ht="12.8" hidden="false" customHeight="false" outlineLevel="0" collapsed="false">
      <c r="A79" s="30" t="s">
        <v>260</v>
      </c>
      <c r="B79" s="30" t="n">
        <v>3</v>
      </c>
      <c r="E79" s="30" t="s">
        <v>260</v>
      </c>
      <c r="F79" s="61" t="n">
        <v>3</v>
      </c>
    </row>
    <row r="80" customFormat="false" ht="12.8" hidden="false" customHeight="false" outlineLevel="0" collapsed="false">
      <c r="A80" s="30" t="s">
        <v>262</v>
      </c>
      <c r="B80" s="56" t="n">
        <v>10000</v>
      </c>
      <c r="E80" s="30" t="s">
        <v>262</v>
      </c>
      <c r="F80" s="30" t="n">
        <v>16000</v>
      </c>
    </row>
    <row r="81" customFormat="false" ht="12.8" hidden="false" customHeight="false" outlineLevel="0" collapsed="false">
      <c r="A81" s="30" t="s">
        <v>85</v>
      </c>
      <c r="B81" s="32" t="n">
        <f aca="false">(B78-B80)/B79</f>
        <v>7250</v>
      </c>
      <c r="E81" s="30" t="s">
        <v>85</v>
      </c>
      <c r="F81" s="32" t="n">
        <f aca="false">(F78-F80)/F79</f>
        <v>5333.33333333333</v>
      </c>
    </row>
    <row r="82" customFormat="false" ht="12.8" hidden="false" customHeight="false" outlineLevel="0" collapsed="false">
      <c r="A82" s="30" t="s">
        <v>87</v>
      </c>
      <c r="B82" s="30" t="n">
        <f aca="false">Q45</f>
        <v>29687.5</v>
      </c>
      <c r="E82" s="30" t="s">
        <v>87</v>
      </c>
      <c r="F82" s="30" t="n">
        <f aca="false">Q35</f>
        <v>11906.25</v>
      </c>
    </row>
    <row r="83" customFormat="false" ht="12.8" hidden="false" customHeight="false" outlineLevel="0" collapsed="false">
      <c r="A83" s="30" t="s">
        <v>89</v>
      </c>
      <c r="B83" s="32" t="n">
        <v>60</v>
      </c>
      <c r="E83" s="30" t="s">
        <v>89</v>
      </c>
      <c r="F83" s="32" t="n">
        <v>48</v>
      </c>
    </row>
    <row r="84" customFormat="false" ht="12.8" hidden="false" customHeight="false" outlineLevel="0" collapsed="false">
      <c r="A84" s="30" t="s">
        <v>91</v>
      </c>
      <c r="B84" s="32" t="n">
        <f aca="false">12*B83</f>
        <v>720</v>
      </c>
      <c r="E84" s="30" t="s">
        <v>91</v>
      </c>
      <c r="F84" s="32" t="n">
        <f aca="false">12*F83</f>
        <v>576</v>
      </c>
    </row>
    <row r="85" customFormat="false" ht="12.8" hidden="false" customHeight="false" outlineLevel="0" collapsed="false">
      <c r="A85" s="30" t="s">
        <v>92</v>
      </c>
      <c r="B85" s="32" t="n">
        <v>100</v>
      </c>
      <c r="E85" s="30" t="s">
        <v>92</v>
      </c>
      <c r="F85" s="32" t="n">
        <v>82</v>
      </c>
    </row>
    <row r="86" customFormat="false" ht="12.8" hidden="false" customHeight="false" outlineLevel="0" collapsed="false">
      <c r="A86" s="30" t="s">
        <v>94</v>
      </c>
      <c r="B86" s="32" t="n">
        <f aca="false">12*B85</f>
        <v>1200</v>
      </c>
      <c r="E86" s="30" t="s">
        <v>94</v>
      </c>
      <c r="F86" s="32" t="n">
        <f aca="false">12*F85</f>
        <v>984</v>
      </c>
    </row>
    <row r="87" customFormat="false" ht="12.8" hidden="false" customHeight="false" outlineLevel="0" collapsed="false">
      <c r="A87" s="30" t="s">
        <v>96</v>
      </c>
      <c r="B87" s="32" t="n">
        <v>1.28</v>
      </c>
      <c r="E87" s="30" t="s">
        <v>97</v>
      </c>
      <c r="F87" s="32" t="n">
        <v>0.3</v>
      </c>
    </row>
    <row r="88" customFormat="false" ht="12.8" hidden="false" customHeight="false" outlineLevel="0" collapsed="false">
      <c r="A88" s="30" t="s">
        <v>99</v>
      </c>
      <c r="B88" s="30" t="n">
        <v>8.1</v>
      </c>
      <c r="E88" s="30" t="s">
        <v>100</v>
      </c>
      <c r="F88" s="30" t="n">
        <v>14</v>
      </c>
    </row>
    <row r="89" customFormat="false" ht="12.8" hidden="false" customHeight="false" outlineLevel="0" collapsed="false">
      <c r="A89" s="30" t="s">
        <v>102</v>
      </c>
      <c r="B89" s="32" t="n">
        <f aca="false">B82*B88/100*B87</f>
        <v>3078</v>
      </c>
      <c r="E89" s="30" t="s">
        <v>102</v>
      </c>
      <c r="F89" s="32" t="n">
        <f aca="false">F82*F88/100*F87</f>
        <v>500.0625</v>
      </c>
    </row>
    <row r="90" customFormat="false" ht="12.8" hidden="false" customHeight="false" outlineLevel="0" collapsed="false">
      <c r="A90" s="30" t="s">
        <v>101</v>
      </c>
      <c r="B90" s="30" t="n">
        <v>2.6</v>
      </c>
      <c r="E90" s="30" t="s">
        <v>103</v>
      </c>
      <c r="F90" s="30" t="n">
        <v>0.5</v>
      </c>
    </row>
    <row r="91" customFormat="false" ht="12.8" hidden="false" customHeight="false" outlineLevel="0" collapsed="false">
      <c r="A91" s="38" t="s">
        <v>105</v>
      </c>
      <c r="B91" s="39" t="n">
        <f aca="false">B81+B84+B86+B89</f>
        <v>12248</v>
      </c>
      <c r="E91" s="38" t="s">
        <v>105</v>
      </c>
      <c r="F91" s="39" t="n">
        <f aca="false">F81+F84+F86+F89</f>
        <v>7393.39583333333</v>
      </c>
    </row>
    <row r="92" customFormat="false" ht="12.8" hidden="false" customHeight="false" outlineLevel="0" collapsed="false">
      <c r="A92" s="40" t="s">
        <v>106</v>
      </c>
      <c r="B92" s="41" t="n">
        <f aca="false">B91/B82</f>
        <v>0.412564210526316</v>
      </c>
      <c r="E92" s="40" t="s">
        <v>106</v>
      </c>
      <c r="F92" s="41" t="n">
        <f aca="false">F91/F82</f>
        <v>0.620967629046369</v>
      </c>
    </row>
    <row r="93" customFormat="false" ht="12.8" hidden="false" customHeight="false" outlineLevel="0" collapsed="false">
      <c r="A93" s="30" t="s">
        <v>107</v>
      </c>
      <c r="B93" s="30" t="n">
        <f aca="false">(B82*B88/100)*B90</f>
        <v>6252.1875</v>
      </c>
      <c r="E93" s="30" t="s">
        <v>107</v>
      </c>
      <c r="F93" s="30" t="n">
        <f aca="false">F90*F82*F88/100</f>
        <v>833.4375</v>
      </c>
    </row>
    <row r="94" customFormat="false" ht="12.8" hidden="false" customHeight="false" outlineLevel="0" collapsed="false">
      <c r="A94" s="30" t="s">
        <v>267</v>
      </c>
      <c r="B94" s="30" t="n">
        <f aca="false">B93/B82</f>
        <v>0.2106</v>
      </c>
      <c r="E94" s="30" t="s">
        <v>267</v>
      </c>
      <c r="F94" s="30" t="n">
        <f aca="false">F93/F82</f>
        <v>0.07</v>
      </c>
    </row>
    <row r="96" customFormat="false" ht="12.8" hidden="false" customHeight="false" outlineLevel="0" collapsed="false">
      <c r="A96" s="29" t="s">
        <v>274</v>
      </c>
      <c r="B96" s="29"/>
      <c r="E96" s="29" t="s">
        <v>275</v>
      </c>
      <c r="F96" s="29"/>
    </row>
    <row r="97" customFormat="false" ht="12.8" hidden="false" customHeight="false" outlineLevel="0" collapsed="false">
      <c r="A97" s="30" t="s">
        <v>81</v>
      </c>
      <c r="B97" s="32" t="n">
        <v>32000</v>
      </c>
      <c r="E97" s="30" t="s">
        <v>81</v>
      </c>
      <c r="F97" s="32" t="n">
        <v>55000</v>
      </c>
    </row>
    <row r="98" customFormat="false" ht="12.8" hidden="false" customHeight="false" outlineLevel="0" collapsed="false">
      <c r="A98" s="30" t="s">
        <v>260</v>
      </c>
      <c r="B98" s="61" t="n">
        <v>3</v>
      </c>
      <c r="E98" s="30" t="s">
        <v>260</v>
      </c>
      <c r="F98" s="61" t="n">
        <v>3</v>
      </c>
    </row>
    <row r="99" customFormat="false" ht="12.8" hidden="false" customHeight="false" outlineLevel="0" collapsed="false">
      <c r="A99" s="30" t="s">
        <v>262</v>
      </c>
      <c r="B99" s="30" t="n">
        <v>16000</v>
      </c>
      <c r="E99" s="30" t="s">
        <v>262</v>
      </c>
      <c r="F99" s="30" t="n">
        <v>27000</v>
      </c>
    </row>
    <row r="100" customFormat="false" ht="12.8" hidden="false" customHeight="false" outlineLevel="0" collapsed="false">
      <c r="A100" s="30" t="s">
        <v>85</v>
      </c>
      <c r="B100" s="32" t="n">
        <f aca="false">(B97-B99)/B98</f>
        <v>5333.33333333333</v>
      </c>
      <c r="E100" s="30" t="s">
        <v>85</v>
      </c>
      <c r="F100" s="32" t="n">
        <f aca="false">(F97-F99)/F98</f>
        <v>9333.33333333333</v>
      </c>
    </row>
    <row r="101" customFormat="false" ht="12.8" hidden="false" customHeight="false" outlineLevel="0" collapsed="false">
      <c r="A101" s="30" t="s">
        <v>87</v>
      </c>
      <c r="B101" s="30" t="n">
        <f aca="false">Q45</f>
        <v>29687.5</v>
      </c>
      <c r="E101" s="30" t="s">
        <v>87</v>
      </c>
      <c r="F101" s="30" t="n">
        <f aca="false">Q35</f>
        <v>11906.25</v>
      </c>
    </row>
    <row r="102" customFormat="false" ht="12.8" hidden="false" customHeight="false" outlineLevel="0" collapsed="false">
      <c r="A102" s="30" t="s">
        <v>89</v>
      </c>
      <c r="B102" s="32" t="n">
        <v>48</v>
      </c>
      <c r="E102" s="30" t="s">
        <v>89</v>
      </c>
      <c r="F102" s="32" t="n">
        <v>48</v>
      </c>
    </row>
    <row r="103" customFormat="false" ht="12.8" hidden="false" customHeight="false" outlineLevel="0" collapsed="false">
      <c r="A103" s="30" t="s">
        <v>91</v>
      </c>
      <c r="B103" s="32" t="n">
        <f aca="false">12*B102</f>
        <v>576</v>
      </c>
      <c r="E103" s="30" t="s">
        <v>91</v>
      </c>
      <c r="F103" s="32" t="n">
        <f aca="false">12*F102</f>
        <v>576</v>
      </c>
    </row>
    <row r="104" customFormat="false" ht="12.8" hidden="false" customHeight="false" outlineLevel="0" collapsed="false">
      <c r="A104" s="30" t="s">
        <v>92</v>
      </c>
      <c r="B104" s="32" t="n">
        <v>82</v>
      </c>
      <c r="E104" s="30" t="s">
        <v>92</v>
      </c>
      <c r="F104" s="32" t="n">
        <v>82</v>
      </c>
    </row>
    <row r="105" customFormat="false" ht="12.8" hidden="false" customHeight="false" outlineLevel="0" collapsed="false">
      <c r="A105" s="30" t="s">
        <v>94</v>
      </c>
      <c r="B105" s="32" t="n">
        <f aca="false">12*B104</f>
        <v>984</v>
      </c>
      <c r="E105" s="30" t="s">
        <v>94</v>
      </c>
      <c r="F105" s="32" t="n">
        <f aca="false">12*F104</f>
        <v>984</v>
      </c>
    </row>
    <row r="106" customFormat="false" ht="12.8" hidden="false" customHeight="false" outlineLevel="0" collapsed="false">
      <c r="A106" s="30" t="s">
        <v>97</v>
      </c>
      <c r="B106" s="32" t="n">
        <v>0.3</v>
      </c>
      <c r="E106" s="30" t="s">
        <v>97</v>
      </c>
      <c r="F106" s="32" t="n">
        <v>0.3</v>
      </c>
    </row>
    <row r="107" customFormat="false" ht="12.8" hidden="false" customHeight="false" outlineLevel="0" collapsed="false">
      <c r="A107" s="30" t="s">
        <v>100</v>
      </c>
      <c r="B107" s="30" t="n">
        <v>14</v>
      </c>
      <c r="E107" s="30" t="s">
        <v>100</v>
      </c>
      <c r="F107" s="30" t="n">
        <v>16</v>
      </c>
    </row>
    <row r="108" customFormat="false" ht="12.8" hidden="false" customHeight="false" outlineLevel="0" collapsed="false">
      <c r="A108" s="30" t="s">
        <v>102</v>
      </c>
      <c r="B108" s="32" t="n">
        <f aca="false">B101*B107/100*B106</f>
        <v>1246.875</v>
      </c>
      <c r="E108" s="30" t="s">
        <v>102</v>
      </c>
      <c r="F108" s="32" t="n">
        <f aca="false">F101*F107/100*F106</f>
        <v>571.5</v>
      </c>
    </row>
    <row r="109" customFormat="false" ht="12.8" hidden="false" customHeight="false" outlineLevel="0" collapsed="false">
      <c r="A109" s="30" t="s">
        <v>103</v>
      </c>
      <c r="B109" s="30" t="n">
        <v>0.5</v>
      </c>
      <c r="E109" s="30" t="s">
        <v>103</v>
      </c>
      <c r="F109" s="30" t="n">
        <v>0.5</v>
      </c>
    </row>
    <row r="110" customFormat="false" ht="12.8" hidden="false" customHeight="false" outlineLevel="0" collapsed="false">
      <c r="A110" s="38" t="s">
        <v>105</v>
      </c>
      <c r="B110" s="39" t="n">
        <f aca="false">B100+B103+B105+B108</f>
        <v>8140.20833333333</v>
      </c>
      <c r="E110" s="38" t="s">
        <v>105</v>
      </c>
      <c r="F110" s="39" t="n">
        <f aca="false">F100+F103+F105+F108</f>
        <v>11464.8333333333</v>
      </c>
    </row>
    <row r="111" customFormat="false" ht="12.8" hidden="false" customHeight="false" outlineLevel="0" collapsed="false">
      <c r="A111" s="40" t="s">
        <v>106</v>
      </c>
      <c r="B111" s="41" t="n">
        <f aca="false">B110/B101</f>
        <v>0.27419649122807</v>
      </c>
      <c r="E111" s="40" t="s">
        <v>106</v>
      </c>
      <c r="F111" s="41" t="n">
        <f aca="false">F110/F101</f>
        <v>0.962925634295713</v>
      </c>
    </row>
    <row r="112" customFormat="false" ht="12.8" hidden="false" customHeight="false" outlineLevel="0" collapsed="false">
      <c r="A112" s="30" t="s">
        <v>107</v>
      </c>
      <c r="B112" s="30" t="n">
        <f aca="false">B109*B101*B107/100</f>
        <v>2078.125</v>
      </c>
      <c r="E112" s="30" t="s">
        <v>107</v>
      </c>
      <c r="F112" s="30" t="n">
        <f aca="false">F109*F101*F107/100</f>
        <v>952.5</v>
      </c>
    </row>
    <row r="113" customFormat="false" ht="12.8" hidden="false" customHeight="false" outlineLevel="0" collapsed="false">
      <c r="A113" s="30" t="s">
        <v>267</v>
      </c>
      <c r="B113" s="30" t="n">
        <f aca="false">B112/B101</f>
        <v>0.07</v>
      </c>
      <c r="E113" s="30" t="s">
        <v>267</v>
      </c>
      <c r="F113" s="30" t="n">
        <f aca="false">F112/F101</f>
        <v>0.08</v>
      </c>
    </row>
    <row r="115" customFormat="false" ht="12.8" hidden="false" customHeight="false" outlineLevel="0" collapsed="false">
      <c r="A115" s="29" t="s">
        <v>275</v>
      </c>
      <c r="B115" s="29"/>
    </row>
    <row r="116" customFormat="false" ht="12.8" hidden="false" customHeight="false" outlineLevel="0" collapsed="false">
      <c r="A116" s="30" t="s">
        <v>81</v>
      </c>
      <c r="B116" s="32" t="n">
        <v>55000</v>
      </c>
    </row>
    <row r="117" customFormat="false" ht="12.8" hidden="false" customHeight="false" outlineLevel="0" collapsed="false">
      <c r="A117" s="30" t="s">
        <v>260</v>
      </c>
      <c r="B117" s="61" t="n">
        <v>3</v>
      </c>
    </row>
    <row r="118" customFormat="false" ht="12.8" hidden="false" customHeight="false" outlineLevel="0" collapsed="false">
      <c r="A118" s="30" t="s">
        <v>262</v>
      </c>
      <c r="B118" s="30" t="n">
        <v>27000</v>
      </c>
    </row>
    <row r="119" customFormat="false" ht="12.8" hidden="false" customHeight="false" outlineLevel="0" collapsed="false">
      <c r="A119" s="30" t="s">
        <v>85</v>
      </c>
      <c r="B119" s="32" t="n">
        <f aca="false">(B116-B118)/B117</f>
        <v>9333.33333333333</v>
      </c>
    </row>
    <row r="120" customFormat="false" ht="12.8" hidden="false" customHeight="false" outlineLevel="0" collapsed="false">
      <c r="A120" s="30" t="s">
        <v>87</v>
      </c>
      <c r="B120" s="30" t="n">
        <f aca="false">Q45</f>
        <v>29687.5</v>
      </c>
    </row>
    <row r="121" customFormat="false" ht="12.8" hidden="false" customHeight="false" outlineLevel="0" collapsed="false">
      <c r="A121" s="30" t="s">
        <v>89</v>
      </c>
      <c r="B121" s="32" t="n">
        <v>48</v>
      </c>
    </row>
    <row r="122" customFormat="false" ht="12.8" hidden="false" customHeight="false" outlineLevel="0" collapsed="false">
      <c r="A122" s="30" t="s">
        <v>91</v>
      </c>
      <c r="B122" s="32" t="n">
        <f aca="false">12*B121</f>
        <v>576</v>
      </c>
    </row>
    <row r="123" customFormat="false" ht="12.8" hidden="false" customHeight="false" outlineLevel="0" collapsed="false">
      <c r="A123" s="30" t="s">
        <v>92</v>
      </c>
      <c r="B123" s="32" t="n">
        <v>82</v>
      </c>
    </row>
    <row r="124" customFormat="false" ht="12.8" hidden="false" customHeight="false" outlineLevel="0" collapsed="false">
      <c r="A124" s="30" t="s">
        <v>94</v>
      </c>
      <c r="B124" s="32" t="n">
        <f aca="false">12*B123</f>
        <v>984</v>
      </c>
    </row>
    <row r="125" customFormat="false" ht="12.8" hidden="false" customHeight="false" outlineLevel="0" collapsed="false">
      <c r="A125" s="30" t="s">
        <v>97</v>
      </c>
      <c r="B125" s="32" t="n">
        <v>0.3</v>
      </c>
    </row>
    <row r="126" customFormat="false" ht="12.8" hidden="false" customHeight="false" outlineLevel="0" collapsed="false">
      <c r="A126" s="30" t="s">
        <v>100</v>
      </c>
      <c r="B126" s="30" t="n">
        <v>16</v>
      </c>
    </row>
    <row r="127" customFormat="false" ht="12.8" hidden="false" customHeight="false" outlineLevel="0" collapsed="false">
      <c r="A127" s="30" t="s">
        <v>102</v>
      </c>
      <c r="B127" s="32" t="n">
        <f aca="false">B120*B126/100*B125</f>
        <v>1425</v>
      </c>
    </row>
    <row r="128" customFormat="false" ht="12.8" hidden="false" customHeight="false" outlineLevel="0" collapsed="false">
      <c r="A128" s="30" t="s">
        <v>103</v>
      </c>
      <c r="B128" s="30" t="n">
        <v>0.5</v>
      </c>
    </row>
    <row r="129" customFormat="false" ht="12.8" hidden="false" customHeight="false" outlineLevel="0" collapsed="false">
      <c r="A129" s="38" t="s">
        <v>105</v>
      </c>
      <c r="B129" s="39" t="n">
        <f aca="false">B119+B122+B124+B127</f>
        <v>12318.3333333333</v>
      </c>
    </row>
    <row r="130" customFormat="false" ht="12.8" hidden="false" customHeight="false" outlineLevel="0" collapsed="false">
      <c r="A130" s="40" t="s">
        <v>106</v>
      </c>
      <c r="B130" s="41" t="n">
        <f aca="false">B129/B120</f>
        <v>0.414933333333333</v>
      </c>
    </row>
    <row r="131" customFormat="false" ht="12.8" hidden="false" customHeight="false" outlineLevel="0" collapsed="false">
      <c r="A131" s="30" t="s">
        <v>107</v>
      </c>
      <c r="B131" s="30" t="n">
        <f aca="false">B128*B120*B126/100</f>
        <v>2375</v>
      </c>
    </row>
    <row r="132" customFormat="false" ht="12.8" hidden="false" customHeight="false" outlineLevel="0" collapsed="false">
      <c r="A132" s="30" t="s">
        <v>267</v>
      </c>
      <c r="B132" s="30" t="n">
        <f aca="false">B131/B120</f>
        <v>0.08</v>
      </c>
    </row>
    <row r="134" customFormat="false" ht="12.8" hidden="false" customHeight="false" outlineLevel="0" collapsed="false">
      <c r="A134" s="29" t="s">
        <v>276</v>
      </c>
      <c r="B134" s="29"/>
    </row>
    <row r="135" customFormat="false" ht="12.8" hidden="false" customHeight="false" outlineLevel="0" collapsed="false">
      <c r="A135" s="30" t="s">
        <v>81</v>
      </c>
      <c r="B135" s="32" t="n">
        <v>40000</v>
      </c>
    </row>
    <row r="136" customFormat="false" ht="12.8" hidden="false" customHeight="false" outlineLevel="0" collapsed="false">
      <c r="A136" s="30" t="s">
        <v>260</v>
      </c>
      <c r="B136" s="30" t="n">
        <v>3</v>
      </c>
    </row>
    <row r="137" customFormat="false" ht="12.8" hidden="false" customHeight="false" outlineLevel="0" collapsed="false">
      <c r="A137" s="30" t="s">
        <v>262</v>
      </c>
      <c r="B137" s="56" t="n">
        <v>15000</v>
      </c>
    </row>
    <row r="138" customFormat="false" ht="12.8" hidden="false" customHeight="false" outlineLevel="0" collapsed="false">
      <c r="A138" s="30" t="s">
        <v>85</v>
      </c>
      <c r="B138" s="32" t="n">
        <f aca="false">(B135-B137)/B136</f>
        <v>8333.33333333333</v>
      </c>
    </row>
    <row r="139" customFormat="false" ht="12.8" hidden="false" customHeight="false" outlineLevel="0" collapsed="false">
      <c r="A139" s="30" t="s">
        <v>87</v>
      </c>
      <c r="B139" s="30" t="n">
        <f aca="false">Q45</f>
        <v>29687.5</v>
      </c>
    </row>
    <row r="140" customFormat="false" ht="12.8" hidden="false" customHeight="false" outlineLevel="0" collapsed="false">
      <c r="A140" s="30" t="s">
        <v>89</v>
      </c>
      <c r="B140" s="32" t="n">
        <v>60</v>
      </c>
    </row>
    <row r="141" customFormat="false" ht="12.8" hidden="false" customHeight="false" outlineLevel="0" collapsed="false">
      <c r="A141" s="30" t="s">
        <v>91</v>
      </c>
      <c r="B141" s="32" t="n">
        <f aca="false">12*B140</f>
        <v>720</v>
      </c>
    </row>
    <row r="142" customFormat="false" ht="12.8" hidden="false" customHeight="false" outlineLevel="0" collapsed="false">
      <c r="A142" s="30" t="s">
        <v>92</v>
      </c>
      <c r="B142" s="32" t="n">
        <v>100</v>
      </c>
    </row>
    <row r="143" customFormat="false" ht="12.8" hidden="false" customHeight="false" outlineLevel="0" collapsed="false">
      <c r="A143" s="30" t="s">
        <v>94</v>
      </c>
      <c r="B143" s="32" t="n">
        <f aca="false">12*B142</f>
        <v>1200</v>
      </c>
    </row>
    <row r="144" customFormat="false" ht="12.8" hidden="false" customHeight="false" outlineLevel="0" collapsed="false">
      <c r="A144" s="30" t="s">
        <v>96</v>
      </c>
      <c r="B144" s="32" t="n">
        <v>0.3</v>
      </c>
    </row>
    <row r="145" customFormat="false" ht="12.8" hidden="false" customHeight="false" outlineLevel="0" collapsed="false">
      <c r="A145" s="30" t="s">
        <v>99</v>
      </c>
      <c r="B145" s="30" t="n">
        <v>20</v>
      </c>
    </row>
    <row r="146" customFormat="false" ht="12.8" hidden="false" customHeight="false" outlineLevel="0" collapsed="false">
      <c r="A146" s="30" t="s">
        <v>102</v>
      </c>
      <c r="B146" s="32" t="n">
        <f aca="false">B139*B145/100*B144</f>
        <v>1781.25</v>
      </c>
    </row>
    <row r="147" customFormat="false" ht="12.8" hidden="false" customHeight="false" outlineLevel="0" collapsed="false">
      <c r="A147" s="30" t="s">
        <v>103</v>
      </c>
      <c r="B147" s="30" t="n">
        <v>0.5</v>
      </c>
    </row>
    <row r="148" customFormat="false" ht="12.8" hidden="false" customHeight="false" outlineLevel="0" collapsed="false">
      <c r="A148" s="38" t="s">
        <v>105</v>
      </c>
      <c r="B148" s="39" t="n">
        <f aca="false">B138+B141+B143+B146</f>
        <v>12034.5833333333</v>
      </c>
    </row>
    <row r="149" customFormat="false" ht="12.8" hidden="false" customHeight="false" outlineLevel="0" collapsed="false">
      <c r="A149" s="40" t="s">
        <v>106</v>
      </c>
      <c r="B149" s="41" t="n">
        <f aca="false">B148/B139</f>
        <v>0.405375438596491</v>
      </c>
    </row>
    <row r="150" customFormat="false" ht="12.8" hidden="false" customHeight="false" outlineLevel="0" collapsed="false">
      <c r="A150" s="30" t="s">
        <v>107</v>
      </c>
      <c r="B150" s="30" t="n">
        <f aca="false">(B139*B145/100)*B147</f>
        <v>2968.75</v>
      </c>
    </row>
    <row r="151" customFormat="false" ht="12.8" hidden="false" customHeight="false" outlineLevel="0" collapsed="false">
      <c r="A151" s="30" t="s">
        <v>267</v>
      </c>
      <c r="B151" s="30" t="n">
        <f aca="false">B150/B139</f>
        <v>0.1</v>
      </c>
    </row>
    <row r="154" customFormat="false" ht="12.8" hidden="false" customHeight="false" outlineLevel="0" collapsed="false">
      <c r="A154" s="62" t="s">
        <v>53</v>
      </c>
      <c r="B154" s="44"/>
      <c r="C154" s="44"/>
    </row>
    <row r="155" customFormat="false" ht="12.8" hidden="false" customHeight="false" outlineLevel="0" collapsed="false">
      <c r="A155" s="44" t="s">
        <v>55</v>
      </c>
      <c r="B155" s="44" t="n">
        <v>0.1</v>
      </c>
      <c r="C155" s="44" t="s">
        <v>56</v>
      </c>
    </row>
    <row r="156" customFormat="false" ht="12.8" hidden="false" customHeight="false" outlineLevel="0" collapsed="false">
      <c r="A156" s="44" t="s">
        <v>57</v>
      </c>
      <c r="B156" s="44" t="n">
        <v>0.2113</v>
      </c>
      <c r="C156" s="44" t="s">
        <v>56</v>
      </c>
    </row>
    <row r="157" customFormat="false" ht="12.8" hidden="false" customHeight="false" outlineLevel="0" collapsed="false">
      <c r="A157" s="44" t="s">
        <v>47</v>
      </c>
      <c r="B157" s="44" t="n">
        <v>0.2</v>
      </c>
      <c r="C157" s="44" t="s">
        <v>56</v>
      </c>
    </row>
    <row r="158" customFormat="false" ht="12.8" hidden="false" customHeight="false" outlineLevel="0" collapsed="false">
      <c r="A158" s="44" t="s">
        <v>59</v>
      </c>
      <c r="B158" s="44" t="n">
        <v>0.004</v>
      </c>
      <c r="C158" s="44" t="s">
        <v>56</v>
      </c>
    </row>
    <row r="159" customFormat="false" ht="12.8" hidden="false" customHeight="false" outlineLevel="0" collapsed="false">
      <c r="A159" s="44" t="s">
        <v>60</v>
      </c>
      <c r="B159" s="44" t="n">
        <v>0.0356</v>
      </c>
      <c r="C159" s="44" t="s">
        <v>56</v>
      </c>
    </row>
    <row r="160" customFormat="false" ht="12.8" hidden="false" customHeight="false" outlineLevel="0" collapsed="false">
      <c r="A160" s="44" t="s">
        <v>61</v>
      </c>
      <c r="B160" s="44" t="n">
        <v>0</v>
      </c>
      <c r="C160" s="44" t="s">
        <v>56</v>
      </c>
    </row>
    <row r="161" customFormat="false" ht="12.8" hidden="false" customHeight="false" outlineLevel="0" collapsed="false">
      <c r="A161" s="44" t="s">
        <v>62</v>
      </c>
      <c r="B161" s="63"/>
      <c r="C161" s="44" t="s">
        <v>56</v>
      </c>
    </row>
    <row r="163" customFormat="false" ht="12.8" hidden="false" customHeight="false" outlineLevel="0" collapsed="false">
      <c r="A163" s="64" t="s">
        <v>211</v>
      </c>
      <c r="B163" s="65"/>
      <c r="C163" s="65"/>
    </row>
    <row r="164" customFormat="false" ht="12.8" hidden="false" customHeight="false" outlineLevel="0" collapsed="false">
      <c r="A164" s="65" t="s">
        <v>34</v>
      </c>
      <c r="B164" s="66" t="n">
        <v>0.15</v>
      </c>
      <c r="C164" s="65" t="s">
        <v>31</v>
      </c>
    </row>
    <row r="165" customFormat="false" ht="12.8" hidden="false" customHeight="false" outlineLevel="0" collapsed="false">
      <c r="A165" s="65" t="s">
        <v>40</v>
      </c>
      <c r="B165" s="66" t="n">
        <v>15</v>
      </c>
      <c r="C165" s="65" t="s">
        <v>41</v>
      </c>
    </row>
    <row r="166" customFormat="false" ht="12.8" hidden="false" customHeight="false" outlineLevel="0" collapsed="false">
      <c r="A166" s="65" t="s">
        <v>43</v>
      </c>
      <c r="B166" s="67" t="n">
        <v>0.2</v>
      </c>
      <c r="C166" s="65"/>
    </row>
    <row r="167" customFormat="false" ht="12.8" hidden="false" customHeight="false" outlineLevel="0" collapsed="false">
      <c r="A167" s="65" t="s">
        <v>212</v>
      </c>
      <c r="B167" s="66" t="n">
        <v>60</v>
      </c>
      <c r="C167" s="65"/>
    </row>
    <row r="168" customFormat="false" ht="12.8" hidden="false" customHeight="false" outlineLevel="0" collapsed="false">
      <c r="A168" s="65" t="s">
        <v>213</v>
      </c>
      <c r="B168" s="66" t="n">
        <v>0.3</v>
      </c>
      <c r="C168" s="65"/>
    </row>
    <row r="169" customFormat="false" ht="12.8" hidden="false" customHeight="false" outlineLevel="0" collapsed="false">
      <c r="A169" s="65" t="s">
        <v>277</v>
      </c>
      <c r="B169" s="68" t="n">
        <v>0.13</v>
      </c>
      <c r="C169" s="65"/>
    </row>
  </sheetData>
  <mergeCells count="25">
    <mergeCell ref="A1:K2"/>
    <mergeCell ref="O3:Q4"/>
    <mergeCell ref="S9:U10"/>
    <mergeCell ref="E10:G10"/>
    <mergeCell ref="A17:C17"/>
    <mergeCell ref="E17:G17"/>
    <mergeCell ref="E20:G20"/>
    <mergeCell ref="A26:B26"/>
    <mergeCell ref="A36:B37"/>
    <mergeCell ref="E36:F37"/>
    <mergeCell ref="A39:B39"/>
    <mergeCell ref="E39:F39"/>
    <mergeCell ref="O51:Q52"/>
    <mergeCell ref="O53:Q53"/>
    <mergeCell ref="S53:U53"/>
    <mergeCell ref="A58:B58"/>
    <mergeCell ref="E58:F58"/>
    <mergeCell ref="S58:U58"/>
    <mergeCell ref="O59:Q59"/>
    <mergeCell ref="A77:B77"/>
    <mergeCell ref="E77:F77"/>
    <mergeCell ref="A96:B96"/>
    <mergeCell ref="E96:F96"/>
    <mergeCell ref="A115:B115"/>
    <mergeCell ref="A134:B1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23: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14.77"/>
    <col collapsed="false" customWidth="true" hidden="false" outlineLevel="0" max="4" min="4" style="0" width="9.77"/>
    <col collapsed="false" customWidth="true" hidden="false" outlineLevel="0" max="5" min="5" style="0" width="21.58"/>
    <col collapsed="false" customWidth="true" hidden="false" outlineLevel="0" max="6" min="6" style="0" width="14.49"/>
    <col collapsed="false" customWidth="true" hidden="false" outlineLevel="0" max="7" min="7" style="0" width="13.1"/>
    <col collapsed="false" customWidth="true" hidden="false" outlineLevel="0" max="15" min="15" style="0" width="32.69"/>
    <col collapsed="false" customWidth="true" hidden="false" outlineLevel="0" max="16" min="16" style="0" width="14.08"/>
    <col collapsed="false" customWidth="true" hidden="false" outlineLevel="0" max="17" min="17" style="0" width="17.42"/>
    <col collapsed="false" customWidth="true" hidden="false" outlineLevel="0" max="19" min="19" style="0" width="32.69"/>
  </cols>
  <sheetData>
    <row r="1" customFormat="false" ht="12.8" hidden="false" customHeight="false" outlineLevel="0" collapsed="false">
      <c r="A1" s="15" t="s">
        <v>111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customFormat="false" ht="12.8" hidden="false" customHeight="false" outlineLevel="0" collapsed="false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</row>
    <row r="3" customFormat="false" ht="26.1" hidden="false" customHeight="true" outlineLevel="0" collapsed="false">
      <c r="A3" s="16"/>
      <c r="B3" s="20" t="s">
        <v>112</v>
      </c>
      <c r="C3" s="20" t="s">
        <v>113</v>
      </c>
      <c r="D3" s="20" t="s">
        <v>114</v>
      </c>
      <c r="E3" s="20" t="s">
        <v>121</v>
      </c>
      <c r="F3" s="21" t="s">
        <v>122</v>
      </c>
      <c r="G3" s="20" t="s">
        <v>117</v>
      </c>
      <c r="H3" s="20" t="s">
        <v>118</v>
      </c>
      <c r="I3" s="20" t="s">
        <v>55</v>
      </c>
      <c r="J3" s="20" t="s">
        <v>57</v>
      </c>
      <c r="K3" s="20" t="s">
        <v>119</v>
      </c>
      <c r="L3" s="16" t="s">
        <v>120</v>
      </c>
      <c r="O3" s="10" t="s">
        <v>178</v>
      </c>
      <c r="P3" s="10"/>
      <c r="Q3" s="10"/>
    </row>
    <row r="4" customFormat="false" ht="12.8" hidden="false" customHeight="false" outlineLevel="0" collapsed="false">
      <c r="A4" s="20" t="s">
        <v>26</v>
      </c>
      <c r="B4" s="23" t="n">
        <v>0.32</v>
      </c>
      <c r="C4" s="23" t="n">
        <v>0</v>
      </c>
      <c r="D4" s="23" t="n">
        <v>0</v>
      </c>
      <c r="E4" s="23" t="n">
        <v>0.12</v>
      </c>
      <c r="F4" s="23" t="n">
        <v>0.25</v>
      </c>
      <c r="G4" s="23" t="n">
        <v>0</v>
      </c>
      <c r="H4" s="23" t="n">
        <v>0</v>
      </c>
      <c r="I4" s="23" t="n">
        <v>0.31</v>
      </c>
      <c r="J4" s="23" t="n">
        <v>0</v>
      </c>
      <c r="K4" s="23" t="n">
        <v>0</v>
      </c>
      <c r="L4" s="16" t="n">
        <v>1</v>
      </c>
      <c r="M4" s="3" t="n">
        <f aca="false">SUM(B4:K4)</f>
        <v>1</v>
      </c>
      <c r="O4" s="10"/>
      <c r="P4" s="10"/>
      <c r="Q4" s="10"/>
    </row>
    <row r="5" customFormat="false" ht="12.8" hidden="false" customHeight="false" outlineLevel="0" collapsed="false">
      <c r="A5" s="16" t="s">
        <v>123</v>
      </c>
      <c r="B5" s="16" t="n">
        <v>8</v>
      </c>
      <c r="C5" s="16"/>
      <c r="D5" s="16"/>
      <c r="E5" s="16" t="n">
        <v>42</v>
      </c>
      <c r="F5" s="16" t="n">
        <v>42</v>
      </c>
      <c r="G5" s="16"/>
      <c r="H5" s="16"/>
      <c r="I5" s="16" t="n">
        <v>50</v>
      </c>
      <c r="J5" s="16"/>
      <c r="K5" s="16"/>
      <c r="L5" s="16"/>
      <c r="M5" s="3"/>
      <c r="O5" s="0" t="s">
        <v>179</v>
      </c>
      <c r="P5" s="0" t="n">
        <v>1000</v>
      </c>
    </row>
    <row r="6" customFormat="false" ht="12.8" hidden="false" customHeight="false" outlineLevel="0" collapsed="false">
      <c r="A6" s="24" t="s">
        <v>124</v>
      </c>
      <c r="B6" s="25"/>
      <c r="C6" s="25"/>
      <c r="D6" s="25" t="n">
        <v>0.15</v>
      </c>
      <c r="E6" s="25" t="n">
        <v>0.1</v>
      </c>
      <c r="F6" s="25" t="n">
        <v>0.2</v>
      </c>
      <c r="G6" s="25" t="n">
        <v>0.3</v>
      </c>
      <c r="H6" s="25" t="n">
        <v>0</v>
      </c>
      <c r="I6" s="25" t="n">
        <v>0.155</v>
      </c>
      <c r="J6" s="25" t="n">
        <v>0.015</v>
      </c>
      <c r="K6" s="25" t="n">
        <v>0.08</v>
      </c>
      <c r="L6" s="26"/>
      <c r="M6" s="3" t="n">
        <f aca="false">SUM(B6:K6)</f>
        <v>1</v>
      </c>
    </row>
    <row r="7" customFormat="false" ht="12.8" hidden="false" customHeight="false" outlineLevel="0" collapsed="false">
      <c r="A7" s="16" t="s">
        <v>125</v>
      </c>
      <c r="B7" s="28" t="n">
        <v>4</v>
      </c>
      <c r="C7" s="28" t="n">
        <v>4</v>
      </c>
      <c r="D7" s="28" t="n">
        <v>4</v>
      </c>
      <c r="E7" s="28" t="n">
        <v>75</v>
      </c>
      <c r="F7" s="28" t="n">
        <v>75</v>
      </c>
      <c r="G7" s="28" t="n">
        <v>38</v>
      </c>
      <c r="H7" s="28"/>
      <c r="I7" s="28" t="n">
        <v>31</v>
      </c>
      <c r="J7" s="28" t="n">
        <v>4280</v>
      </c>
      <c r="K7" s="28" t="n">
        <v>554.8</v>
      </c>
      <c r="L7" s="16"/>
      <c r="O7" s="2" t="s">
        <v>181</v>
      </c>
      <c r="P7" s="42" t="n">
        <f aca="false">SUM(P9:P12)</f>
        <v>14175000</v>
      </c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3"/>
      <c r="O8" s="0" t="s">
        <v>217</v>
      </c>
      <c r="P8" s="0" t="n">
        <f aca="false">P5*F4*F5*L4*B13</f>
        <v>2625000</v>
      </c>
      <c r="Q8" s="0" t="s">
        <v>12</v>
      </c>
    </row>
    <row r="9" customFormat="false" ht="12.8" hidden="false" customHeight="false" outlineLevel="0" collapsed="false">
      <c r="O9" s="0" t="s">
        <v>218</v>
      </c>
      <c r="P9" s="0" t="n">
        <f aca="false">L4*P5*E4*E5*B13</f>
        <v>1260000</v>
      </c>
      <c r="Q9" s="0" t="s">
        <v>12</v>
      </c>
      <c r="S9" s="10"/>
      <c r="T9" s="10"/>
      <c r="U9" s="10"/>
    </row>
    <row r="10" customFormat="false" ht="12.8" hidden="false" customHeight="false" outlineLevel="0" collapsed="false">
      <c r="A10" s="17" t="s">
        <v>180</v>
      </c>
      <c r="B10" s="17" t="n">
        <v>0.26</v>
      </c>
      <c r="C10" s="17"/>
      <c r="E10" s="43" t="s">
        <v>219</v>
      </c>
      <c r="F10" s="43"/>
      <c r="G10" s="43"/>
      <c r="O10" s="0" t="s">
        <v>220</v>
      </c>
      <c r="P10" s="0" t="n">
        <f aca="false">L4*P5*B18*F5*B13</f>
        <v>8400000</v>
      </c>
      <c r="Q10" s="0" t="s">
        <v>12</v>
      </c>
      <c r="S10" s="10"/>
      <c r="T10" s="10"/>
      <c r="U10" s="10"/>
    </row>
    <row r="11" customFormat="false" ht="12.8" hidden="false" customHeight="false" outlineLevel="0" collapsed="false">
      <c r="A11" s="17" t="s">
        <v>184</v>
      </c>
      <c r="B11" s="17" t="n">
        <v>20</v>
      </c>
      <c r="C11" s="17" t="s">
        <v>12</v>
      </c>
      <c r="E11" s="44" t="s">
        <v>221</v>
      </c>
      <c r="F11" s="45" t="n">
        <v>0</v>
      </c>
      <c r="G11" s="44"/>
      <c r="O11" s="0" t="s">
        <v>185</v>
      </c>
      <c r="P11" s="0" t="n">
        <f aca="false">L4*P5*B4*B5*B13</f>
        <v>640000</v>
      </c>
      <c r="Q11" s="0" t="s">
        <v>12</v>
      </c>
    </row>
    <row r="12" customFormat="false" ht="12.8" hidden="false" customHeight="false" outlineLevel="0" collapsed="false">
      <c r="A12" s="17" t="s">
        <v>186</v>
      </c>
      <c r="B12" s="17" t="n">
        <v>15</v>
      </c>
      <c r="C12" s="17" t="s">
        <v>12</v>
      </c>
      <c r="E12" s="44" t="s">
        <v>222</v>
      </c>
      <c r="F12" s="45" t="n">
        <v>0</v>
      </c>
      <c r="G12" s="44"/>
      <c r="O12" s="0" t="s">
        <v>187</v>
      </c>
      <c r="P12" s="0" t="n">
        <f aca="false">L4*P5*I4*I5*B13</f>
        <v>3875000</v>
      </c>
      <c r="Q12" s="0" t="s">
        <v>12</v>
      </c>
    </row>
    <row r="13" customFormat="false" ht="12.8" hidden="false" customHeight="false" outlineLevel="0" collapsed="false">
      <c r="A13" s="46" t="s">
        <v>223</v>
      </c>
      <c r="B13" s="46" t="n">
        <v>250</v>
      </c>
      <c r="C13" s="46"/>
      <c r="E13" s="44" t="s">
        <v>224</v>
      </c>
      <c r="F13" s="45" t="n">
        <v>0</v>
      </c>
      <c r="G13" s="44"/>
      <c r="S13" s="2"/>
    </row>
    <row r="14" customFormat="false" ht="12.8" hidden="false" customHeight="false" outlineLevel="0" collapsed="false">
      <c r="A14" s="46" t="s">
        <v>27</v>
      </c>
      <c r="B14" s="46" t="n">
        <v>15</v>
      </c>
      <c r="C14" s="46" t="s">
        <v>25</v>
      </c>
      <c r="E14" s="44" t="s">
        <v>225</v>
      </c>
      <c r="F14" s="45" t="n">
        <v>0.6</v>
      </c>
      <c r="G14" s="44"/>
      <c r="O14" s="2" t="s">
        <v>188</v>
      </c>
      <c r="P14" s="42" t="n">
        <f aca="false">SUM(P24:P30)</f>
        <v>9612785</v>
      </c>
    </row>
    <row r="15" customFormat="false" ht="12.8" hidden="false" customHeight="false" outlineLevel="0" collapsed="false">
      <c r="E15" s="44" t="s">
        <v>226</v>
      </c>
      <c r="F15" s="45" t="n">
        <v>0.4</v>
      </c>
      <c r="G15" s="44"/>
      <c r="O15" s="0" t="s">
        <v>190</v>
      </c>
      <c r="P15" s="0" t="n">
        <f aca="false">B10*P5</f>
        <v>260</v>
      </c>
    </row>
    <row r="16" customFormat="false" ht="12.8" hidden="false" customHeight="false" outlineLevel="0" collapsed="false">
      <c r="E16" s="44" t="s">
        <v>227</v>
      </c>
      <c r="F16" s="45" t="n">
        <v>0</v>
      </c>
      <c r="G16" s="44"/>
      <c r="O16" s="0" t="s">
        <v>191</v>
      </c>
      <c r="P16" s="0" t="n">
        <f aca="false">P15*B13</f>
        <v>65000</v>
      </c>
    </row>
    <row r="17" customFormat="false" ht="12.8" hidden="false" customHeight="false" outlineLevel="0" collapsed="false">
      <c r="A17" s="47" t="s">
        <v>228</v>
      </c>
      <c r="B17" s="47"/>
      <c r="C17" s="47"/>
      <c r="E17" s="48" t="s">
        <v>229</v>
      </c>
      <c r="F17" s="48"/>
      <c r="G17" s="48"/>
      <c r="O17" s="0" t="s">
        <v>230</v>
      </c>
      <c r="P17" s="0" t="n">
        <f aca="false">P16*F6</f>
        <v>13000</v>
      </c>
      <c r="Q17" s="0" t="n">
        <f aca="false">SUM(P17:P23)</f>
        <v>65000</v>
      </c>
    </row>
    <row r="18" customFormat="false" ht="12.8" hidden="false" customHeight="false" outlineLevel="0" collapsed="false">
      <c r="A18" s="49" t="s">
        <v>231</v>
      </c>
      <c r="B18" s="50" t="n">
        <v>0.8</v>
      </c>
      <c r="C18" s="49"/>
      <c r="O18" s="0" t="s">
        <v>232</v>
      </c>
      <c r="P18" s="0" t="n">
        <f aca="false">P16*G6</f>
        <v>19500</v>
      </c>
    </row>
    <row r="19" customFormat="false" ht="12.8" hidden="false" customHeight="false" outlineLevel="0" collapsed="false">
      <c r="A19" s="49" t="s">
        <v>233</v>
      </c>
      <c r="B19" s="50" t="n">
        <f aca="false">1-B18</f>
        <v>0.2</v>
      </c>
      <c r="C19" s="49"/>
      <c r="O19" s="0" t="s">
        <v>234</v>
      </c>
      <c r="P19" s="0" t="n">
        <f aca="false">P16*I6</f>
        <v>10075</v>
      </c>
      <c r="S19" s="2"/>
    </row>
    <row r="20" customFormat="false" ht="12.8" hidden="false" customHeight="false" outlineLevel="0" collapsed="false">
      <c r="A20" s="49" t="s">
        <v>235</v>
      </c>
      <c r="B20" s="51" t="n">
        <v>50000</v>
      </c>
      <c r="C20" s="49"/>
      <c r="E20" s="7" t="s">
        <v>236</v>
      </c>
      <c r="F20" s="7"/>
      <c r="G20" s="7"/>
      <c r="O20" s="0" t="s">
        <v>237</v>
      </c>
      <c r="P20" s="0" t="n">
        <f aca="false">P16*D6</f>
        <v>9750</v>
      </c>
    </row>
    <row r="21" customFormat="false" ht="12.8" hidden="false" customHeight="false" outlineLevel="0" collapsed="false">
      <c r="A21" s="49" t="s">
        <v>238</v>
      </c>
      <c r="B21" s="51" t="n">
        <v>35000</v>
      </c>
      <c r="C21" s="49"/>
      <c r="E21" s="52" t="s">
        <v>221</v>
      </c>
      <c r="F21" s="53" t="n">
        <v>0</v>
      </c>
      <c r="G21" s="52"/>
      <c r="O21" s="0" t="s">
        <v>239</v>
      </c>
      <c r="P21" s="0" t="n">
        <f aca="false">$P$16*J6</f>
        <v>975</v>
      </c>
    </row>
    <row r="22" customFormat="false" ht="12.8" hidden="false" customHeight="false" outlineLevel="0" collapsed="false">
      <c r="A22" s="49" t="s">
        <v>240</v>
      </c>
      <c r="B22" s="49"/>
      <c r="C22" s="49"/>
      <c r="E22" s="52" t="s">
        <v>222</v>
      </c>
      <c r="F22" s="53" t="n">
        <v>0</v>
      </c>
      <c r="G22" s="52"/>
      <c r="O22" s="0" t="s">
        <v>241</v>
      </c>
      <c r="P22" s="0" t="n">
        <f aca="false">P16*K6</f>
        <v>5200</v>
      </c>
    </row>
    <row r="23" customFormat="false" ht="12.8" hidden="false" customHeight="false" outlineLevel="0" collapsed="false">
      <c r="E23" s="52" t="s">
        <v>225</v>
      </c>
      <c r="F23" s="53" t="n">
        <v>0.8</v>
      </c>
      <c r="G23" s="52"/>
      <c r="O23" s="0" t="s">
        <v>242</v>
      </c>
      <c r="P23" s="0" t="n">
        <f aca="false">P16*E6</f>
        <v>6500</v>
      </c>
    </row>
    <row r="24" customFormat="false" ht="12.8" hidden="false" customHeight="false" outlineLevel="0" collapsed="false">
      <c r="E24" s="52" t="s">
        <v>226</v>
      </c>
      <c r="F24" s="53" t="n">
        <v>0.2</v>
      </c>
      <c r="G24" s="52"/>
      <c r="O24" s="0" t="s">
        <v>243</v>
      </c>
      <c r="P24" s="0" t="n">
        <f aca="false">P17*F7*L4</f>
        <v>975000</v>
      </c>
      <c r="Q24" s="0" t="s">
        <v>12</v>
      </c>
    </row>
    <row r="25" customFormat="false" ht="12.8" hidden="false" customHeight="false" outlineLevel="0" collapsed="false">
      <c r="O25" s="0" t="s">
        <v>244</v>
      </c>
      <c r="P25" s="0" t="n">
        <f aca="false">P18*G7*L4</f>
        <v>741000</v>
      </c>
      <c r="Q25" s="0" t="s">
        <v>12</v>
      </c>
    </row>
    <row r="26" customFormat="false" ht="12.8" hidden="false" customHeight="false" outlineLevel="0" collapsed="false">
      <c r="A26" s="29" t="s">
        <v>189</v>
      </c>
      <c r="B26" s="29"/>
      <c r="C26" s="30"/>
      <c r="O26" s="0" t="s">
        <v>245</v>
      </c>
      <c r="P26" s="0" t="n">
        <f aca="false">P16*I6*I7*L4</f>
        <v>312325</v>
      </c>
      <c r="Q26" s="0" t="s">
        <v>12</v>
      </c>
    </row>
    <row r="27" customFormat="false" ht="12.8" hidden="false" customHeight="false" outlineLevel="0" collapsed="false">
      <c r="A27" s="30" t="s">
        <v>81</v>
      </c>
      <c r="B27" s="31" t="n">
        <v>1200</v>
      </c>
      <c r="C27" s="30"/>
      <c r="O27" s="0" t="s">
        <v>246</v>
      </c>
      <c r="P27" s="0" t="n">
        <f aca="false">P16*D6*D7*L4</f>
        <v>39000</v>
      </c>
      <c r="Q27" s="0" t="s">
        <v>12</v>
      </c>
    </row>
    <row r="28" customFormat="false" ht="12.8" hidden="false" customHeight="false" outlineLevel="0" collapsed="false">
      <c r="A28" s="30" t="s">
        <v>192</v>
      </c>
      <c r="B28" s="31" t="n">
        <v>30</v>
      </c>
      <c r="C28" s="30"/>
      <c r="O28" s="0" t="s">
        <v>247</v>
      </c>
      <c r="P28" s="0" t="n">
        <f aca="false">P16*J6*J7</f>
        <v>4173000</v>
      </c>
      <c r="Q28" s="0" t="s">
        <v>12</v>
      </c>
    </row>
    <row r="29" customFormat="false" ht="12.8" hidden="false" customHeight="false" outlineLevel="0" collapsed="false">
      <c r="A29" s="30" t="s">
        <v>193</v>
      </c>
      <c r="B29" s="30" t="n">
        <v>3</v>
      </c>
      <c r="C29" s="30" t="s">
        <v>194</v>
      </c>
      <c r="O29" s="0" t="s">
        <v>248</v>
      </c>
      <c r="P29" s="0" t="n">
        <f aca="false">K6*P16*K7</f>
        <v>2884960</v>
      </c>
      <c r="Q29" s="0" t="s">
        <v>12</v>
      </c>
    </row>
    <row r="30" customFormat="false" ht="12.8" hidden="false" customHeight="false" outlineLevel="0" collapsed="false">
      <c r="A30" s="30" t="s">
        <v>195</v>
      </c>
      <c r="B30" s="31" t="n">
        <f aca="false">B27/B29</f>
        <v>400</v>
      </c>
      <c r="C30" s="30"/>
      <c r="O30" s="0" t="s">
        <v>249</v>
      </c>
      <c r="P30" s="0" t="n">
        <f aca="false">P16*E6*E7</f>
        <v>487500</v>
      </c>
      <c r="Q30" s="0" t="s">
        <v>12</v>
      </c>
    </row>
    <row r="31" customFormat="false" ht="12.8" hidden="false" customHeight="false" outlineLevel="0" collapsed="false">
      <c r="A31" s="30" t="s">
        <v>196</v>
      </c>
      <c r="B31" s="31" t="n">
        <f aca="false">B30+B28*12</f>
        <v>760</v>
      </c>
      <c r="C31" s="30"/>
      <c r="S31" s="2"/>
      <c r="U31" s="2"/>
    </row>
    <row r="32" customFormat="false" ht="12.8" hidden="false" customHeight="false" outlineLevel="0" collapsed="false">
      <c r="A32" s="30" t="s">
        <v>197</v>
      </c>
      <c r="B32" s="30" t="n">
        <f aca="false">Q49</f>
        <v>2600</v>
      </c>
      <c r="C32" s="30"/>
      <c r="O32" s="2" t="s">
        <v>250</v>
      </c>
      <c r="Q32" s="2" t="s">
        <v>251</v>
      </c>
    </row>
    <row r="33" customFormat="false" ht="12.8" hidden="false" customHeight="false" outlineLevel="0" collapsed="false">
      <c r="A33" s="30" t="s">
        <v>199</v>
      </c>
      <c r="B33" s="31" t="n">
        <f aca="false">B31/B32</f>
        <v>0.292307692307692</v>
      </c>
      <c r="C33" s="30"/>
      <c r="O33" s="0" t="s">
        <v>252</v>
      </c>
      <c r="P33" s="0" t="n">
        <f aca="false">P5*B18</f>
        <v>800</v>
      </c>
      <c r="Q33" s="0" t="n">
        <f aca="false">(P10+P24)/P33</f>
        <v>11718.75</v>
      </c>
    </row>
    <row r="34" customFormat="false" ht="12.8" hidden="false" customHeight="false" outlineLevel="0" collapsed="false">
      <c r="O34" s="0" t="s">
        <v>253</v>
      </c>
      <c r="P34" s="0" t="n">
        <f aca="false">ROUND(P33*F21,0)</f>
        <v>0</v>
      </c>
      <c r="Q34" s="0" t="n">
        <f aca="false">(P10+P24)/P33</f>
        <v>11718.75</v>
      </c>
    </row>
    <row r="35" customFormat="false" ht="12.8" hidden="false" customHeight="false" outlineLevel="0" collapsed="false">
      <c r="O35" s="0" t="s">
        <v>254</v>
      </c>
      <c r="P35" s="0" t="n">
        <f aca="false">ROUND(P33*F22,0)</f>
        <v>0</v>
      </c>
      <c r="Q35" s="0" t="n">
        <f aca="false">(P10+P24)/P33</f>
        <v>11718.75</v>
      </c>
    </row>
    <row r="36" customFormat="false" ht="12.8" hidden="false" customHeight="false" outlineLevel="0" collapsed="false">
      <c r="A36" s="54" t="s">
        <v>209</v>
      </c>
      <c r="B36" s="54"/>
      <c r="E36" s="54" t="s">
        <v>250</v>
      </c>
      <c r="F36" s="54"/>
      <c r="O36" s="0" t="s">
        <v>255</v>
      </c>
      <c r="P36" s="0" t="n">
        <f aca="false">ROUND(P33*F23,0)</f>
        <v>640</v>
      </c>
      <c r="Q36" s="0" t="n">
        <f aca="false">(P10+P24)/P33</f>
        <v>11718.75</v>
      </c>
    </row>
    <row r="37" customFormat="false" ht="12.8" hidden="false" customHeight="false" outlineLevel="0" collapsed="false">
      <c r="A37" s="54"/>
      <c r="B37" s="54"/>
      <c r="E37" s="54"/>
      <c r="F37" s="54"/>
      <c r="O37" s="0" t="s">
        <v>256</v>
      </c>
      <c r="P37" s="0" t="n">
        <f aca="false">ROUND(P33*F24,0)</f>
        <v>160</v>
      </c>
      <c r="Q37" s="0" t="n">
        <v>0</v>
      </c>
    </row>
    <row r="39" customFormat="false" ht="12.8" hidden="false" customHeight="false" outlineLevel="0" collapsed="false">
      <c r="A39" s="29" t="s">
        <v>257</v>
      </c>
      <c r="B39" s="29"/>
      <c r="E39" s="29" t="s">
        <v>258</v>
      </c>
      <c r="F39" s="29"/>
      <c r="O39" s="2" t="s">
        <v>198</v>
      </c>
      <c r="S39" s="2"/>
    </row>
    <row r="40" customFormat="false" ht="12.8" hidden="false" customHeight="false" outlineLevel="0" collapsed="false">
      <c r="A40" s="30" t="s">
        <v>81</v>
      </c>
      <c r="B40" s="32" t="n">
        <v>30000</v>
      </c>
      <c r="E40" s="30" t="s">
        <v>81</v>
      </c>
      <c r="F40" s="32" t="n">
        <v>35000</v>
      </c>
      <c r="O40" s="0" t="s">
        <v>259</v>
      </c>
      <c r="P40" s="0" t="n">
        <v>30000</v>
      </c>
    </row>
    <row r="41" customFormat="false" ht="12.8" hidden="false" customHeight="false" outlineLevel="0" collapsed="false">
      <c r="A41" s="30" t="s">
        <v>260</v>
      </c>
      <c r="B41" s="55" t="n">
        <v>3</v>
      </c>
      <c r="E41" s="30" t="s">
        <v>260</v>
      </c>
      <c r="F41" s="55" t="n">
        <v>3</v>
      </c>
      <c r="P41" s="2" t="s">
        <v>261</v>
      </c>
      <c r="Q41" s="2" t="s">
        <v>251</v>
      </c>
      <c r="T41" s="2"/>
      <c r="U41" s="2"/>
    </row>
    <row r="42" customFormat="false" ht="12.8" hidden="false" customHeight="false" outlineLevel="0" collapsed="false">
      <c r="A42" s="30" t="s">
        <v>262</v>
      </c>
      <c r="B42" s="56" t="n">
        <v>15000</v>
      </c>
      <c r="E42" s="30" t="s">
        <v>262</v>
      </c>
      <c r="F42" s="56" t="n">
        <v>17000</v>
      </c>
      <c r="O42" s="0" t="s">
        <v>200</v>
      </c>
      <c r="P42" s="0" t="n">
        <f aca="false">ROUND(P25/P40,0)</f>
        <v>25</v>
      </c>
      <c r="Q42" s="0" t="n">
        <f aca="false">P25/P42</f>
        <v>29640</v>
      </c>
    </row>
    <row r="43" customFormat="false" ht="12.8" hidden="false" customHeight="false" outlineLevel="0" collapsed="false">
      <c r="A43" s="30" t="s">
        <v>85</v>
      </c>
      <c r="B43" s="32" t="n">
        <f aca="false">(B40-B42)/B41</f>
        <v>5000</v>
      </c>
      <c r="E43" s="30" t="s">
        <v>85</v>
      </c>
      <c r="F43" s="32" t="n">
        <f aca="false">(F40-F42)/F41</f>
        <v>6000</v>
      </c>
      <c r="O43" s="0" t="s">
        <v>253</v>
      </c>
      <c r="P43" s="57" t="n">
        <f aca="false">$P$42*F11</f>
        <v>0</v>
      </c>
      <c r="Q43" s="0" t="n">
        <f aca="false">P25/P42</f>
        <v>29640</v>
      </c>
      <c r="T43" s="57"/>
    </row>
    <row r="44" customFormat="false" ht="12.8" hidden="false" customHeight="false" outlineLevel="0" collapsed="false">
      <c r="A44" s="30" t="s">
        <v>87</v>
      </c>
      <c r="B44" s="30" t="n">
        <f aca="false">Q43</f>
        <v>29640</v>
      </c>
      <c r="E44" s="30" t="s">
        <v>87</v>
      </c>
      <c r="F44" s="30" t="n">
        <f aca="false">Q34</f>
        <v>11718.75</v>
      </c>
      <c r="O44" s="58" t="s">
        <v>254</v>
      </c>
      <c r="P44" s="57" t="n">
        <f aca="false">$P$42*F12</f>
        <v>0</v>
      </c>
      <c r="Q44" s="0" t="n">
        <f aca="false">P25/P42</f>
        <v>29640</v>
      </c>
      <c r="S44" s="58"/>
      <c r="T44" s="57"/>
    </row>
    <row r="45" customFormat="false" ht="12.8" hidden="false" customHeight="false" outlineLevel="0" collapsed="false">
      <c r="A45" s="30" t="s">
        <v>89</v>
      </c>
      <c r="B45" s="32" t="n">
        <v>60</v>
      </c>
      <c r="E45" s="30" t="s">
        <v>89</v>
      </c>
      <c r="F45" s="32" t="n">
        <v>60</v>
      </c>
      <c r="O45" s="58" t="s">
        <v>263</v>
      </c>
      <c r="P45" s="57" t="n">
        <f aca="false">$P$42*F13</f>
        <v>0</v>
      </c>
      <c r="Q45" s="0" t="n">
        <f aca="false">P25/P42</f>
        <v>29640</v>
      </c>
      <c r="S45" s="58"/>
      <c r="T45" s="57"/>
    </row>
    <row r="46" customFormat="false" ht="12.8" hidden="false" customHeight="false" outlineLevel="0" collapsed="false">
      <c r="A46" s="30" t="s">
        <v>91</v>
      </c>
      <c r="B46" s="32" t="n">
        <f aca="false">12*B45</f>
        <v>720</v>
      </c>
      <c r="E46" s="30" t="s">
        <v>91</v>
      </c>
      <c r="F46" s="32" t="n">
        <f aca="false">12*F45</f>
        <v>720</v>
      </c>
      <c r="O46" s="58" t="s">
        <v>255</v>
      </c>
      <c r="P46" s="57" t="n">
        <f aca="false">$P$42*F14</f>
        <v>15</v>
      </c>
      <c r="Q46" s="0" t="n">
        <f aca="false">P25/P42</f>
        <v>29640</v>
      </c>
      <c r="S46" s="58"/>
      <c r="T46" s="57"/>
    </row>
    <row r="47" customFormat="false" ht="12.8" hidden="false" customHeight="false" outlineLevel="0" collapsed="false">
      <c r="A47" s="30" t="s">
        <v>92</v>
      </c>
      <c r="B47" s="32" t="n">
        <v>100</v>
      </c>
      <c r="E47" s="30" t="s">
        <v>92</v>
      </c>
      <c r="F47" s="32" t="n">
        <v>100</v>
      </c>
      <c r="O47" s="58" t="s">
        <v>256</v>
      </c>
      <c r="P47" s="57" t="n">
        <f aca="false">$P$42*F15</f>
        <v>10</v>
      </c>
      <c r="Q47" s="0" t="n">
        <f aca="false">P25/P42</f>
        <v>29640</v>
      </c>
      <c r="S47" s="58"/>
      <c r="T47" s="57"/>
    </row>
    <row r="48" customFormat="false" ht="12.8" hidden="false" customHeight="false" outlineLevel="0" collapsed="false">
      <c r="A48" s="30" t="s">
        <v>94</v>
      </c>
      <c r="B48" s="32" t="n">
        <f aca="false">12*B47</f>
        <v>1200</v>
      </c>
      <c r="E48" s="30" t="s">
        <v>94</v>
      </c>
      <c r="F48" s="32" t="n">
        <f aca="false">12*F47</f>
        <v>1200</v>
      </c>
      <c r="O48" s="58" t="s">
        <v>264</v>
      </c>
      <c r="P48" s="57" t="n">
        <f aca="false">$P$42*F16</f>
        <v>0</v>
      </c>
      <c r="Q48" s="0" t="n">
        <f aca="false">P25/P42</f>
        <v>29640</v>
      </c>
      <c r="S48" s="58"/>
      <c r="T48" s="57"/>
    </row>
    <row r="49" customFormat="false" ht="12.8" hidden="false" customHeight="false" outlineLevel="0" collapsed="false">
      <c r="A49" s="30" t="s">
        <v>96</v>
      </c>
      <c r="B49" s="32" t="n">
        <v>1.26</v>
      </c>
      <c r="E49" s="30" t="s">
        <v>96</v>
      </c>
      <c r="F49" s="32" t="n">
        <v>1.46</v>
      </c>
      <c r="O49" s="0" t="s">
        <v>265</v>
      </c>
      <c r="P49" s="0" t="n">
        <v>15</v>
      </c>
      <c r="Q49" s="0" t="n">
        <f aca="false">P27/P49</f>
        <v>2600</v>
      </c>
    </row>
    <row r="50" customFormat="false" ht="12.8" hidden="false" customHeight="false" outlineLevel="0" collapsed="false">
      <c r="A50" s="30" t="s">
        <v>99</v>
      </c>
      <c r="B50" s="30" t="n">
        <v>6</v>
      </c>
      <c r="E50" s="30" t="s">
        <v>99</v>
      </c>
      <c r="F50" s="30" t="n">
        <v>6</v>
      </c>
    </row>
    <row r="51" customFormat="false" ht="12.8" hidden="false" customHeight="false" outlineLevel="0" collapsed="false">
      <c r="A51" s="30" t="s">
        <v>102</v>
      </c>
      <c r="B51" s="32" t="n">
        <f aca="false">B44*B50/100*B49</f>
        <v>2240.784</v>
      </c>
      <c r="E51" s="30" t="s">
        <v>102</v>
      </c>
      <c r="F51" s="32" t="n">
        <f aca="false">F44*F50/100*F49</f>
        <v>1026.5625</v>
      </c>
      <c r="O51" s="10" t="s">
        <v>206</v>
      </c>
      <c r="P51" s="10"/>
      <c r="Q51" s="10"/>
    </row>
    <row r="52" customFormat="false" ht="12.8" hidden="false" customHeight="false" outlineLevel="0" collapsed="false">
      <c r="A52" s="30" t="s">
        <v>101</v>
      </c>
      <c r="B52" s="30" t="n">
        <v>2.6</v>
      </c>
      <c r="E52" s="30" t="s">
        <v>101</v>
      </c>
      <c r="F52" s="30" t="n">
        <v>2.33</v>
      </c>
      <c r="O52" s="10"/>
      <c r="P52" s="10"/>
      <c r="Q52" s="10"/>
      <c r="S52" s="59"/>
      <c r="T52" s="59"/>
      <c r="U52" s="59"/>
    </row>
    <row r="53" customFormat="false" ht="12.8" hidden="false" customHeight="false" outlineLevel="0" collapsed="false">
      <c r="A53" s="38" t="s">
        <v>105</v>
      </c>
      <c r="B53" s="39" t="n">
        <f aca="false">B43+B46+B48+B51</f>
        <v>9160.784</v>
      </c>
      <c r="E53" s="38" t="s">
        <v>105</v>
      </c>
      <c r="F53" s="39" t="n">
        <f aca="false">F43+F46+F48+F51</f>
        <v>8946.5625</v>
      </c>
      <c r="O53" s="10" t="s">
        <v>26</v>
      </c>
      <c r="P53" s="10"/>
      <c r="Q53" s="10"/>
      <c r="S53" s="10"/>
      <c r="T53" s="10"/>
      <c r="U53" s="10"/>
    </row>
    <row r="54" customFormat="false" ht="12.8" hidden="false" customHeight="false" outlineLevel="0" collapsed="false">
      <c r="A54" s="40" t="s">
        <v>106</v>
      </c>
      <c r="B54" s="41" t="n">
        <f aca="false">B53/B44</f>
        <v>0.309068286099865</v>
      </c>
      <c r="E54" s="40" t="s">
        <v>106</v>
      </c>
      <c r="F54" s="41" t="n">
        <f aca="false">F53/F44</f>
        <v>0.76344</v>
      </c>
      <c r="P54" s="34" t="s">
        <v>266</v>
      </c>
      <c r="Q54" s="34" t="s">
        <v>208</v>
      </c>
      <c r="U54" s="60"/>
    </row>
    <row r="55" customFormat="false" ht="12.8" hidden="false" customHeight="false" outlineLevel="0" collapsed="false">
      <c r="A55" s="30" t="s">
        <v>107</v>
      </c>
      <c r="B55" s="30" t="n">
        <f aca="false">(B44*B50/100)*B52</f>
        <v>4623.84</v>
      </c>
      <c r="E55" s="30" t="s">
        <v>107</v>
      </c>
      <c r="F55" s="30" t="n">
        <f aca="false">(F44*F50/100)*F52</f>
        <v>1638.28125</v>
      </c>
      <c r="O55" s="0" t="s">
        <v>61</v>
      </c>
      <c r="P55" s="0" t="n">
        <f aca="false">P8*$B$58</f>
        <v>0</v>
      </c>
      <c r="Q55" s="60" t="n">
        <v>0</v>
      </c>
      <c r="U55" s="60"/>
    </row>
    <row r="56" customFormat="false" ht="12.8" hidden="false" customHeight="false" outlineLevel="0" collapsed="false">
      <c r="A56" s="30" t="s">
        <v>267</v>
      </c>
      <c r="B56" s="30" t="n">
        <f aca="false">B55/B44</f>
        <v>0.156</v>
      </c>
      <c r="E56" s="30" t="s">
        <v>267</v>
      </c>
      <c r="F56" s="30" t="n">
        <f aca="false">F55/F44</f>
        <v>0.1398</v>
      </c>
      <c r="O56" s="0" t="s">
        <v>268</v>
      </c>
      <c r="P56" s="0" t="n">
        <f aca="false">P9*B157</f>
        <v>252000</v>
      </c>
      <c r="Q56" s="60" t="n">
        <f aca="false">P9*B168</f>
        <v>378000</v>
      </c>
      <c r="U56" s="60"/>
    </row>
    <row r="57" customFormat="false" ht="12.8" hidden="false" customHeight="false" outlineLevel="0" collapsed="false">
      <c r="O57" s="0" t="s">
        <v>269</v>
      </c>
      <c r="P57" s="0" t="n">
        <f aca="false">P10*F21*F56+P10*F22*F75 + P10*F23*F94+P10*F24*F113</f>
        <v>604800</v>
      </c>
      <c r="Q57" s="60" t="n">
        <f aca="false">P10*F21*F54+P10*F22*F73 + P10*F23*F92+P10*F24*F111</f>
        <v>5877461.33333333</v>
      </c>
      <c r="U57" s="60"/>
    </row>
    <row r="58" customFormat="false" ht="12.8" hidden="false" customHeight="false" outlineLevel="0" collapsed="false">
      <c r="A58" s="29" t="s">
        <v>270</v>
      </c>
      <c r="B58" s="29"/>
      <c r="E58" s="29" t="s">
        <v>270</v>
      </c>
      <c r="F58" s="29"/>
      <c r="G58" s="8"/>
      <c r="O58" s="0" t="s">
        <v>210</v>
      </c>
      <c r="P58" s="0" t="n">
        <f aca="false">P12*B155</f>
        <v>387500</v>
      </c>
      <c r="Q58" s="9" t="n">
        <f aca="false">P5*I4*B167*12</f>
        <v>223200</v>
      </c>
      <c r="R58" s="9"/>
      <c r="S58" s="10"/>
      <c r="T58" s="10"/>
      <c r="U58" s="10"/>
    </row>
    <row r="59" customFormat="false" ht="12.8" hidden="false" customHeight="false" outlineLevel="0" collapsed="false">
      <c r="A59" s="30" t="s">
        <v>81</v>
      </c>
      <c r="B59" s="32" t="n">
        <v>55000</v>
      </c>
      <c r="E59" s="30" t="s">
        <v>81</v>
      </c>
      <c r="F59" s="32" t="n">
        <v>55000</v>
      </c>
      <c r="O59" s="10" t="s">
        <v>188</v>
      </c>
      <c r="P59" s="10"/>
      <c r="Q59" s="10"/>
      <c r="U59" s="60"/>
    </row>
    <row r="60" customFormat="false" ht="12.8" hidden="false" customHeight="false" outlineLevel="0" collapsed="false">
      <c r="A60" s="30" t="s">
        <v>260</v>
      </c>
      <c r="B60" s="55" t="n">
        <v>3</v>
      </c>
      <c r="E60" s="30" t="s">
        <v>260</v>
      </c>
      <c r="F60" s="55" t="n">
        <v>3</v>
      </c>
      <c r="P60" s="34" t="s">
        <v>266</v>
      </c>
      <c r="Q60" s="34" t="s">
        <v>208</v>
      </c>
      <c r="U60" s="60"/>
    </row>
    <row r="61" customFormat="false" ht="12.8" hidden="false" customHeight="false" outlineLevel="0" collapsed="false">
      <c r="A61" s="30" t="s">
        <v>262</v>
      </c>
      <c r="B61" s="56" t="n">
        <v>30000</v>
      </c>
      <c r="E61" s="30" t="s">
        <v>262</v>
      </c>
      <c r="F61" s="56" t="n">
        <v>30000</v>
      </c>
      <c r="O61" s="0" t="s">
        <v>61</v>
      </c>
      <c r="P61" s="0" t="n">
        <v>0</v>
      </c>
      <c r="Q61" s="60" t="n">
        <f aca="false">P27*B33</f>
        <v>11400</v>
      </c>
      <c r="U61" s="60"/>
    </row>
    <row r="62" customFormat="false" ht="12.8" hidden="false" customHeight="false" outlineLevel="0" collapsed="false">
      <c r="A62" s="30" t="s">
        <v>85</v>
      </c>
      <c r="B62" s="32" t="n">
        <f aca="false">(B59-B61)/B60</f>
        <v>8333.33333333333</v>
      </c>
      <c r="E62" s="30" t="s">
        <v>85</v>
      </c>
      <c r="F62" s="32" t="n">
        <f aca="false">(F59-F61)/F60</f>
        <v>8333.33333333333</v>
      </c>
      <c r="O62" s="0" t="s">
        <v>250</v>
      </c>
      <c r="P62" s="0" t="n">
        <f aca="false">P24*F21*F56+P24*F22*F75+P24*F23*F94+P24*F24*F113</f>
        <v>70200</v>
      </c>
      <c r="Q62" s="60" t="n">
        <f aca="false">P24*F21*F54+P24*F22*F73+P24*F23*F92+P24*F24*F111</f>
        <v>682205.333333333</v>
      </c>
      <c r="U62" s="60"/>
    </row>
    <row r="63" customFormat="false" ht="12.8" hidden="false" customHeight="false" outlineLevel="0" collapsed="false">
      <c r="A63" s="30" t="s">
        <v>87</v>
      </c>
      <c r="B63" s="30" t="n">
        <f aca="false">Q44</f>
        <v>29640</v>
      </c>
      <c r="E63" s="30" t="s">
        <v>87</v>
      </c>
      <c r="F63" s="30" t="n">
        <f aca="false">Q35</f>
        <v>11718.75</v>
      </c>
      <c r="O63" s="0" t="s">
        <v>58</v>
      </c>
      <c r="P63" s="0" t="n">
        <f aca="false">P25*F11*B56+P25*F12*B75+P25*F13*B94 + P25*F14*B113+P25*F15*B132+P25*F15*B151</f>
        <v>84474</v>
      </c>
      <c r="Q63" s="60" t="n">
        <f aca="false">P25*F11*B54+P25*F12*B73+P25*F13*B92 + P25*F14*B111+P25*F15*B130+P25*F16*B149</f>
        <v>245233.733333333</v>
      </c>
      <c r="U63" s="60"/>
    </row>
    <row r="64" customFormat="false" ht="12.8" hidden="false" customHeight="false" outlineLevel="0" collapsed="false">
      <c r="A64" s="30" t="s">
        <v>89</v>
      </c>
      <c r="B64" s="32" t="n">
        <v>60</v>
      </c>
      <c r="E64" s="30" t="s">
        <v>89</v>
      </c>
      <c r="F64" s="32" t="n">
        <v>60</v>
      </c>
      <c r="O64" s="0" t="s">
        <v>271</v>
      </c>
      <c r="P64" s="0" t="n">
        <f aca="false">P30*B157</f>
        <v>97500</v>
      </c>
      <c r="Q64" s="36" t="n">
        <f aca="false">P30*B168</f>
        <v>146250</v>
      </c>
      <c r="U64" s="36"/>
    </row>
    <row r="65" customFormat="false" ht="12.8" hidden="false" customHeight="false" outlineLevel="0" collapsed="false">
      <c r="A65" s="30" t="s">
        <v>91</v>
      </c>
      <c r="B65" s="32" t="n">
        <f aca="false">12*B64</f>
        <v>720</v>
      </c>
      <c r="E65" s="30" t="s">
        <v>91</v>
      </c>
      <c r="F65" s="32" t="n">
        <f aca="false">12*F64</f>
        <v>720</v>
      </c>
      <c r="O65" s="0" t="s">
        <v>55</v>
      </c>
      <c r="P65" s="0" t="n">
        <f aca="false">P26*B155</f>
        <v>31232.5</v>
      </c>
      <c r="Q65" s="60" t="n">
        <f aca="false">P26*B169</f>
        <v>40602.25</v>
      </c>
    </row>
    <row r="66" customFormat="false" ht="12.8" hidden="false" customHeight="false" outlineLevel="0" collapsed="false">
      <c r="A66" s="30" t="s">
        <v>92</v>
      </c>
      <c r="B66" s="32" t="n">
        <v>100</v>
      </c>
      <c r="E66" s="30" t="s">
        <v>92</v>
      </c>
      <c r="F66" s="32" t="n">
        <v>100</v>
      </c>
      <c r="O66" s="0" t="s">
        <v>57</v>
      </c>
      <c r="P66" s="0" t="n">
        <f aca="false">P28*B156</f>
        <v>881754.9</v>
      </c>
      <c r="Q66" s="60" t="n">
        <f aca="false">P28*B166</f>
        <v>834600</v>
      </c>
      <c r="U66" s="60"/>
    </row>
    <row r="67" customFormat="false" ht="12.8" hidden="false" customHeight="false" outlineLevel="0" collapsed="false">
      <c r="A67" s="30" t="s">
        <v>94</v>
      </c>
      <c r="B67" s="32" t="n">
        <f aca="false">12*B66</f>
        <v>1200</v>
      </c>
      <c r="E67" s="30" t="s">
        <v>94</v>
      </c>
      <c r="F67" s="32" t="n">
        <f aca="false">12*F66</f>
        <v>1200</v>
      </c>
      <c r="O67" s="0" t="s">
        <v>119</v>
      </c>
      <c r="P67" s="0" t="n">
        <f aca="false">P29*B159</f>
        <v>102704.576</v>
      </c>
      <c r="Q67" s="36" t="n">
        <f aca="false">P29*B164</f>
        <v>432744</v>
      </c>
      <c r="U67" s="60"/>
    </row>
    <row r="68" customFormat="false" ht="12.8" hidden="false" customHeight="false" outlineLevel="0" collapsed="false">
      <c r="A68" s="30" t="s">
        <v>96</v>
      </c>
      <c r="B68" s="32" t="n">
        <v>1.46</v>
      </c>
      <c r="E68" s="30" t="s">
        <v>96</v>
      </c>
      <c r="F68" s="32" t="n">
        <v>1.46</v>
      </c>
    </row>
    <row r="69" customFormat="false" ht="12.8" hidden="false" customHeight="false" outlineLevel="0" collapsed="false">
      <c r="A69" s="30" t="s">
        <v>99</v>
      </c>
      <c r="B69" s="30" t="n">
        <v>6</v>
      </c>
      <c r="E69" s="30" t="s">
        <v>99</v>
      </c>
      <c r="F69" s="30" t="n">
        <v>6</v>
      </c>
      <c r="O69" s="0" t="s">
        <v>140</v>
      </c>
      <c r="P69" s="0" t="n">
        <f aca="false">P55+P56+P57+P58+P61+P62+P63+P65+P66+P67</f>
        <v>2414665.976</v>
      </c>
      <c r="Q69" s="60" t="n">
        <f aca="false">Q57+Q61+Q62+Q63+Q65+Q66+Q67</f>
        <v>8124246.65</v>
      </c>
    </row>
    <row r="70" customFormat="false" ht="12.8" hidden="false" customHeight="false" outlineLevel="0" collapsed="false">
      <c r="A70" s="30" t="s">
        <v>102</v>
      </c>
      <c r="B70" s="32" t="n">
        <f aca="false">B63*B69/100*B68</f>
        <v>2596.464</v>
      </c>
      <c r="E70" s="30" t="s">
        <v>102</v>
      </c>
      <c r="F70" s="32" t="n">
        <f aca="false">F63*F69/100*F68</f>
        <v>1026.5625</v>
      </c>
      <c r="O70" s="0" t="s">
        <v>272</v>
      </c>
      <c r="P70" s="0" t="n">
        <f aca="false">P69/$P$5</f>
        <v>2414.665976</v>
      </c>
      <c r="Q70" s="60" t="n">
        <f aca="false">Q69/$P$5</f>
        <v>8124.24665</v>
      </c>
    </row>
    <row r="71" customFormat="false" ht="12.8" hidden="false" customHeight="false" outlineLevel="0" collapsed="false">
      <c r="A71" s="30" t="s">
        <v>101</v>
      </c>
      <c r="B71" s="30" t="n">
        <v>2.33</v>
      </c>
      <c r="E71" s="30" t="s">
        <v>101</v>
      </c>
      <c r="F71" s="30" t="n">
        <v>2.33</v>
      </c>
    </row>
    <row r="72" customFormat="false" ht="12.8" hidden="false" customHeight="false" outlineLevel="0" collapsed="false">
      <c r="A72" s="38" t="s">
        <v>105</v>
      </c>
      <c r="B72" s="39" t="n">
        <f aca="false">B62+B65+B67+B70</f>
        <v>12849.7973333333</v>
      </c>
      <c r="E72" s="38" t="s">
        <v>105</v>
      </c>
      <c r="F72" s="39" t="n">
        <f aca="false">F62+F65+F67+F70</f>
        <v>11279.8958333333</v>
      </c>
    </row>
    <row r="73" customFormat="false" ht="12.8" hidden="false" customHeight="false" outlineLevel="0" collapsed="false">
      <c r="A73" s="40" t="s">
        <v>106</v>
      </c>
      <c r="B73" s="41" t="n">
        <f aca="false">B72/B63</f>
        <v>0.433528924876293</v>
      </c>
      <c r="E73" s="40" t="s">
        <v>106</v>
      </c>
      <c r="F73" s="41" t="n">
        <f aca="false">F72/F63</f>
        <v>0.962551111111111</v>
      </c>
      <c r="O73" s="0" t="s">
        <v>278</v>
      </c>
      <c r="P73" s="0" t="n">
        <f aca="false">'Rechner A2'!P69-P69</f>
        <v>599823.004</v>
      </c>
      <c r="Q73" s="60" t="n">
        <f aca="false">'Rechner A2'!Q69-Q69</f>
        <v>1126185.43333333</v>
      </c>
    </row>
    <row r="74" customFormat="false" ht="12.8" hidden="false" customHeight="false" outlineLevel="0" collapsed="false">
      <c r="A74" s="30" t="s">
        <v>107</v>
      </c>
      <c r="B74" s="30" t="n">
        <f aca="false">(B63*B69/100)*B71</f>
        <v>4143.672</v>
      </c>
      <c r="E74" s="30" t="s">
        <v>107</v>
      </c>
      <c r="F74" s="30" t="n">
        <f aca="false">(F63*F69/100)*F71</f>
        <v>1638.28125</v>
      </c>
      <c r="O74" s="0" t="s">
        <v>279</v>
      </c>
      <c r="P74" s="3" t="n">
        <f aca="false">P73/'Rechner A2'!P69</f>
        <v>0.198979995607747</v>
      </c>
      <c r="Q74" s="3" t="n">
        <f aca="false">Q73/'Rechner A2'!Q69</f>
        <v>0.121744089701756</v>
      </c>
    </row>
    <row r="75" customFormat="false" ht="12.8" hidden="false" customHeight="false" outlineLevel="0" collapsed="false">
      <c r="A75" s="30" t="s">
        <v>267</v>
      </c>
      <c r="B75" s="30" t="n">
        <f aca="false">B74/B63</f>
        <v>0.1398</v>
      </c>
      <c r="E75" s="30" t="s">
        <v>267</v>
      </c>
      <c r="F75" s="30" t="n">
        <f aca="false">F74/F63</f>
        <v>0.1398</v>
      </c>
    </row>
    <row r="77" customFormat="false" ht="12.8" hidden="false" customHeight="false" outlineLevel="0" collapsed="false">
      <c r="A77" s="29" t="s">
        <v>273</v>
      </c>
      <c r="B77" s="29"/>
      <c r="E77" s="29" t="s">
        <v>274</v>
      </c>
      <c r="F77" s="29"/>
    </row>
    <row r="78" customFormat="false" ht="12.8" hidden="false" customHeight="false" outlineLevel="0" collapsed="false">
      <c r="A78" s="30" t="s">
        <v>81</v>
      </c>
      <c r="B78" s="32" t="n">
        <v>31750</v>
      </c>
      <c r="E78" s="30" t="s">
        <v>81</v>
      </c>
      <c r="F78" s="32" t="n">
        <v>32000</v>
      </c>
    </row>
    <row r="79" customFormat="false" ht="12.8" hidden="false" customHeight="false" outlineLevel="0" collapsed="false">
      <c r="A79" s="30" t="s">
        <v>260</v>
      </c>
      <c r="B79" s="30" t="n">
        <v>3</v>
      </c>
      <c r="E79" s="30" t="s">
        <v>260</v>
      </c>
      <c r="F79" s="61" t="n">
        <v>3</v>
      </c>
    </row>
    <row r="80" customFormat="false" ht="12.8" hidden="false" customHeight="false" outlineLevel="0" collapsed="false">
      <c r="A80" s="30" t="s">
        <v>262</v>
      </c>
      <c r="B80" s="56" t="n">
        <v>10000</v>
      </c>
      <c r="E80" s="30" t="s">
        <v>262</v>
      </c>
      <c r="F80" s="30" t="n">
        <v>16000</v>
      </c>
    </row>
    <row r="81" customFormat="false" ht="12.8" hidden="false" customHeight="false" outlineLevel="0" collapsed="false">
      <c r="A81" s="30" t="s">
        <v>85</v>
      </c>
      <c r="B81" s="32" t="n">
        <f aca="false">(B78-B80)/B79</f>
        <v>7250</v>
      </c>
      <c r="E81" s="30" t="s">
        <v>85</v>
      </c>
      <c r="F81" s="32" t="n">
        <f aca="false">(F78-F80)/F79</f>
        <v>5333.33333333333</v>
      </c>
    </row>
    <row r="82" customFormat="false" ht="12.8" hidden="false" customHeight="false" outlineLevel="0" collapsed="false">
      <c r="A82" s="30" t="s">
        <v>87</v>
      </c>
      <c r="B82" s="30" t="n">
        <f aca="false">Q45</f>
        <v>29640</v>
      </c>
      <c r="E82" s="30" t="s">
        <v>87</v>
      </c>
      <c r="F82" s="30" t="n">
        <f aca="false">Q35</f>
        <v>11718.75</v>
      </c>
    </row>
    <row r="83" customFormat="false" ht="12.8" hidden="false" customHeight="false" outlineLevel="0" collapsed="false">
      <c r="A83" s="30" t="s">
        <v>89</v>
      </c>
      <c r="B83" s="32" t="n">
        <v>60</v>
      </c>
      <c r="E83" s="30" t="s">
        <v>89</v>
      </c>
      <c r="F83" s="32" t="n">
        <v>48</v>
      </c>
    </row>
    <row r="84" customFormat="false" ht="12.8" hidden="false" customHeight="false" outlineLevel="0" collapsed="false">
      <c r="A84" s="30" t="s">
        <v>91</v>
      </c>
      <c r="B84" s="32" t="n">
        <f aca="false">12*B83</f>
        <v>720</v>
      </c>
      <c r="E84" s="30" t="s">
        <v>91</v>
      </c>
      <c r="F84" s="32" t="n">
        <f aca="false">12*F83</f>
        <v>576</v>
      </c>
    </row>
    <row r="85" customFormat="false" ht="12.8" hidden="false" customHeight="false" outlineLevel="0" collapsed="false">
      <c r="A85" s="30" t="s">
        <v>92</v>
      </c>
      <c r="B85" s="32" t="n">
        <v>100</v>
      </c>
      <c r="E85" s="30" t="s">
        <v>92</v>
      </c>
      <c r="F85" s="32" t="n">
        <v>82</v>
      </c>
    </row>
    <row r="86" customFormat="false" ht="12.8" hidden="false" customHeight="false" outlineLevel="0" collapsed="false">
      <c r="A86" s="30" t="s">
        <v>94</v>
      </c>
      <c r="B86" s="32" t="n">
        <f aca="false">12*B85</f>
        <v>1200</v>
      </c>
      <c r="E86" s="30" t="s">
        <v>94</v>
      </c>
      <c r="F86" s="32" t="n">
        <f aca="false">12*F85</f>
        <v>984</v>
      </c>
    </row>
    <row r="87" customFormat="false" ht="12.8" hidden="false" customHeight="false" outlineLevel="0" collapsed="false">
      <c r="A87" s="30" t="s">
        <v>96</v>
      </c>
      <c r="B87" s="32" t="n">
        <v>1.28</v>
      </c>
      <c r="E87" s="30" t="s">
        <v>97</v>
      </c>
      <c r="F87" s="32" t="n">
        <v>0.3</v>
      </c>
    </row>
    <row r="88" customFormat="false" ht="12.8" hidden="false" customHeight="false" outlineLevel="0" collapsed="false">
      <c r="A88" s="30" t="s">
        <v>99</v>
      </c>
      <c r="B88" s="30" t="n">
        <v>8.1</v>
      </c>
      <c r="E88" s="30" t="s">
        <v>100</v>
      </c>
      <c r="F88" s="30" t="n">
        <v>14</v>
      </c>
    </row>
    <row r="89" customFormat="false" ht="12.8" hidden="false" customHeight="false" outlineLevel="0" collapsed="false">
      <c r="A89" s="30" t="s">
        <v>102</v>
      </c>
      <c r="B89" s="32" t="n">
        <f aca="false">B82*B88/100*B87</f>
        <v>3073.0752</v>
      </c>
      <c r="E89" s="30" t="s">
        <v>102</v>
      </c>
      <c r="F89" s="32" t="n">
        <f aca="false">F82*F88/100*F87</f>
        <v>492.1875</v>
      </c>
    </row>
    <row r="90" customFormat="false" ht="12.8" hidden="false" customHeight="false" outlineLevel="0" collapsed="false">
      <c r="A90" s="30" t="s">
        <v>101</v>
      </c>
      <c r="B90" s="30" t="n">
        <v>2.6</v>
      </c>
      <c r="E90" s="30" t="s">
        <v>103</v>
      </c>
      <c r="F90" s="30" t="n">
        <v>0.5</v>
      </c>
    </row>
    <row r="91" customFormat="false" ht="12.8" hidden="false" customHeight="false" outlineLevel="0" collapsed="false">
      <c r="A91" s="38" t="s">
        <v>105</v>
      </c>
      <c r="B91" s="39" t="n">
        <f aca="false">B81+B84+B86+B89</f>
        <v>12243.0752</v>
      </c>
      <c r="E91" s="38" t="s">
        <v>105</v>
      </c>
      <c r="F91" s="39" t="n">
        <f aca="false">F81+F84+F86+F89</f>
        <v>7385.52083333333</v>
      </c>
    </row>
    <row r="92" customFormat="false" ht="12.8" hidden="false" customHeight="false" outlineLevel="0" collapsed="false">
      <c r="A92" s="40" t="s">
        <v>106</v>
      </c>
      <c r="B92" s="41" t="n">
        <f aca="false">B91/B82</f>
        <v>0.413059217273954</v>
      </c>
      <c r="E92" s="40" t="s">
        <v>106</v>
      </c>
      <c r="F92" s="41" t="n">
        <f aca="false">F91/F82</f>
        <v>0.630231111111111</v>
      </c>
    </row>
    <row r="93" customFormat="false" ht="12.8" hidden="false" customHeight="false" outlineLevel="0" collapsed="false">
      <c r="A93" s="30" t="s">
        <v>107</v>
      </c>
      <c r="B93" s="30" t="n">
        <f aca="false">(B82*B88/100)*B90</f>
        <v>6242.184</v>
      </c>
      <c r="E93" s="30" t="s">
        <v>107</v>
      </c>
      <c r="F93" s="30" t="n">
        <f aca="false">F90*F82*F88/100</f>
        <v>820.3125</v>
      </c>
    </row>
    <row r="94" customFormat="false" ht="12.8" hidden="false" customHeight="false" outlineLevel="0" collapsed="false">
      <c r="A94" s="30" t="s">
        <v>267</v>
      </c>
      <c r="B94" s="30" t="n">
        <f aca="false">B93/B82</f>
        <v>0.2106</v>
      </c>
      <c r="E94" s="30" t="s">
        <v>267</v>
      </c>
      <c r="F94" s="30" t="n">
        <f aca="false">F93/F82</f>
        <v>0.07</v>
      </c>
    </row>
    <row r="96" customFormat="false" ht="12.8" hidden="false" customHeight="false" outlineLevel="0" collapsed="false">
      <c r="A96" s="29" t="s">
        <v>274</v>
      </c>
      <c r="B96" s="29"/>
      <c r="E96" s="29" t="s">
        <v>275</v>
      </c>
      <c r="F96" s="29"/>
    </row>
    <row r="97" customFormat="false" ht="12.8" hidden="false" customHeight="false" outlineLevel="0" collapsed="false">
      <c r="A97" s="30" t="s">
        <v>81</v>
      </c>
      <c r="B97" s="32" t="n">
        <v>32000</v>
      </c>
      <c r="E97" s="30" t="s">
        <v>81</v>
      </c>
      <c r="F97" s="32" t="n">
        <v>55000</v>
      </c>
    </row>
    <row r="98" customFormat="false" ht="12.8" hidden="false" customHeight="false" outlineLevel="0" collapsed="false">
      <c r="A98" s="30" t="s">
        <v>260</v>
      </c>
      <c r="B98" s="61" t="n">
        <v>3</v>
      </c>
      <c r="E98" s="30" t="s">
        <v>260</v>
      </c>
      <c r="F98" s="61" t="n">
        <v>3</v>
      </c>
    </row>
    <row r="99" customFormat="false" ht="12.8" hidden="false" customHeight="false" outlineLevel="0" collapsed="false">
      <c r="A99" s="30" t="s">
        <v>262</v>
      </c>
      <c r="B99" s="30" t="n">
        <v>16000</v>
      </c>
      <c r="E99" s="30" t="s">
        <v>262</v>
      </c>
      <c r="F99" s="30" t="n">
        <v>27000</v>
      </c>
    </row>
    <row r="100" customFormat="false" ht="12.8" hidden="false" customHeight="false" outlineLevel="0" collapsed="false">
      <c r="A100" s="30" t="s">
        <v>85</v>
      </c>
      <c r="B100" s="32" t="n">
        <f aca="false">(B97-B99)/B98</f>
        <v>5333.33333333333</v>
      </c>
      <c r="E100" s="30" t="s">
        <v>85</v>
      </c>
      <c r="F100" s="32" t="n">
        <f aca="false">(F97-F99)/F98</f>
        <v>9333.33333333333</v>
      </c>
    </row>
    <row r="101" customFormat="false" ht="12.8" hidden="false" customHeight="false" outlineLevel="0" collapsed="false">
      <c r="A101" s="30" t="s">
        <v>87</v>
      </c>
      <c r="B101" s="30" t="n">
        <f aca="false">Q45</f>
        <v>29640</v>
      </c>
      <c r="E101" s="30" t="s">
        <v>87</v>
      </c>
      <c r="F101" s="30" t="n">
        <f aca="false">Q35</f>
        <v>11718.75</v>
      </c>
    </row>
    <row r="102" customFormat="false" ht="12.8" hidden="false" customHeight="false" outlineLevel="0" collapsed="false">
      <c r="A102" s="30" t="s">
        <v>89</v>
      </c>
      <c r="B102" s="32" t="n">
        <v>48</v>
      </c>
      <c r="E102" s="30" t="s">
        <v>89</v>
      </c>
      <c r="F102" s="32" t="n">
        <v>48</v>
      </c>
    </row>
    <row r="103" customFormat="false" ht="12.8" hidden="false" customHeight="false" outlineLevel="0" collapsed="false">
      <c r="A103" s="30" t="s">
        <v>91</v>
      </c>
      <c r="B103" s="32" t="n">
        <f aca="false">12*B102</f>
        <v>576</v>
      </c>
      <c r="E103" s="30" t="s">
        <v>91</v>
      </c>
      <c r="F103" s="32" t="n">
        <f aca="false">12*F102</f>
        <v>576</v>
      </c>
    </row>
    <row r="104" customFormat="false" ht="12.8" hidden="false" customHeight="false" outlineLevel="0" collapsed="false">
      <c r="A104" s="30" t="s">
        <v>92</v>
      </c>
      <c r="B104" s="32" t="n">
        <v>82</v>
      </c>
      <c r="E104" s="30" t="s">
        <v>92</v>
      </c>
      <c r="F104" s="32" t="n">
        <v>82</v>
      </c>
    </row>
    <row r="105" customFormat="false" ht="12.8" hidden="false" customHeight="false" outlineLevel="0" collapsed="false">
      <c r="A105" s="30" t="s">
        <v>94</v>
      </c>
      <c r="B105" s="32" t="n">
        <f aca="false">12*B104</f>
        <v>984</v>
      </c>
      <c r="E105" s="30" t="s">
        <v>94</v>
      </c>
      <c r="F105" s="32" t="n">
        <f aca="false">12*F104</f>
        <v>984</v>
      </c>
    </row>
    <row r="106" customFormat="false" ht="12.8" hidden="false" customHeight="false" outlineLevel="0" collapsed="false">
      <c r="A106" s="30" t="s">
        <v>97</v>
      </c>
      <c r="B106" s="32" t="n">
        <v>0.3</v>
      </c>
      <c r="E106" s="30" t="s">
        <v>97</v>
      </c>
      <c r="F106" s="32" t="n">
        <v>0.3</v>
      </c>
    </row>
    <row r="107" customFormat="false" ht="12.8" hidden="false" customHeight="false" outlineLevel="0" collapsed="false">
      <c r="A107" s="30" t="s">
        <v>100</v>
      </c>
      <c r="B107" s="30" t="n">
        <v>14</v>
      </c>
      <c r="E107" s="30" t="s">
        <v>100</v>
      </c>
      <c r="F107" s="30" t="n">
        <v>16</v>
      </c>
    </row>
    <row r="108" customFormat="false" ht="12.8" hidden="false" customHeight="false" outlineLevel="0" collapsed="false">
      <c r="A108" s="30" t="s">
        <v>102</v>
      </c>
      <c r="B108" s="32" t="n">
        <f aca="false">B101*B107/100*B106</f>
        <v>1244.88</v>
      </c>
      <c r="E108" s="30" t="s">
        <v>102</v>
      </c>
      <c r="F108" s="32" t="n">
        <f aca="false">F101*F107/100*F106</f>
        <v>562.5</v>
      </c>
    </row>
    <row r="109" customFormat="false" ht="12.8" hidden="false" customHeight="false" outlineLevel="0" collapsed="false">
      <c r="A109" s="30" t="s">
        <v>103</v>
      </c>
      <c r="B109" s="30" t="n">
        <v>0.5</v>
      </c>
      <c r="E109" s="30" t="s">
        <v>103</v>
      </c>
      <c r="F109" s="30" t="n">
        <v>0.5</v>
      </c>
    </row>
    <row r="110" customFormat="false" ht="12.8" hidden="false" customHeight="false" outlineLevel="0" collapsed="false">
      <c r="A110" s="38" t="s">
        <v>105</v>
      </c>
      <c r="B110" s="39" t="n">
        <f aca="false">B100+B103+B105+B108</f>
        <v>8138.21333333333</v>
      </c>
      <c r="E110" s="38" t="s">
        <v>105</v>
      </c>
      <c r="F110" s="39" t="n">
        <f aca="false">F100+F103+F105+F108</f>
        <v>11455.8333333333</v>
      </c>
    </row>
    <row r="111" customFormat="false" ht="12.8" hidden="false" customHeight="false" outlineLevel="0" collapsed="false">
      <c r="A111" s="40" t="s">
        <v>106</v>
      </c>
      <c r="B111" s="41" t="n">
        <f aca="false">B110/B101</f>
        <v>0.274568600989654</v>
      </c>
      <c r="E111" s="40" t="s">
        <v>106</v>
      </c>
      <c r="F111" s="41" t="n">
        <f aca="false">F110/F101</f>
        <v>0.977564444444444</v>
      </c>
    </row>
    <row r="112" customFormat="false" ht="12.8" hidden="false" customHeight="false" outlineLevel="0" collapsed="false">
      <c r="A112" s="30" t="s">
        <v>107</v>
      </c>
      <c r="B112" s="30" t="n">
        <f aca="false">B109*B101*B107/100</f>
        <v>2074.8</v>
      </c>
      <c r="E112" s="30" t="s">
        <v>107</v>
      </c>
      <c r="F112" s="30" t="n">
        <f aca="false">F109*F101*F107/100</f>
        <v>937.5</v>
      </c>
    </row>
    <row r="113" customFormat="false" ht="12.8" hidden="false" customHeight="false" outlineLevel="0" collapsed="false">
      <c r="A113" s="30" t="s">
        <v>267</v>
      </c>
      <c r="B113" s="30" t="n">
        <f aca="false">B112/B101</f>
        <v>0.07</v>
      </c>
      <c r="E113" s="30" t="s">
        <v>267</v>
      </c>
      <c r="F113" s="30" t="n">
        <f aca="false">F112/F101</f>
        <v>0.08</v>
      </c>
    </row>
    <row r="115" customFormat="false" ht="12.8" hidden="false" customHeight="false" outlineLevel="0" collapsed="false">
      <c r="A115" s="29" t="s">
        <v>275</v>
      </c>
      <c r="B115" s="29"/>
    </row>
    <row r="116" customFormat="false" ht="12.8" hidden="false" customHeight="false" outlineLevel="0" collapsed="false">
      <c r="A116" s="30" t="s">
        <v>81</v>
      </c>
      <c r="B116" s="32" t="n">
        <v>55000</v>
      </c>
    </row>
    <row r="117" customFormat="false" ht="12.8" hidden="false" customHeight="false" outlineLevel="0" collapsed="false">
      <c r="A117" s="30" t="s">
        <v>260</v>
      </c>
      <c r="B117" s="61" t="n">
        <v>3</v>
      </c>
    </row>
    <row r="118" customFormat="false" ht="12.8" hidden="false" customHeight="false" outlineLevel="0" collapsed="false">
      <c r="A118" s="30" t="s">
        <v>262</v>
      </c>
      <c r="B118" s="30" t="n">
        <v>27000</v>
      </c>
    </row>
    <row r="119" customFormat="false" ht="12.8" hidden="false" customHeight="false" outlineLevel="0" collapsed="false">
      <c r="A119" s="30" t="s">
        <v>85</v>
      </c>
      <c r="B119" s="32" t="n">
        <f aca="false">(B116-B118)/B117</f>
        <v>9333.33333333333</v>
      </c>
    </row>
    <row r="120" customFormat="false" ht="12.8" hidden="false" customHeight="false" outlineLevel="0" collapsed="false">
      <c r="A120" s="30" t="s">
        <v>87</v>
      </c>
      <c r="B120" s="30" t="n">
        <f aca="false">Q45</f>
        <v>29640</v>
      </c>
    </row>
    <row r="121" customFormat="false" ht="12.8" hidden="false" customHeight="false" outlineLevel="0" collapsed="false">
      <c r="A121" s="30" t="s">
        <v>89</v>
      </c>
      <c r="B121" s="32" t="n">
        <v>48</v>
      </c>
    </row>
    <row r="122" customFormat="false" ht="12.8" hidden="false" customHeight="false" outlineLevel="0" collapsed="false">
      <c r="A122" s="30" t="s">
        <v>91</v>
      </c>
      <c r="B122" s="32" t="n">
        <f aca="false">12*B121</f>
        <v>576</v>
      </c>
    </row>
    <row r="123" customFormat="false" ht="12.8" hidden="false" customHeight="false" outlineLevel="0" collapsed="false">
      <c r="A123" s="30" t="s">
        <v>92</v>
      </c>
      <c r="B123" s="32" t="n">
        <v>82</v>
      </c>
    </row>
    <row r="124" customFormat="false" ht="12.8" hidden="false" customHeight="false" outlineLevel="0" collapsed="false">
      <c r="A124" s="30" t="s">
        <v>94</v>
      </c>
      <c r="B124" s="32" t="n">
        <f aca="false">12*B123</f>
        <v>984</v>
      </c>
    </row>
    <row r="125" customFormat="false" ht="12.8" hidden="false" customHeight="false" outlineLevel="0" collapsed="false">
      <c r="A125" s="30" t="s">
        <v>97</v>
      </c>
      <c r="B125" s="32" t="n">
        <v>0.3</v>
      </c>
    </row>
    <row r="126" customFormat="false" ht="12.8" hidden="false" customHeight="false" outlineLevel="0" collapsed="false">
      <c r="A126" s="30" t="s">
        <v>100</v>
      </c>
      <c r="B126" s="30" t="n">
        <v>16</v>
      </c>
    </row>
    <row r="127" customFormat="false" ht="12.8" hidden="false" customHeight="false" outlineLevel="0" collapsed="false">
      <c r="A127" s="30" t="s">
        <v>102</v>
      </c>
      <c r="B127" s="32" t="n">
        <f aca="false">B120*B126/100*B125</f>
        <v>1422.72</v>
      </c>
    </row>
    <row r="128" customFormat="false" ht="12.8" hidden="false" customHeight="false" outlineLevel="0" collapsed="false">
      <c r="A128" s="30" t="s">
        <v>103</v>
      </c>
      <c r="B128" s="30" t="n">
        <v>0.5</v>
      </c>
    </row>
    <row r="129" customFormat="false" ht="12.8" hidden="false" customHeight="false" outlineLevel="0" collapsed="false">
      <c r="A129" s="38" t="s">
        <v>105</v>
      </c>
      <c r="B129" s="39" t="n">
        <f aca="false">B119+B122+B124+B127</f>
        <v>12316.0533333333</v>
      </c>
    </row>
    <row r="130" customFormat="false" ht="12.8" hidden="false" customHeight="false" outlineLevel="0" collapsed="false">
      <c r="A130" s="40" t="s">
        <v>106</v>
      </c>
      <c r="B130" s="41" t="n">
        <f aca="false">B129/B120</f>
        <v>0.415521367521367</v>
      </c>
    </row>
    <row r="131" customFormat="false" ht="12.8" hidden="false" customHeight="false" outlineLevel="0" collapsed="false">
      <c r="A131" s="30" t="s">
        <v>107</v>
      </c>
      <c r="B131" s="30" t="n">
        <f aca="false">B128*B120*B126/100</f>
        <v>2371.2</v>
      </c>
    </row>
    <row r="132" customFormat="false" ht="12.8" hidden="false" customHeight="false" outlineLevel="0" collapsed="false">
      <c r="A132" s="30" t="s">
        <v>267</v>
      </c>
      <c r="B132" s="30" t="n">
        <f aca="false">B131/B120</f>
        <v>0.08</v>
      </c>
    </row>
    <row r="134" customFormat="false" ht="12.8" hidden="false" customHeight="false" outlineLevel="0" collapsed="false">
      <c r="A134" s="29" t="s">
        <v>276</v>
      </c>
      <c r="B134" s="29"/>
    </row>
    <row r="135" customFormat="false" ht="12.8" hidden="false" customHeight="false" outlineLevel="0" collapsed="false">
      <c r="A135" s="30" t="s">
        <v>81</v>
      </c>
      <c r="B135" s="32" t="n">
        <v>40000</v>
      </c>
    </row>
    <row r="136" customFormat="false" ht="12.8" hidden="false" customHeight="false" outlineLevel="0" collapsed="false">
      <c r="A136" s="30" t="s">
        <v>260</v>
      </c>
      <c r="B136" s="30" t="n">
        <v>3</v>
      </c>
    </row>
    <row r="137" customFormat="false" ht="12.8" hidden="false" customHeight="false" outlineLevel="0" collapsed="false">
      <c r="A137" s="30" t="s">
        <v>262</v>
      </c>
      <c r="B137" s="56" t="n">
        <v>15000</v>
      </c>
    </row>
    <row r="138" customFormat="false" ht="12.8" hidden="false" customHeight="false" outlineLevel="0" collapsed="false">
      <c r="A138" s="30" t="s">
        <v>85</v>
      </c>
      <c r="B138" s="32" t="n">
        <f aca="false">(B135-B137)/B136</f>
        <v>8333.33333333333</v>
      </c>
    </row>
    <row r="139" customFormat="false" ht="12.8" hidden="false" customHeight="false" outlineLevel="0" collapsed="false">
      <c r="A139" s="30" t="s">
        <v>87</v>
      </c>
      <c r="B139" s="30" t="n">
        <f aca="false">Q45</f>
        <v>29640</v>
      </c>
    </row>
    <row r="140" customFormat="false" ht="12.8" hidden="false" customHeight="false" outlineLevel="0" collapsed="false">
      <c r="A140" s="30" t="s">
        <v>89</v>
      </c>
      <c r="B140" s="32" t="n">
        <v>60</v>
      </c>
    </row>
    <row r="141" customFormat="false" ht="12.8" hidden="false" customHeight="false" outlineLevel="0" collapsed="false">
      <c r="A141" s="30" t="s">
        <v>91</v>
      </c>
      <c r="B141" s="32" t="n">
        <f aca="false">12*B140</f>
        <v>720</v>
      </c>
    </row>
    <row r="142" customFormat="false" ht="12.8" hidden="false" customHeight="false" outlineLevel="0" collapsed="false">
      <c r="A142" s="30" t="s">
        <v>92</v>
      </c>
      <c r="B142" s="32" t="n">
        <v>100</v>
      </c>
    </row>
    <row r="143" customFormat="false" ht="12.8" hidden="false" customHeight="false" outlineLevel="0" collapsed="false">
      <c r="A143" s="30" t="s">
        <v>94</v>
      </c>
      <c r="B143" s="32" t="n">
        <f aca="false">12*B142</f>
        <v>1200</v>
      </c>
    </row>
    <row r="144" customFormat="false" ht="12.8" hidden="false" customHeight="false" outlineLevel="0" collapsed="false">
      <c r="A144" s="30" t="s">
        <v>96</v>
      </c>
      <c r="B144" s="32" t="n">
        <v>0.3</v>
      </c>
    </row>
    <row r="145" customFormat="false" ht="12.8" hidden="false" customHeight="false" outlineLevel="0" collapsed="false">
      <c r="A145" s="30" t="s">
        <v>99</v>
      </c>
      <c r="B145" s="30" t="n">
        <v>20</v>
      </c>
    </row>
    <row r="146" customFormat="false" ht="12.8" hidden="false" customHeight="false" outlineLevel="0" collapsed="false">
      <c r="A146" s="30" t="s">
        <v>102</v>
      </c>
      <c r="B146" s="32" t="n">
        <f aca="false">B139*B145/100*B144</f>
        <v>1778.4</v>
      </c>
    </row>
    <row r="147" customFormat="false" ht="12.8" hidden="false" customHeight="false" outlineLevel="0" collapsed="false">
      <c r="A147" s="30" t="s">
        <v>103</v>
      </c>
      <c r="B147" s="30" t="n">
        <v>0.5</v>
      </c>
    </row>
    <row r="148" customFormat="false" ht="12.8" hidden="false" customHeight="false" outlineLevel="0" collapsed="false">
      <c r="A148" s="38" t="s">
        <v>105</v>
      </c>
      <c r="B148" s="39" t="n">
        <f aca="false">B138+B141+B143+B146</f>
        <v>12031.7333333333</v>
      </c>
    </row>
    <row r="149" customFormat="false" ht="12.8" hidden="false" customHeight="false" outlineLevel="0" collapsed="false">
      <c r="A149" s="40" t="s">
        <v>106</v>
      </c>
      <c r="B149" s="41" t="n">
        <f aca="false">B148/B139</f>
        <v>0.405928924876293</v>
      </c>
    </row>
    <row r="150" customFormat="false" ht="12.8" hidden="false" customHeight="false" outlineLevel="0" collapsed="false">
      <c r="A150" s="30" t="s">
        <v>107</v>
      </c>
      <c r="B150" s="30" t="n">
        <f aca="false">(B139*B145/100)*B147</f>
        <v>2964</v>
      </c>
    </row>
    <row r="151" customFormat="false" ht="12.8" hidden="false" customHeight="false" outlineLevel="0" collapsed="false">
      <c r="A151" s="30" t="s">
        <v>267</v>
      </c>
      <c r="B151" s="30" t="n">
        <f aca="false">B150/B139</f>
        <v>0.1</v>
      </c>
    </row>
    <row r="154" customFormat="false" ht="12.8" hidden="false" customHeight="false" outlineLevel="0" collapsed="false">
      <c r="A154" s="62" t="s">
        <v>53</v>
      </c>
      <c r="B154" s="44"/>
      <c r="C154" s="44"/>
    </row>
    <row r="155" customFormat="false" ht="12.8" hidden="false" customHeight="false" outlineLevel="0" collapsed="false">
      <c r="A155" s="44" t="s">
        <v>55</v>
      </c>
      <c r="B155" s="44" t="n">
        <v>0.1</v>
      </c>
      <c r="C155" s="44" t="s">
        <v>56</v>
      </c>
    </row>
    <row r="156" customFormat="false" ht="12.8" hidden="false" customHeight="false" outlineLevel="0" collapsed="false">
      <c r="A156" s="44" t="s">
        <v>57</v>
      </c>
      <c r="B156" s="44" t="n">
        <v>0.2113</v>
      </c>
      <c r="C156" s="44" t="s">
        <v>56</v>
      </c>
    </row>
    <row r="157" customFormat="false" ht="12.8" hidden="false" customHeight="false" outlineLevel="0" collapsed="false">
      <c r="A157" s="44" t="s">
        <v>47</v>
      </c>
      <c r="B157" s="44" t="n">
        <v>0.2</v>
      </c>
      <c r="C157" s="44" t="s">
        <v>56</v>
      </c>
    </row>
    <row r="158" customFormat="false" ht="12.8" hidden="false" customHeight="false" outlineLevel="0" collapsed="false">
      <c r="A158" s="44" t="s">
        <v>59</v>
      </c>
      <c r="B158" s="44" t="n">
        <v>0.004</v>
      </c>
      <c r="C158" s="44" t="s">
        <v>56</v>
      </c>
    </row>
    <row r="159" customFormat="false" ht="12.8" hidden="false" customHeight="false" outlineLevel="0" collapsed="false">
      <c r="A159" s="44" t="s">
        <v>60</v>
      </c>
      <c r="B159" s="44" t="n">
        <v>0.0356</v>
      </c>
      <c r="C159" s="44" t="s">
        <v>56</v>
      </c>
    </row>
    <row r="160" customFormat="false" ht="12.8" hidden="false" customHeight="false" outlineLevel="0" collapsed="false">
      <c r="A160" s="44" t="s">
        <v>61</v>
      </c>
      <c r="B160" s="44" t="n">
        <v>0</v>
      </c>
      <c r="C160" s="44" t="s">
        <v>56</v>
      </c>
    </row>
    <row r="161" customFormat="false" ht="12.8" hidden="false" customHeight="false" outlineLevel="0" collapsed="false">
      <c r="A161" s="44" t="s">
        <v>62</v>
      </c>
      <c r="B161" s="63"/>
      <c r="C161" s="44" t="s">
        <v>56</v>
      </c>
    </row>
    <row r="163" customFormat="false" ht="12.8" hidden="false" customHeight="false" outlineLevel="0" collapsed="false">
      <c r="A163" s="64" t="s">
        <v>211</v>
      </c>
      <c r="B163" s="65"/>
      <c r="C163" s="65"/>
    </row>
    <row r="164" customFormat="false" ht="12.8" hidden="false" customHeight="false" outlineLevel="0" collapsed="false">
      <c r="A164" s="65" t="s">
        <v>34</v>
      </c>
      <c r="B164" s="66" t="n">
        <v>0.15</v>
      </c>
      <c r="C164" s="65" t="s">
        <v>31</v>
      </c>
    </row>
    <row r="165" customFormat="false" ht="12.8" hidden="false" customHeight="false" outlineLevel="0" collapsed="false">
      <c r="A165" s="65" t="s">
        <v>40</v>
      </c>
      <c r="B165" s="66" t="n">
        <v>15</v>
      </c>
      <c r="C165" s="65" t="s">
        <v>41</v>
      </c>
    </row>
    <row r="166" customFormat="false" ht="12.8" hidden="false" customHeight="false" outlineLevel="0" collapsed="false">
      <c r="A166" s="65" t="s">
        <v>43</v>
      </c>
      <c r="B166" s="67" t="n">
        <v>0.2</v>
      </c>
      <c r="C166" s="65"/>
    </row>
    <row r="167" customFormat="false" ht="12.8" hidden="false" customHeight="false" outlineLevel="0" collapsed="false">
      <c r="A167" s="65" t="s">
        <v>212</v>
      </c>
      <c r="B167" s="66" t="n">
        <v>60</v>
      </c>
      <c r="C167" s="65"/>
    </row>
    <row r="168" customFormat="false" ht="12.8" hidden="false" customHeight="false" outlineLevel="0" collapsed="false">
      <c r="A168" s="65" t="s">
        <v>213</v>
      </c>
      <c r="B168" s="66" t="n">
        <v>0.3</v>
      </c>
      <c r="C168" s="65"/>
    </row>
    <row r="169" customFormat="false" ht="12.8" hidden="false" customHeight="false" outlineLevel="0" collapsed="false">
      <c r="A169" s="65" t="s">
        <v>277</v>
      </c>
      <c r="B169" s="68" t="n">
        <v>0.13</v>
      </c>
      <c r="C169" s="65"/>
    </row>
  </sheetData>
  <mergeCells count="25">
    <mergeCell ref="A1:K2"/>
    <mergeCell ref="O3:Q4"/>
    <mergeCell ref="S9:U10"/>
    <mergeCell ref="E10:G10"/>
    <mergeCell ref="A17:C17"/>
    <mergeCell ref="E17:G17"/>
    <mergeCell ref="E20:G20"/>
    <mergeCell ref="A26:B26"/>
    <mergeCell ref="A36:B37"/>
    <mergeCell ref="E36:F37"/>
    <mergeCell ref="A39:B39"/>
    <mergeCell ref="E39:F39"/>
    <mergeCell ref="O51:Q52"/>
    <mergeCell ref="O53:Q53"/>
    <mergeCell ref="S53:U53"/>
    <mergeCell ref="A58:B58"/>
    <mergeCell ref="E58:F58"/>
    <mergeCell ref="S58:U58"/>
    <mergeCell ref="O59:Q59"/>
    <mergeCell ref="A77:B77"/>
    <mergeCell ref="E77:F77"/>
    <mergeCell ref="A96:B96"/>
    <mergeCell ref="E96:F96"/>
    <mergeCell ref="A115:B115"/>
    <mergeCell ref="A134:B1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1326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2021-03-24T12:08:46Z</dcterms:created>
  <dc:creator/>
  <dc:description/>
  <dc:language>en-US</dc:language>
  <cp:lastModifiedBy/>
  <dcterms:modified xsi:type="dcterms:W3CDTF">2021-04-06T10:37:35Z</dcterms:modified>
  <cp:revision>291</cp:revision>
  <dc:subject/>
  <dc:title/>
</cp:coreProperties>
</file>