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4515" yWindow="1695" windowWidth="28155" windowHeight="15915" tabRatio="500"/>
  </bookViews>
  <sheets>
    <sheet name="工作表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/>
  <c r="H38"/>
  <c r="H37"/>
  <c r="H36"/>
  <c r="H35"/>
  <c r="H33"/>
  <c r="H32"/>
  <c r="H31"/>
  <c r="H30"/>
  <c r="H29"/>
  <c r="H28"/>
  <c r="H27"/>
  <c r="H26"/>
  <c r="H25"/>
  <c r="H24"/>
  <c r="H23"/>
  <c r="H22"/>
  <c r="C23"/>
  <c r="C24"/>
  <c r="C25"/>
  <c r="C26"/>
  <c r="C27"/>
  <c r="C28"/>
  <c r="C29"/>
  <c r="C30"/>
  <c r="C31"/>
  <c r="C32"/>
  <c r="C33"/>
  <c r="C22"/>
  <c r="AB11"/>
  <c r="AB10"/>
  <c r="AB9"/>
  <c r="AB8"/>
  <c r="AB7"/>
  <c r="AB6"/>
  <c r="AB5"/>
  <c r="AB4"/>
  <c r="I4" l="1"/>
  <c r="AE4"/>
  <c r="I5"/>
  <c r="AE5"/>
  <c r="I6"/>
  <c r="AE6"/>
  <c r="I7"/>
  <c r="AE7"/>
  <c r="I8"/>
  <c r="AE8"/>
  <c r="I9"/>
  <c r="AE9"/>
  <c r="I10"/>
  <c r="AE10"/>
  <c r="I11"/>
  <c r="AE11"/>
  <c r="Q11"/>
  <c r="N11"/>
  <c r="R11"/>
  <c r="Q10"/>
  <c r="N10"/>
  <c r="R10"/>
  <c r="Q9"/>
  <c r="N9"/>
  <c r="R9"/>
  <c r="Q8"/>
  <c r="N8"/>
  <c r="R8"/>
  <c r="Q7"/>
  <c r="N7"/>
  <c r="R7"/>
  <c r="Q6"/>
  <c r="N6"/>
  <c r="R6"/>
  <c r="Q5"/>
  <c r="N5"/>
  <c r="R5"/>
  <c r="Q4"/>
  <c r="N4"/>
  <c r="R4"/>
  <c r="J5"/>
  <c r="K5"/>
  <c r="S5"/>
  <c r="J6"/>
  <c r="K6"/>
  <c r="S6"/>
  <c r="J7"/>
  <c r="K7"/>
  <c r="S7"/>
  <c r="J8"/>
  <c r="K8"/>
  <c r="S8"/>
  <c r="J9"/>
  <c r="K9"/>
  <c r="S9"/>
  <c r="J10"/>
  <c r="K10"/>
  <c r="S10"/>
  <c r="J11"/>
  <c r="K11"/>
  <c r="S11"/>
  <c r="J4"/>
  <c r="K4"/>
  <c r="S4"/>
  <c r="L4"/>
  <c r="AC11" l="1"/>
  <c r="AC10"/>
  <c r="AC9"/>
  <c r="AC8"/>
  <c r="AC7"/>
  <c r="AC6"/>
  <c r="AC5"/>
  <c r="AC4"/>
  <c r="AA5"/>
  <c r="AA6"/>
  <c r="AA7"/>
  <c r="AA8"/>
  <c r="AA9"/>
  <c r="AA10"/>
  <c r="AA11"/>
  <c r="AA4"/>
  <c r="AD5"/>
  <c r="AH5"/>
  <c r="AD6"/>
  <c r="AH6"/>
  <c r="AD7"/>
  <c r="AH7"/>
  <c r="AD8"/>
  <c r="AH8"/>
  <c r="AD9"/>
  <c r="AH9"/>
  <c r="AD10"/>
  <c r="AH10"/>
  <c r="AD11"/>
  <c r="AH11"/>
  <c r="AD4"/>
  <c r="AH4"/>
  <c r="M4" l="1"/>
  <c r="M5"/>
  <c r="M6"/>
  <c r="M7"/>
  <c r="M8"/>
  <c r="M9"/>
  <c r="M10"/>
  <c r="M11"/>
  <c r="P5" l="1"/>
  <c r="AG5"/>
  <c r="P6"/>
  <c r="AG6"/>
  <c r="P7"/>
  <c r="AG7"/>
  <c r="P8"/>
  <c r="AG8"/>
  <c r="P9"/>
  <c r="AG9"/>
  <c r="P10"/>
  <c r="AG10"/>
  <c r="P11"/>
  <c r="AG11"/>
  <c r="P4"/>
  <c r="AG4"/>
  <c r="AK11"/>
  <c r="L11"/>
  <c r="AK10"/>
  <c r="L10"/>
  <c r="AK9"/>
  <c r="L9"/>
  <c r="AK8"/>
  <c r="L8"/>
  <c r="AK7"/>
  <c r="L7"/>
  <c r="AK6"/>
  <c r="L6"/>
  <c r="AK5"/>
  <c r="L5"/>
  <c r="AK4"/>
</calcChain>
</file>

<file path=xl/sharedStrings.xml><?xml version="1.0" encoding="utf-8"?>
<sst xmlns="http://schemas.openxmlformats.org/spreadsheetml/2006/main" count="83" uniqueCount="73">
  <si>
    <t>运营数据：</t>
    <rPh sb="0" eb="1">
      <t>y ying</t>
    </rPh>
    <phoneticPr fontId="3" type="noConversion"/>
  </si>
  <si>
    <t>进价/吨</t>
    <phoneticPr fontId="3" type="noConversion"/>
  </si>
  <si>
    <t>售价/升</t>
    <phoneticPr fontId="3" type="noConversion"/>
  </si>
  <si>
    <t>售价/吨</t>
    <rPh sb="0" eb="1">
      <t>shou jia</t>
    </rPh>
    <phoneticPr fontId="3" type="noConversion"/>
  </si>
  <si>
    <t>成本</t>
    <rPh sb="0" eb="1">
      <t>c b</t>
    </rPh>
    <phoneticPr fontId="3" type="noConversion"/>
  </si>
  <si>
    <t>收入</t>
    <rPh sb="0" eb="1">
      <t>s r</t>
    </rPh>
    <phoneticPr fontId="3" type="noConversion"/>
  </si>
  <si>
    <t>代理分成金额</t>
  </si>
  <si>
    <t>中心化成本</t>
    <phoneticPr fontId="3" type="noConversion"/>
  </si>
  <si>
    <t>司机薪酬待遇</t>
    <phoneticPr fontId="3" type="noConversion"/>
  </si>
  <si>
    <t>车辆折旧、保险、自用油、维修保养等</t>
    <phoneticPr fontId="3" type="noConversion"/>
  </si>
  <si>
    <t>净利润</t>
    <rPh sb="0" eb="1">
      <t>jing li</t>
    </rPh>
    <rPh sb="2" eb="3">
      <t>run</t>
    </rPh>
    <phoneticPr fontId="3" type="noConversion"/>
  </si>
  <si>
    <t>净利率</t>
    <rPh sb="0" eb="1">
      <t>j li lü</t>
    </rPh>
    <phoneticPr fontId="3" type="noConversion"/>
  </si>
  <si>
    <t>油的销量升数</t>
    <phoneticPr fontId="3" type="noConversion"/>
  </si>
  <si>
    <t>销售单数</t>
    <phoneticPr fontId="3" type="noConversion"/>
  </si>
  <si>
    <t>平均每单销量升数</t>
    <rPh sb="0" eb="1">
      <t>p jun</t>
    </rPh>
    <rPh sb="2" eb="3">
      <t>mei dan</t>
    </rPh>
    <phoneticPr fontId="3" type="noConversion"/>
  </si>
  <si>
    <t>月复购率</t>
    <rPh sb="0" eb="1">
      <t>yue</t>
    </rPh>
    <phoneticPr fontId="3" type="noConversion"/>
  </si>
  <si>
    <t>代理单数</t>
    <phoneticPr fontId="3" type="noConversion"/>
  </si>
  <si>
    <t>单车日均加油升数：</t>
    <phoneticPr fontId="3" type="noConversion"/>
  </si>
  <si>
    <t>武汉车</t>
    <phoneticPr fontId="3" type="noConversion"/>
  </si>
  <si>
    <t>淄博车</t>
    <phoneticPr fontId="3" type="noConversion"/>
  </si>
  <si>
    <t>重庆车</t>
    <phoneticPr fontId="3" type="noConversion"/>
  </si>
  <si>
    <t>毛利润</t>
    <rPh sb="0" eb="1">
      <t>mao li</t>
    </rPh>
    <rPh sb="2" eb="3">
      <t>run</t>
    </rPh>
    <phoneticPr fontId="3" type="noConversion"/>
  </si>
  <si>
    <t>修正版毛利率</t>
    <rPh sb="0" eb="1">
      <t>xiu zheng ban</t>
    </rPh>
    <rPh sb="3" eb="4">
      <t>mao li lü</t>
    </rPh>
    <phoneticPr fontId="3" type="noConversion"/>
  </si>
  <si>
    <t>预测值</t>
    <rPh sb="0" eb="1">
      <t>yu ce zh</t>
    </rPh>
    <phoneticPr fontId="3" type="noConversion"/>
  </si>
  <si>
    <t>2018年4月</t>
    <rPh sb="4" eb="5">
      <t>nian</t>
    </rPh>
    <rPh sb="6" eb="7">
      <t>yue</t>
    </rPh>
    <phoneticPr fontId="3" type="noConversion"/>
  </si>
  <si>
    <t>2018年5月</t>
    <rPh sb="4" eb="5">
      <t>nian</t>
    </rPh>
    <rPh sb="6" eb="7">
      <t>yue</t>
    </rPh>
    <phoneticPr fontId="3" type="noConversion"/>
  </si>
  <si>
    <t>2018年6月</t>
    <rPh sb="4" eb="5">
      <t>nian</t>
    </rPh>
    <rPh sb="6" eb="7">
      <t>yue</t>
    </rPh>
    <phoneticPr fontId="3" type="noConversion"/>
  </si>
  <si>
    <t>2018年7月</t>
    <rPh sb="4" eb="5">
      <t>nian</t>
    </rPh>
    <rPh sb="6" eb="7">
      <t>yue</t>
    </rPh>
    <phoneticPr fontId="3" type="noConversion"/>
  </si>
  <si>
    <t>2018年8月</t>
    <rPh sb="4" eb="5">
      <t>nian</t>
    </rPh>
    <rPh sb="6" eb="7">
      <t>yue</t>
    </rPh>
    <phoneticPr fontId="3" type="noConversion"/>
  </si>
  <si>
    <t>2018年9月</t>
    <rPh sb="4" eb="5">
      <t>nian</t>
    </rPh>
    <rPh sb="6" eb="7">
      <t>yue</t>
    </rPh>
    <phoneticPr fontId="3" type="noConversion"/>
  </si>
  <si>
    <t>2018年10月</t>
    <rPh sb="4" eb="5">
      <t>nian</t>
    </rPh>
    <rPh sb="7" eb="8">
      <t>yue</t>
    </rPh>
    <phoneticPr fontId="3" type="noConversion"/>
  </si>
  <si>
    <t>2018年11月</t>
    <rPh sb="4" eb="5">
      <t>nian</t>
    </rPh>
    <rPh sb="7" eb="8">
      <t>yue</t>
    </rPh>
    <phoneticPr fontId="3" type="noConversion"/>
  </si>
  <si>
    <t>2018年12月</t>
    <rPh sb="4" eb="5">
      <t>nian</t>
    </rPh>
    <rPh sb="7" eb="8">
      <t>yue</t>
    </rPh>
    <phoneticPr fontId="3" type="noConversion"/>
  </si>
  <si>
    <t>2019年Q1</t>
    <rPh sb="4" eb="5">
      <t>nian</t>
    </rPh>
    <phoneticPr fontId="3" type="noConversion"/>
  </si>
  <si>
    <t>2019年Q2</t>
    <rPh sb="4" eb="5">
      <t>nian</t>
    </rPh>
    <phoneticPr fontId="3" type="noConversion"/>
  </si>
  <si>
    <t>2019年Q3</t>
    <rPh sb="4" eb="5">
      <t>nian</t>
    </rPh>
    <phoneticPr fontId="3" type="noConversion"/>
  </si>
  <si>
    <t>2019年Q4</t>
    <rPh sb="4" eb="5">
      <t>nian</t>
    </rPh>
    <phoneticPr fontId="3" type="noConversion"/>
  </si>
  <si>
    <t>2020年Q1</t>
    <rPh sb="4" eb="5">
      <t>nian</t>
    </rPh>
    <phoneticPr fontId="3" type="noConversion"/>
  </si>
  <si>
    <t>2020年Q2</t>
    <rPh sb="4" eb="5">
      <t>nian</t>
    </rPh>
    <phoneticPr fontId="3" type="noConversion"/>
  </si>
  <si>
    <t>2020年Q3</t>
    <rPh sb="4" eb="5">
      <t>nian</t>
    </rPh>
    <phoneticPr fontId="3" type="noConversion"/>
  </si>
  <si>
    <t>2020年Q4</t>
    <rPh sb="4" eb="5">
      <t>nian</t>
    </rPh>
    <phoneticPr fontId="3" type="noConversion"/>
  </si>
  <si>
    <t>淄博</t>
    <phoneticPr fontId="3" type="noConversion"/>
  </si>
  <si>
    <t>武汉</t>
    <phoneticPr fontId="3" type="noConversion"/>
  </si>
  <si>
    <t>重庆</t>
    <phoneticPr fontId="3" type="noConversion"/>
  </si>
  <si>
    <t>净利润</t>
    <phoneticPr fontId="3" type="noConversion"/>
  </si>
  <si>
    <t>加油收入</t>
    <phoneticPr fontId="3" type="noConversion"/>
  </si>
  <si>
    <t>净利率</t>
    <phoneticPr fontId="3" type="noConversion"/>
  </si>
  <si>
    <t>毛利润</t>
    <phoneticPr fontId="3" type="noConversion"/>
  </si>
  <si>
    <t>中心化成本</t>
    <phoneticPr fontId="3" type="noConversion"/>
  </si>
  <si>
    <t>充值收入（万）</t>
    <rPh sb="0" eb="1">
      <t>xiu zheng ban</t>
    </rPh>
    <rPh sb="3" eb="4">
      <t>shou ru</t>
    </rPh>
    <phoneticPr fontId="3" type="noConversion"/>
  </si>
  <si>
    <t>营收(万)</t>
    <rPh sb="0" eb="1">
      <t>ying shiu</t>
    </rPh>
    <phoneticPr fontId="3" type="noConversion"/>
  </si>
  <si>
    <t>含中心成本净利</t>
    <phoneticPr fontId="3" type="noConversion"/>
  </si>
  <si>
    <t>毛利率（淄博）</t>
    <rPh sb="2" eb="3">
      <t>lü</t>
    </rPh>
    <phoneticPr fontId="3" type="noConversion"/>
  </si>
  <si>
    <t>毛利率（P/M）</t>
    <phoneticPr fontId="3" type="noConversion"/>
  </si>
  <si>
    <t>毛利率(平均)</t>
    <phoneticPr fontId="3" type="noConversion"/>
  </si>
  <si>
    <t>净利润</t>
    <rPh sb="0" eb="1">
      <t>li run</t>
    </rPh>
    <phoneticPr fontId="3" type="noConversion"/>
  </si>
  <si>
    <t>含中心成本净利率</t>
    <phoneticPr fontId="3" type="noConversion"/>
  </si>
  <si>
    <t>含中心成本毛利（万）</t>
    <rPh sb="0" eb="1">
      <t>ozng</t>
    </rPh>
    <rPh sb="1" eb="2">
      <t>cheng ben</t>
    </rPh>
    <phoneticPr fontId="3" type="noConversion"/>
  </si>
  <si>
    <t>中心化本（万）</t>
    <phoneticPr fontId="3" type="noConversion"/>
  </si>
  <si>
    <t>城市数量</t>
    <phoneticPr fontId="3" type="noConversion"/>
  </si>
  <si>
    <t>研发成本(万)</t>
    <phoneticPr fontId="3" type="noConversion"/>
  </si>
  <si>
    <t>推广运营(万)</t>
    <phoneticPr fontId="3" type="noConversion"/>
  </si>
  <si>
    <t>阶段</t>
    <phoneticPr fontId="3" type="noConversion"/>
  </si>
  <si>
    <t>2018年底</t>
    <phoneticPr fontId="3" type="noConversion"/>
  </si>
  <si>
    <t>市场人员(万)</t>
    <phoneticPr fontId="3" type="noConversion"/>
  </si>
  <si>
    <t>第二阶段小规模网络效应完成</t>
    <phoneticPr fontId="3" type="noConversion"/>
  </si>
  <si>
    <t>第三阶段主干线节点城市布局完成</t>
    <phoneticPr fontId="3" type="noConversion"/>
  </si>
  <si>
    <t>第四阶段覆盖三线以上及四线重点城市进行中</t>
    <phoneticPr fontId="3" type="noConversion"/>
  </si>
  <si>
    <t>覆盖全国物流柴油使用渗透率5%</t>
    <phoneticPr fontId="3" type="noConversion"/>
  </si>
  <si>
    <t>500-700亿</t>
    <phoneticPr fontId="3" type="noConversion"/>
  </si>
  <si>
    <t>40-50亿</t>
    <phoneticPr fontId="3" type="noConversion"/>
  </si>
  <si>
    <t>3000（启动多元化收入）</t>
    <phoneticPr fontId="3" type="noConversion"/>
  </si>
  <si>
    <t>2.4亿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</si>
</sst>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??_);_(@_)"/>
    <numFmt numFmtId="178" formatCode="0.00_ "/>
    <numFmt numFmtId="179" formatCode="0_ "/>
    <numFmt numFmtId="180" formatCode="0.00_);[Red]\(0.00\)"/>
  </numFmts>
  <fonts count="9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sz val="9"/>
      <name val="DengXian"/>
      <family val="2"/>
      <charset val="134"/>
      <scheme val="minor"/>
    </font>
    <font>
      <sz val="12"/>
      <color rgb="FF444444"/>
      <name val="微软雅黑"/>
      <family val="3"/>
      <charset val="134"/>
    </font>
    <font>
      <sz val="11"/>
      <color theme="1"/>
      <name val="DengXian"/>
      <family val="3"/>
      <charset val="134"/>
      <scheme val="minor"/>
    </font>
    <font>
      <sz val="12"/>
      <color rgb="FF444444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rgb="FF444444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</cellStyleXfs>
  <cellXfs count="6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57" fontId="4" fillId="2" borderId="1" xfId="0" applyNumberFormat="1" applyFont="1" applyFill="1" applyBorder="1" applyAlignment="1">
      <alignment horizontal="left" vertical="center" wrapText="1"/>
    </xf>
    <xf numFmtId="177" fontId="4" fillId="2" borderId="1" xfId="1" applyNumberFormat="1" applyFont="1" applyFill="1" applyBorder="1" applyAlignment="1">
      <alignment horizontal="right" vertical="center"/>
    </xf>
    <xf numFmtId="178" fontId="4" fillId="2" borderId="1" xfId="0" applyNumberFormat="1" applyFont="1" applyFill="1" applyBorder="1" applyAlignment="1">
      <alignment horizontal="right" vertical="center"/>
    </xf>
    <xf numFmtId="179" fontId="4" fillId="2" borderId="1" xfId="0" applyNumberFormat="1" applyFont="1" applyFill="1" applyBorder="1" applyAlignment="1">
      <alignment horizontal="right" vertical="center"/>
    </xf>
    <xf numFmtId="180" fontId="2" fillId="0" borderId="1" xfId="2" applyNumberFormat="1" applyFont="1" applyBorder="1" applyAlignment="1">
      <alignment horizontal="right" vertical="center"/>
    </xf>
    <xf numFmtId="10" fontId="2" fillId="0" borderId="1" xfId="3" applyNumberFormat="1" applyFont="1" applyBorder="1">
      <alignment vertical="center"/>
    </xf>
    <xf numFmtId="57" fontId="4" fillId="3" borderId="1" xfId="0" applyNumberFormat="1" applyFont="1" applyFill="1" applyBorder="1" applyAlignment="1">
      <alignment horizontal="left" vertical="center" wrapText="1"/>
    </xf>
    <xf numFmtId="177" fontId="4" fillId="3" borderId="1" xfId="1" applyNumberFormat="1" applyFont="1" applyFill="1" applyBorder="1" applyAlignment="1">
      <alignment horizontal="right" vertical="center"/>
    </xf>
    <xf numFmtId="178" fontId="4" fillId="3" borderId="1" xfId="0" applyNumberFormat="1" applyFont="1" applyFill="1" applyBorder="1" applyAlignment="1">
      <alignment horizontal="right" vertical="center"/>
    </xf>
    <xf numFmtId="179" fontId="4" fillId="3" borderId="1" xfId="0" applyNumberFormat="1" applyFont="1" applyFill="1" applyBorder="1" applyAlignment="1">
      <alignment horizontal="right" vertical="center"/>
    </xf>
    <xf numFmtId="10" fontId="2" fillId="3" borderId="1" xfId="3" applyNumberFormat="1" applyFont="1" applyFill="1" applyBorder="1">
      <alignment vertical="center"/>
    </xf>
    <xf numFmtId="10" fontId="2" fillId="3" borderId="1" xfId="4" applyNumberFormat="1" applyFont="1" applyFill="1" applyBorder="1">
      <alignment vertical="center"/>
    </xf>
    <xf numFmtId="10" fontId="2" fillId="0" borderId="1" xfId="4" applyNumberFormat="1" applyFont="1" applyBorder="1">
      <alignment vertical="center"/>
    </xf>
    <xf numFmtId="0" fontId="2" fillId="4" borderId="1" xfId="0" applyFont="1" applyFill="1" applyBorder="1" applyAlignment="1">
      <alignment vertical="center"/>
    </xf>
    <xf numFmtId="177" fontId="4" fillId="4" borderId="1" xfId="1" applyNumberFormat="1" applyFont="1" applyFill="1" applyBorder="1" applyAlignment="1">
      <alignment horizontal="right" vertical="center"/>
    </xf>
    <xf numFmtId="177" fontId="2" fillId="0" borderId="1" xfId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vertical="center"/>
    </xf>
    <xf numFmtId="177" fontId="4" fillId="5" borderId="1" xfId="1" applyNumberFormat="1" applyFont="1" applyFill="1" applyBorder="1" applyAlignment="1">
      <alignment horizontal="right" vertical="center"/>
    </xf>
    <xf numFmtId="10" fontId="4" fillId="5" borderId="1" xfId="2" applyNumberFormat="1" applyFont="1" applyFill="1" applyBorder="1" applyAlignment="1">
      <alignment horizontal="right" vertical="center"/>
    </xf>
    <xf numFmtId="179" fontId="4" fillId="5" borderId="1" xfId="0" applyNumberFormat="1" applyFont="1" applyFill="1" applyBorder="1" applyAlignment="1">
      <alignment horizontal="right" vertical="center"/>
    </xf>
    <xf numFmtId="180" fontId="2" fillId="5" borderId="1" xfId="2" applyNumberFormat="1" applyFont="1" applyFill="1" applyBorder="1" applyAlignment="1">
      <alignment horizontal="right" vertical="center"/>
    </xf>
    <xf numFmtId="10" fontId="2" fillId="5" borderId="1" xfId="4" applyNumberFormat="1" applyFont="1" applyFill="1" applyBorder="1">
      <alignment vertical="center"/>
    </xf>
    <xf numFmtId="177" fontId="2" fillId="5" borderId="1" xfId="1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76" fontId="4" fillId="5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0" fontId="4" fillId="0" borderId="1" xfId="2" applyNumberFormat="1" applyFont="1" applyFill="1" applyBorder="1" applyAlignment="1">
      <alignment horizontal="right" vertical="center"/>
    </xf>
    <xf numFmtId="177" fontId="4" fillId="5" borderId="0" xfId="1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177" fontId="4" fillId="7" borderId="1" xfId="1" applyNumberFormat="1" applyFont="1" applyFill="1" applyBorder="1" applyAlignment="1">
      <alignment horizontal="right" vertical="center"/>
    </xf>
    <xf numFmtId="176" fontId="4" fillId="7" borderId="1" xfId="1" applyFont="1" applyFill="1" applyBorder="1" applyAlignment="1">
      <alignment horizontal="right" vertical="center"/>
    </xf>
    <xf numFmtId="176" fontId="4" fillId="7" borderId="1" xfId="1" applyNumberFormat="1" applyFont="1" applyFill="1" applyBorder="1" applyAlignment="1">
      <alignment horizontal="right" vertical="center"/>
    </xf>
    <xf numFmtId="177" fontId="6" fillId="5" borderId="1" xfId="1" applyNumberFormat="1" applyFont="1" applyFill="1" applyBorder="1" applyAlignment="1">
      <alignment horizontal="right" vertical="center"/>
    </xf>
    <xf numFmtId="10" fontId="4" fillId="7" borderId="1" xfId="2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10" fontId="4" fillId="6" borderId="1" xfId="2" applyNumberFormat="1" applyFont="1" applyFill="1" applyBorder="1" applyAlignment="1">
      <alignment horizontal="right" vertical="center"/>
    </xf>
    <xf numFmtId="10" fontId="4" fillId="7" borderId="1" xfId="1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57" fontId="8" fillId="2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/>
    </xf>
    <xf numFmtId="177" fontId="8" fillId="5" borderId="1" xfId="1" applyNumberFormat="1" applyFont="1" applyFill="1" applyBorder="1" applyAlignment="1">
      <alignment horizontal="right" vertical="center"/>
    </xf>
    <xf numFmtId="57" fontId="8" fillId="3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</cellXfs>
  <cellStyles count="5">
    <cellStyle name="百分比" xfId="2" builtinId="5"/>
    <cellStyle name="常规" xfId="0" builtinId="0"/>
    <cellStyle name="常规 2" xfId="4"/>
    <cellStyle name="常规 3" xfId="3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36"/>
  <sheetViews>
    <sheetView tabSelected="1" workbookViewId="0">
      <selection activeCell="J5" sqref="J5"/>
    </sheetView>
  </sheetViews>
  <sheetFormatPr defaultColWidth="11" defaultRowHeight="14.25"/>
  <cols>
    <col min="1" max="1" width="14.5" customWidth="1"/>
    <col min="2" max="2" width="10.25" bestFit="1" customWidth="1"/>
    <col min="3" max="3" width="8.625" customWidth="1"/>
    <col min="4" max="5" width="8" customWidth="1"/>
    <col min="6" max="6" width="7.75" bestFit="1" customWidth="1"/>
    <col min="7" max="7" width="6.25" bestFit="1" customWidth="1"/>
    <col min="8" max="8" width="7.5" bestFit="1" customWidth="1"/>
    <col min="9" max="9" width="8.625" bestFit="1" customWidth="1"/>
    <col min="10" max="10" width="12.75" customWidth="1"/>
    <col min="11" max="11" width="12.75" bestFit="1" customWidth="1"/>
    <col min="12" max="12" width="15.125" hidden="1" customWidth="1"/>
    <col min="13" max="14" width="12" customWidth="1"/>
    <col min="15" max="15" width="15.5" customWidth="1"/>
    <col min="16" max="17" width="13.625" customWidth="1"/>
    <col min="18" max="18" width="16.5" bestFit="1" customWidth="1"/>
    <col min="19" max="19" width="13.625" customWidth="1"/>
    <col min="20" max="20" width="14.125" bestFit="1" customWidth="1"/>
    <col min="21" max="24" width="11" customWidth="1"/>
    <col min="25" max="25" width="21.625" customWidth="1"/>
    <col min="26" max="26" width="28.5" customWidth="1"/>
    <col min="27" max="27" width="16.375" bestFit="1" customWidth="1"/>
    <col min="28" max="28" width="16.375" customWidth="1"/>
    <col min="29" max="30" width="11" customWidth="1"/>
    <col min="31" max="31" width="16.375" bestFit="1" customWidth="1"/>
    <col min="32" max="32" width="13.625" customWidth="1"/>
    <col min="33" max="34" width="11" customWidth="1"/>
    <col min="35" max="35" width="13.625" customWidth="1"/>
    <col min="36" max="36" width="11" customWidth="1"/>
    <col min="37" max="37" width="17.125" customWidth="1"/>
    <col min="38" max="38" width="11" customWidth="1"/>
    <col min="39" max="39" width="10.625" customWidth="1"/>
  </cols>
  <sheetData>
    <row r="1" spans="1:42" ht="17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/>
      <c r="AF1" s="1"/>
      <c r="AG1" s="1"/>
      <c r="AH1" s="1"/>
      <c r="AI1" s="1"/>
      <c r="AJ1" s="1"/>
      <c r="AK1" s="1"/>
      <c r="AL1" s="1"/>
      <c r="AN1" s="46" t="s">
        <v>17</v>
      </c>
      <c r="AO1" s="46"/>
      <c r="AP1" s="46"/>
    </row>
    <row r="2" spans="1:42" ht="17.25">
      <c r="A2" s="3"/>
      <c r="B2" s="47" t="s">
        <v>1</v>
      </c>
      <c r="C2" s="48"/>
      <c r="D2" s="49"/>
      <c r="E2" s="45"/>
      <c r="F2" s="47" t="s">
        <v>2</v>
      </c>
      <c r="G2" s="48"/>
      <c r="H2" s="49"/>
      <c r="I2" s="47" t="s">
        <v>3</v>
      </c>
      <c r="J2" s="48"/>
      <c r="K2" s="49"/>
      <c r="L2" s="27" t="s">
        <v>4</v>
      </c>
      <c r="M2" s="27" t="s">
        <v>5</v>
      </c>
      <c r="N2" s="36" t="s">
        <v>45</v>
      </c>
      <c r="O2" s="36" t="s">
        <v>49</v>
      </c>
      <c r="P2" s="27" t="s">
        <v>21</v>
      </c>
      <c r="Q2" s="36" t="s">
        <v>47</v>
      </c>
      <c r="R2" s="36" t="s">
        <v>53</v>
      </c>
      <c r="S2" s="36" t="s">
        <v>54</v>
      </c>
      <c r="T2" s="3" t="s">
        <v>6</v>
      </c>
      <c r="U2" s="27" t="s">
        <v>7</v>
      </c>
      <c r="V2" s="36" t="s">
        <v>48</v>
      </c>
      <c r="W2" s="27" t="s">
        <v>8</v>
      </c>
      <c r="X2" s="36" t="s">
        <v>8</v>
      </c>
      <c r="Y2" s="27" t="s">
        <v>9</v>
      </c>
      <c r="Z2" s="36" t="s">
        <v>9</v>
      </c>
      <c r="AA2" s="36" t="s">
        <v>51</v>
      </c>
      <c r="AB2" s="36" t="s">
        <v>56</v>
      </c>
      <c r="AC2" s="27" t="s">
        <v>10</v>
      </c>
      <c r="AD2" s="36" t="s">
        <v>44</v>
      </c>
      <c r="AE2" s="29" t="s">
        <v>52</v>
      </c>
      <c r="AF2" s="42" t="s">
        <v>22</v>
      </c>
      <c r="AG2" s="27" t="s">
        <v>11</v>
      </c>
      <c r="AH2" s="36" t="s">
        <v>46</v>
      </c>
      <c r="AI2" s="3" t="s">
        <v>12</v>
      </c>
      <c r="AJ2" s="3" t="s">
        <v>13</v>
      </c>
      <c r="AK2" s="3" t="s">
        <v>14</v>
      </c>
      <c r="AL2" s="3" t="s">
        <v>15</v>
      </c>
      <c r="AM2" s="3" t="s">
        <v>16</v>
      </c>
      <c r="AN2" s="17" t="s">
        <v>18</v>
      </c>
      <c r="AO2" s="17" t="s">
        <v>19</v>
      </c>
      <c r="AP2" s="17" t="s">
        <v>20</v>
      </c>
    </row>
    <row r="3" spans="1:42" ht="17.25">
      <c r="A3" s="3"/>
      <c r="B3" s="33" t="s">
        <v>41</v>
      </c>
      <c r="C3" s="34" t="s">
        <v>42</v>
      </c>
      <c r="D3" s="35" t="s">
        <v>43</v>
      </c>
      <c r="E3" s="45"/>
      <c r="F3" s="33" t="s">
        <v>41</v>
      </c>
      <c r="G3" s="34" t="s">
        <v>42</v>
      </c>
      <c r="H3" s="35" t="s">
        <v>43</v>
      </c>
      <c r="I3" s="33" t="s">
        <v>41</v>
      </c>
      <c r="J3" s="34" t="s">
        <v>42</v>
      </c>
      <c r="K3" s="35" t="s">
        <v>43</v>
      </c>
      <c r="L3" s="27"/>
      <c r="M3" s="27"/>
      <c r="N3" s="36"/>
      <c r="O3" s="36"/>
      <c r="P3" s="27"/>
      <c r="Q3" s="36"/>
      <c r="R3" s="36"/>
      <c r="S3" s="36"/>
      <c r="T3" s="3"/>
      <c r="U3" s="27"/>
      <c r="V3" s="36"/>
      <c r="W3" s="27"/>
      <c r="X3" s="36"/>
      <c r="Y3" s="27"/>
      <c r="Z3" s="36"/>
      <c r="AA3" s="36"/>
      <c r="AB3" s="36"/>
      <c r="AC3" s="27"/>
      <c r="AD3" s="36"/>
      <c r="AE3" s="29"/>
      <c r="AF3" s="42"/>
      <c r="AG3" s="27"/>
      <c r="AH3" s="36"/>
      <c r="AI3" s="3"/>
      <c r="AJ3" s="3"/>
      <c r="AK3" s="3"/>
      <c r="AL3" s="3"/>
      <c r="AM3" s="3"/>
      <c r="AN3" s="17"/>
      <c r="AO3" s="17"/>
      <c r="AP3" s="17"/>
    </row>
    <row r="4" spans="1:42" ht="17.25">
      <c r="A4" s="4">
        <v>42948</v>
      </c>
      <c r="B4" s="5">
        <v>4630</v>
      </c>
      <c r="C4" s="5">
        <v>5250</v>
      </c>
      <c r="D4" s="5">
        <v>5500</v>
      </c>
      <c r="E4" s="5"/>
      <c r="F4" s="6">
        <v>4.4000000000000004</v>
      </c>
      <c r="G4" s="6">
        <v>4.8</v>
      </c>
      <c r="H4" s="6">
        <v>5.4</v>
      </c>
      <c r="I4" s="5">
        <f t="shared" ref="I4:K11" si="0">F4*1187</f>
        <v>5222.8</v>
      </c>
      <c r="J4" s="5">
        <f t="shared" si="0"/>
        <v>5697.5999999999995</v>
      </c>
      <c r="K4" s="5">
        <f t="shared" si="0"/>
        <v>6409.8</v>
      </c>
      <c r="L4" s="21">
        <f>(B4/1187)*AI4</f>
        <v>806000.74509088404</v>
      </c>
      <c r="M4" s="21">
        <f>F4*AI4</f>
        <v>909196.69362001494</v>
      </c>
      <c r="N4" s="37">
        <f>F4*AO4+G4*AN4+H4*AP4</f>
        <v>975686.98066293751</v>
      </c>
      <c r="O4" s="38">
        <v>124</v>
      </c>
      <c r="P4" s="28">
        <f>(F4-B4/1187)*AI4</f>
        <v>103195.94852913092</v>
      </c>
      <c r="Q4" s="39">
        <f>(F4-B4/1187)*AO4+(G4-C4/1187)*AN4+(H4-D4/1187)*AP4</f>
        <v>112897.66029245546</v>
      </c>
      <c r="R4" s="44">
        <f>Q4/N4</f>
        <v>0.11571094267932769</v>
      </c>
      <c r="S4" s="44">
        <f>((I4+J4+K4)-(B4+C4+D4))/(I4+J4+K4)</f>
        <v>0.11253188076306105</v>
      </c>
      <c r="T4" s="5">
        <v>35558.31</v>
      </c>
      <c r="U4" s="21">
        <v>25000</v>
      </c>
      <c r="V4" s="37">
        <v>25000</v>
      </c>
      <c r="W4" s="21">
        <v>20000</v>
      </c>
      <c r="X4" s="37">
        <v>31000</v>
      </c>
      <c r="Y4" s="21">
        <v>0</v>
      </c>
      <c r="Z4" s="37">
        <v>14000</v>
      </c>
      <c r="AA4" s="37">
        <f>Q4-T4-X4-Z4</f>
        <v>32339.350292455463</v>
      </c>
      <c r="AB4" s="44">
        <f>AA4/N4</f>
        <v>3.3145210434684963E-2</v>
      </c>
      <c r="AC4" s="21">
        <f>Q4-T4-X4-Z4</f>
        <v>32339.350292455463</v>
      </c>
      <c r="AD4" s="37">
        <f>Q4-T4-V4-X4-Z4</f>
        <v>7339.3502924554632</v>
      </c>
      <c r="AE4" s="30">
        <f t="shared" ref="AE4:AE11" si="1">(I4-B4)/I4</f>
        <v>0.1135023359117715</v>
      </c>
      <c r="AF4" s="43">
        <v>0.12</v>
      </c>
      <c r="AG4" s="22">
        <f>AC4/M4</f>
        <v>3.5569146389759318E-2</v>
      </c>
      <c r="AH4" s="41">
        <f>AD4/N4</f>
        <v>7.5222386256181151E-3</v>
      </c>
      <c r="AI4" s="5">
        <v>206635.61218636701</v>
      </c>
      <c r="AJ4" s="7">
        <v>340</v>
      </c>
      <c r="AK4" s="8">
        <f>AI4/AJ4</f>
        <v>607.75180054813825</v>
      </c>
      <c r="AL4" s="9">
        <v>0.790569395017794</v>
      </c>
      <c r="AM4" s="19">
        <v>318</v>
      </c>
      <c r="AN4" s="18">
        <v>35152.538792376399</v>
      </c>
      <c r="AO4" s="18">
        <v>119053.792293548</v>
      </c>
      <c r="AP4" s="18">
        <v>52429.279327392498</v>
      </c>
    </row>
    <row r="5" spans="1:42" ht="17.25">
      <c r="A5" s="10">
        <v>42979</v>
      </c>
      <c r="B5" s="11">
        <v>5055</v>
      </c>
      <c r="C5" s="11">
        <v>5280</v>
      </c>
      <c r="D5" s="11">
        <v>5420</v>
      </c>
      <c r="E5" s="11"/>
      <c r="F5" s="12">
        <v>4.6500000000000004</v>
      </c>
      <c r="G5" s="12">
        <v>4.8</v>
      </c>
      <c r="H5" s="12">
        <v>5.5</v>
      </c>
      <c r="I5" s="11">
        <f t="shared" si="0"/>
        <v>5519.55</v>
      </c>
      <c r="J5" s="11">
        <f t="shared" si="0"/>
        <v>5697.5999999999995</v>
      </c>
      <c r="K5" s="11">
        <f t="shared" si="0"/>
        <v>6528.5</v>
      </c>
      <c r="L5" s="21">
        <f>(B5/1187)*AI5</f>
        <v>1428786.1374418826</v>
      </c>
      <c r="M5" s="21">
        <f>F5*AI5</f>
        <v>1560090.311556349</v>
      </c>
      <c r="N5" s="37">
        <f>F5*AO5+G5*AN5+H5*AP5</f>
        <v>1604174.0903163855</v>
      </c>
      <c r="O5" s="38">
        <v>144.5</v>
      </c>
      <c r="P5" s="21">
        <f>(F5-B5/1187)*AI5</f>
        <v>131304.17411446641</v>
      </c>
      <c r="Q5" s="39">
        <f>(F5-B5/1187)*AO5+(G5-C5/1187)*AN5+(H5-D5/1187)*AP5</f>
        <v>143687.71444934563</v>
      </c>
      <c r="R5" s="44">
        <f t="shared" ref="R5:R11" si="2">Q5/N5</f>
        <v>8.9571147743077326E-2</v>
      </c>
      <c r="S5" s="44">
        <f t="shared" ref="S5:S11" si="3">((I5+J5+K5)-(B5+C5+D5))/(I5+J5+K5)</f>
        <v>0.11217678698723356</v>
      </c>
      <c r="T5" s="11">
        <v>41405.22</v>
      </c>
      <c r="U5" s="21">
        <v>100000</v>
      </c>
      <c r="V5" s="37">
        <v>45000</v>
      </c>
      <c r="W5" s="21">
        <v>90000</v>
      </c>
      <c r="X5" s="37">
        <v>46000</v>
      </c>
      <c r="Y5" s="21">
        <v>45000</v>
      </c>
      <c r="Z5" s="37">
        <v>23000</v>
      </c>
      <c r="AA5" s="37">
        <f t="shared" ref="AA5:AA11" si="4">Q5-T5-X5-Z5</f>
        <v>33282.494449345628</v>
      </c>
      <c r="AB5" s="44">
        <f t="shared" ref="AB5:AB11" si="5">AA5/N5</f>
        <v>2.0747432993872529E-2</v>
      </c>
      <c r="AC5" s="21">
        <f t="shared" ref="AC5:AC11" si="6">Q5-T5-X5-Z5</f>
        <v>33282.494449345628</v>
      </c>
      <c r="AD5" s="37">
        <f t="shared" ref="AD5:AD11" si="7">Q5-T5-V5-X5-Z5</f>
        <v>-11717.505550654372</v>
      </c>
      <c r="AE5" s="30">
        <f t="shared" si="1"/>
        <v>8.4164469929613864E-2</v>
      </c>
      <c r="AF5" s="43">
        <v>0.1285</v>
      </c>
      <c r="AG5" s="22">
        <f t="shared" ref="AG5:AG11" si="8">AC5/M5</f>
        <v>2.133369728842361E-2</v>
      </c>
      <c r="AH5" s="41">
        <f>AD5/N5</f>
        <v>-7.3043852418432781E-3</v>
      </c>
      <c r="AI5" s="11">
        <v>335503.29280781699</v>
      </c>
      <c r="AJ5" s="13">
        <v>623</v>
      </c>
      <c r="AK5" s="8">
        <f t="shared" ref="AK5:AK11" si="9">AI5/AJ5</f>
        <v>538.52855988413637</v>
      </c>
      <c r="AL5" s="14">
        <v>0.80516014234875399</v>
      </c>
      <c r="AM5" s="20">
        <v>597</v>
      </c>
      <c r="AN5" s="11">
        <v>116434.991294145</v>
      </c>
      <c r="AO5" s="11">
        <v>187752.38378906201</v>
      </c>
      <c r="AP5" s="11">
        <v>31315.917724609299</v>
      </c>
    </row>
    <row r="6" spans="1:42" ht="17.25">
      <c r="A6" s="4">
        <v>43009</v>
      </c>
      <c r="B6" s="5">
        <v>5390</v>
      </c>
      <c r="C6" s="5">
        <v>6010</v>
      </c>
      <c r="D6" s="5">
        <v>6320</v>
      </c>
      <c r="E6" s="5"/>
      <c r="F6" s="6">
        <v>4.93</v>
      </c>
      <c r="G6" s="6">
        <v>5.85</v>
      </c>
      <c r="H6" s="6">
        <v>6.18</v>
      </c>
      <c r="I6" s="5">
        <f t="shared" si="0"/>
        <v>5851.91</v>
      </c>
      <c r="J6" s="5">
        <f t="shared" si="0"/>
        <v>6943.95</v>
      </c>
      <c r="K6" s="5">
        <f t="shared" si="0"/>
        <v>7335.66</v>
      </c>
      <c r="L6" s="28">
        <f>(B6/1187)*AI6</f>
        <v>2260191.5014921417</v>
      </c>
      <c r="M6" s="21">
        <f>F6*AI6</f>
        <v>2453884.4618732613</v>
      </c>
      <c r="N6" s="37">
        <f>F6*AO6+G6*AN6+H6*AP6</f>
        <v>2701030.897449051</v>
      </c>
      <c r="O6" s="38">
        <v>291</v>
      </c>
      <c r="P6" s="21">
        <f>(F6-B6/1187)*AI6</f>
        <v>193692.96038111957</v>
      </c>
      <c r="Q6" s="39">
        <f>(F6-B6/1187)*AO6+(G6-C6/1187)*AN6+(H6-D6/1187)*AP6</f>
        <v>289696.51740451076</v>
      </c>
      <c r="R6" s="44">
        <f t="shared" si="2"/>
        <v>0.1072540553601628</v>
      </c>
      <c r="S6" s="44">
        <f t="shared" si="3"/>
        <v>0.11978827232121571</v>
      </c>
      <c r="T6" s="5">
        <v>86434.2</v>
      </c>
      <c r="U6" s="21">
        <v>100000</v>
      </c>
      <c r="V6" s="37">
        <v>50000</v>
      </c>
      <c r="W6" s="21">
        <v>90000</v>
      </c>
      <c r="X6" s="37">
        <v>53000</v>
      </c>
      <c r="Y6" s="21">
        <v>45000</v>
      </c>
      <c r="Z6" s="37">
        <v>26000</v>
      </c>
      <c r="AA6" s="37">
        <f t="shared" si="4"/>
        <v>124262.31740451074</v>
      </c>
      <c r="AB6" s="44">
        <f t="shared" si="5"/>
        <v>4.6005514976473788E-2</v>
      </c>
      <c r="AC6" s="21">
        <f t="shared" si="6"/>
        <v>124262.31740451074</v>
      </c>
      <c r="AD6" s="37">
        <f t="shared" si="7"/>
        <v>74262.317404510744</v>
      </c>
      <c r="AE6" s="30">
        <f t="shared" si="1"/>
        <v>7.8933203005514416E-2</v>
      </c>
      <c r="AF6" s="43">
        <v>0.2334</v>
      </c>
      <c r="AG6" s="22">
        <f t="shared" si="8"/>
        <v>5.0639025322997737E-2</v>
      </c>
      <c r="AH6" s="41">
        <f>AD6/N6</f>
        <v>2.749406438654467E-2</v>
      </c>
      <c r="AI6" s="5">
        <v>497745.32695198001</v>
      </c>
      <c r="AJ6" s="7">
        <v>642</v>
      </c>
      <c r="AK6" s="8">
        <f t="shared" si="9"/>
        <v>775.30424758875392</v>
      </c>
      <c r="AL6" s="9">
        <v>0.73686832740213504</v>
      </c>
      <c r="AM6" s="19">
        <v>608</v>
      </c>
      <c r="AN6" s="18">
        <v>69329.2684040069</v>
      </c>
      <c r="AO6" s="18">
        <v>281725.25163269002</v>
      </c>
      <c r="AP6" s="18">
        <v>146690.806915283</v>
      </c>
    </row>
    <row r="7" spans="1:42" ht="17.25">
      <c r="A7" s="10">
        <v>43040</v>
      </c>
      <c r="B7" s="11">
        <v>6075</v>
      </c>
      <c r="C7" s="11">
        <v>6980</v>
      </c>
      <c r="D7" s="11">
        <v>7180</v>
      </c>
      <c r="E7" s="11"/>
      <c r="F7" s="12">
        <v>5.49</v>
      </c>
      <c r="G7" s="12">
        <v>6.18</v>
      </c>
      <c r="H7" s="12">
        <v>6.46</v>
      </c>
      <c r="I7" s="11">
        <f t="shared" si="0"/>
        <v>6516.63</v>
      </c>
      <c r="J7" s="11">
        <f t="shared" si="0"/>
        <v>7335.66</v>
      </c>
      <c r="K7" s="11">
        <f t="shared" si="0"/>
        <v>7668.0199999999995</v>
      </c>
      <c r="L7" s="21">
        <f>(B7/1187)*AI7</f>
        <v>2544778.0855100048</v>
      </c>
      <c r="M7" s="21">
        <f>F7*AI7</f>
        <v>2729774.0272225621</v>
      </c>
      <c r="N7" s="37">
        <f>F7*AO7+G7*AN7+H7*AP7</f>
        <v>2943129.8150722915</v>
      </c>
      <c r="O7" s="38">
        <v>308.55</v>
      </c>
      <c r="P7" s="21">
        <f>(F7-B7/1187)*AI7</f>
        <v>184995.94171255728</v>
      </c>
      <c r="Q7" s="39">
        <f>(F7-B7/1187)*AO7+(G7-C7/1187)*AN7+(H7-D7/1187)*AP7</f>
        <v>184112.20629172836</v>
      </c>
      <c r="R7" s="44">
        <f t="shared" si="2"/>
        <v>6.2556603976099523E-2</v>
      </c>
      <c r="S7" s="44">
        <f t="shared" si="3"/>
        <v>5.9725440758056053E-2</v>
      </c>
      <c r="T7" s="11">
        <v>87750</v>
      </c>
      <c r="U7" s="21">
        <v>100000</v>
      </c>
      <c r="V7" s="37">
        <v>60000</v>
      </c>
      <c r="W7" s="21">
        <v>90000</v>
      </c>
      <c r="X7" s="37">
        <v>53000</v>
      </c>
      <c r="Y7" s="21">
        <v>45000</v>
      </c>
      <c r="Z7" s="37">
        <v>19000</v>
      </c>
      <c r="AA7" s="37">
        <f t="shared" si="4"/>
        <v>24362.206291728362</v>
      </c>
      <c r="AB7" s="44">
        <f t="shared" si="5"/>
        <v>8.2776526427632141E-3</v>
      </c>
      <c r="AC7" s="21">
        <f t="shared" si="6"/>
        <v>24362.206291728362</v>
      </c>
      <c r="AD7" s="37">
        <f t="shared" si="7"/>
        <v>-35637.793708271638</v>
      </c>
      <c r="AE7" s="30">
        <f t="shared" si="1"/>
        <v>6.7769690775753746E-2</v>
      </c>
      <c r="AF7" s="43">
        <v>0.20979999999999999</v>
      </c>
      <c r="AG7" s="22">
        <f t="shared" si="8"/>
        <v>8.9246238145638569E-3</v>
      </c>
      <c r="AH7" s="41">
        <f>AD7/N7</f>
        <v>-1.210880795191709E-2</v>
      </c>
      <c r="AI7" s="11">
        <v>497226.59876549401</v>
      </c>
      <c r="AJ7" s="13">
        <v>817</v>
      </c>
      <c r="AK7" s="8">
        <f t="shared" si="9"/>
        <v>608.60048808505996</v>
      </c>
      <c r="AL7" s="15">
        <v>0.77280701754386005</v>
      </c>
      <c r="AM7" s="20">
        <v>789</v>
      </c>
      <c r="AN7" s="11">
        <v>94584.914424064104</v>
      </c>
      <c r="AO7" s="11">
        <v>249969.31640625</v>
      </c>
      <c r="AP7" s="11">
        <v>152672.36793517999</v>
      </c>
    </row>
    <row r="8" spans="1:42" ht="17.25">
      <c r="A8" s="4">
        <v>43070</v>
      </c>
      <c r="B8" s="5">
        <v>5780</v>
      </c>
      <c r="C8" s="5">
        <v>6750</v>
      </c>
      <c r="D8" s="5">
        <v>7110</v>
      </c>
      <c r="E8" s="5"/>
      <c r="F8" s="6">
        <v>5.35</v>
      </c>
      <c r="G8" s="6">
        <v>6.25</v>
      </c>
      <c r="H8" s="6">
        <v>6.65</v>
      </c>
      <c r="I8" s="5">
        <f t="shared" si="0"/>
        <v>6350.45</v>
      </c>
      <c r="J8" s="5">
        <f t="shared" si="0"/>
        <v>7418.75</v>
      </c>
      <c r="K8" s="5">
        <f t="shared" si="0"/>
        <v>7893.55</v>
      </c>
      <c r="L8" s="21">
        <f>(B8/1187)*AI8</f>
        <v>2486104.8448743219</v>
      </c>
      <c r="M8" s="21">
        <f>F8*AI8</f>
        <v>2731467.90867338</v>
      </c>
      <c r="N8" s="37">
        <f>F8*AO8+G8*AN8+H8*AP8</f>
        <v>2980719.7349461527</v>
      </c>
      <c r="O8" s="38">
        <v>314.5</v>
      </c>
      <c r="P8" s="21">
        <f>(F8-B8/1187)*AI8</f>
        <v>245363.06379905797</v>
      </c>
      <c r="Q8" s="39">
        <f>(F8-B8/1187)*AO8+(G8-C8/1187)*AN8+(H8-D8/1187)*AP8</f>
        <v>277830.7133989227</v>
      </c>
      <c r="R8" s="44">
        <f t="shared" si="2"/>
        <v>9.3209270949434556E-2</v>
      </c>
      <c r="S8" s="44">
        <f t="shared" si="3"/>
        <v>9.3374571557166108E-2</v>
      </c>
      <c r="T8" s="5">
        <v>88628.3</v>
      </c>
      <c r="U8" s="21">
        <v>100000</v>
      </c>
      <c r="V8" s="37">
        <v>60000</v>
      </c>
      <c r="W8" s="21">
        <v>90000</v>
      </c>
      <c r="X8" s="37">
        <v>53000</v>
      </c>
      <c r="Y8" s="21">
        <v>45000</v>
      </c>
      <c r="Z8" s="37">
        <v>19000</v>
      </c>
      <c r="AA8" s="37">
        <f t="shared" si="4"/>
        <v>117202.41339892271</v>
      </c>
      <c r="AB8" s="44">
        <f t="shared" si="5"/>
        <v>3.932017224727101E-2</v>
      </c>
      <c r="AC8" s="21">
        <f t="shared" si="6"/>
        <v>117202.41339892271</v>
      </c>
      <c r="AD8" s="37">
        <f t="shared" si="7"/>
        <v>57202.413398922712</v>
      </c>
      <c r="AE8" s="30">
        <f t="shared" si="1"/>
        <v>8.9828279885677362E-2</v>
      </c>
      <c r="AF8" s="43">
        <v>0.2833</v>
      </c>
      <c r="AG8" s="22">
        <f t="shared" si="8"/>
        <v>4.2908215405629863E-2</v>
      </c>
      <c r="AH8" s="41">
        <f>AD8/N8</f>
        <v>1.9190805740062673E-2</v>
      </c>
      <c r="AI8" s="5">
        <v>510554.74928474397</v>
      </c>
      <c r="AJ8" s="7">
        <v>703</v>
      </c>
      <c r="AK8" s="8">
        <f t="shared" si="9"/>
        <v>726.25142145767279</v>
      </c>
      <c r="AL8" s="16">
        <v>0.74175438596491206</v>
      </c>
      <c r="AM8" s="19">
        <v>671</v>
      </c>
      <c r="AN8" s="18">
        <v>47105.220018386797</v>
      </c>
      <c r="AO8" s="18">
        <v>304328.66137695301</v>
      </c>
      <c r="AP8" s="18">
        <v>159120.86788940401</v>
      </c>
    </row>
    <row r="9" spans="1:42" ht="17.25">
      <c r="A9" s="10">
        <v>43101</v>
      </c>
      <c r="B9" s="11">
        <v>5025</v>
      </c>
      <c r="C9" s="11">
        <v>6260</v>
      </c>
      <c r="D9" s="11">
        <v>6580</v>
      </c>
      <c r="E9" s="11"/>
      <c r="F9" s="12">
        <v>4.8499999999999996</v>
      </c>
      <c r="G9" s="12">
        <v>6.2</v>
      </c>
      <c r="H9" s="12">
        <v>6.45</v>
      </c>
      <c r="I9" s="11">
        <f t="shared" si="0"/>
        <v>5756.95</v>
      </c>
      <c r="J9" s="11">
        <f t="shared" si="0"/>
        <v>7359.4000000000005</v>
      </c>
      <c r="K9" s="11">
        <f t="shared" si="0"/>
        <v>7656.1500000000005</v>
      </c>
      <c r="L9" s="21">
        <f>(B9/1187)*AI9</f>
        <v>1406727.4904899073</v>
      </c>
      <c r="M9" s="21">
        <f>F9*AI9</f>
        <v>1611633.7962937055</v>
      </c>
      <c r="N9" s="37">
        <f>F9*AO9+G9*AN9+H9*AP9</f>
        <v>1774590.6859852825</v>
      </c>
      <c r="O9" s="38">
        <v>245</v>
      </c>
      <c r="P9" s="21">
        <f>(F9-B9/1187)*AI9</f>
        <v>204906.30580379826</v>
      </c>
      <c r="Q9" s="39">
        <f>(F9-B9/1187)*AO9+(G9-C9/1187)*AN9+(H9-D9/1187)*AP9</f>
        <v>234644.19924487153</v>
      </c>
      <c r="R9" s="44">
        <f t="shared" si="2"/>
        <v>0.13222440594214724</v>
      </c>
      <c r="S9" s="44">
        <f t="shared" si="3"/>
        <v>0.13996870862919725</v>
      </c>
      <c r="T9" s="11">
        <v>45690</v>
      </c>
      <c r="U9" s="21">
        <v>100000</v>
      </c>
      <c r="V9" s="37">
        <v>60000</v>
      </c>
      <c r="W9" s="21">
        <v>90000</v>
      </c>
      <c r="X9" s="37">
        <v>53000</v>
      </c>
      <c r="Y9" s="21">
        <v>45000</v>
      </c>
      <c r="Z9" s="37">
        <v>15000</v>
      </c>
      <c r="AA9" s="37">
        <f t="shared" si="4"/>
        <v>120954.19924487153</v>
      </c>
      <c r="AB9" s="44">
        <f t="shared" si="5"/>
        <v>6.8158928253202078E-2</v>
      </c>
      <c r="AC9" s="21">
        <f t="shared" si="6"/>
        <v>120954.19924487153</v>
      </c>
      <c r="AD9" s="37">
        <f t="shared" si="7"/>
        <v>60954.199244871532</v>
      </c>
      <c r="AE9" s="30">
        <f t="shared" si="1"/>
        <v>0.12714197622004705</v>
      </c>
      <c r="AF9" s="43"/>
      <c r="AG9" s="22">
        <f t="shared" si="8"/>
        <v>7.5050671885282763E-2</v>
      </c>
      <c r="AH9" s="41">
        <f>AD9/N9</f>
        <v>3.4348314643063024E-2</v>
      </c>
      <c r="AI9" s="11">
        <v>332295.62810179498</v>
      </c>
      <c r="AJ9" s="13">
        <v>290</v>
      </c>
      <c r="AK9" s="8">
        <f t="shared" si="9"/>
        <v>1145.8469934544655</v>
      </c>
      <c r="AL9" s="15">
        <v>0.82543859649122797</v>
      </c>
      <c r="AM9" s="20">
        <v>258</v>
      </c>
      <c r="AN9" s="11">
        <v>3151.6899914443402</v>
      </c>
      <c r="AO9" s="11">
        <v>229955.120483398</v>
      </c>
      <c r="AP9" s="11">
        <v>99188.817626953096</v>
      </c>
    </row>
    <row r="10" spans="1:42" ht="17.25">
      <c r="A10" s="4">
        <v>43132</v>
      </c>
      <c r="B10" s="5">
        <v>4880</v>
      </c>
      <c r="C10" s="5">
        <v>5750</v>
      </c>
      <c r="D10" s="5">
        <v>6420</v>
      </c>
      <c r="E10" s="5"/>
      <c r="F10" s="6">
        <v>4.7</v>
      </c>
      <c r="G10" s="6">
        <v>5.95</v>
      </c>
      <c r="H10" s="6">
        <v>6.05</v>
      </c>
      <c r="I10" s="5">
        <f t="shared" si="0"/>
        <v>5578.9000000000005</v>
      </c>
      <c r="J10" s="5">
        <f t="shared" si="0"/>
        <v>7062.6500000000005</v>
      </c>
      <c r="K10" s="5">
        <f t="shared" si="0"/>
        <v>7181.3499999999995</v>
      </c>
      <c r="L10" s="21">
        <f>(B10/1187)*AI10</f>
        <v>675380.95008342178</v>
      </c>
      <c r="M10" s="21">
        <f>F10*AI10</f>
        <v>772107.12754516443</v>
      </c>
      <c r="N10" s="37">
        <f>F10*AO10+G10*AN10+H10*AP10</f>
        <v>860276.44536132738</v>
      </c>
      <c r="O10" s="38">
        <v>45</v>
      </c>
      <c r="P10" s="21">
        <f>(F10-B10/1187)*AI10</f>
        <v>96726.177461742627</v>
      </c>
      <c r="Q10" s="39">
        <f>(F10-B10/1187)*AO10+(G10-C10/1187)*AN10+(H10-D10/1187)*AP10</f>
        <v>106329.26776887142</v>
      </c>
      <c r="R10" s="44">
        <f t="shared" si="2"/>
        <v>0.12359895280430667</v>
      </c>
      <c r="S10" s="44">
        <f t="shared" si="3"/>
        <v>0.13988366989693746</v>
      </c>
      <c r="T10" s="5">
        <v>20105</v>
      </c>
      <c r="U10" s="21">
        <v>100000</v>
      </c>
      <c r="V10" s="37">
        <v>60000</v>
      </c>
      <c r="W10" s="21">
        <v>90000</v>
      </c>
      <c r="X10" s="37">
        <v>75000</v>
      </c>
      <c r="Y10" s="21">
        <v>45000</v>
      </c>
      <c r="Z10" s="37">
        <v>12000</v>
      </c>
      <c r="AA10" s="37">
        <f t="shared" si="4"/>
        <v>-775.7322311285825</v>
      </c>
      <c r="AB10" s="44">
        <f t="shared" si="5"/>
        <v>-9.0172436466369227E-4</v>
      </c>
      <c r="AC10" s="21">
        <f t="shared" si="6"/>
        <v>-775.7322311285825</v>
      </c>
      <c r="AD10" s="37">
        <f t="shared" si="7"/>
        <v>-60775.732231128582</v>
      </c>
      <c r="AE10" s="30">
        <f t="shared" si="1"/>
        <v>0.12527559196257335</v>
      </c>
      <c r="AF10" s="43"/>
      <c r="AG10" s="22">
        <f t="shared" si="8"/>
        <v>-1.0046950785118948E-3</v>
      </c>
      <c r="AH10" s="41">
        <f>AD10/N10</f>
        <v>-7.0646746820554843E-2</v>
      </c>
      <c r="AI10" s="5">
        <v>164278.11224365199</v>
      </c>
      <c r="AJ10" s="7">
        <v>132</v>
      </c>
      <c r="AK10" s="8">
        <f t="shared" si="9"/>
        <v>1244.531153361</v>
      </c>
      <c r="AL10" s="16">
        <v>0.87271880819366798</v>
      </c>
      <c r="AM10" s="19">
        <v>123</v>
      </c>
      <c r="AN10" s="18">
        <v>13167.619140625</v>
      </c>
      <c r="AO10" s="18">
        <v>97992.127258300694</v>
      </c>
      <c r="AP10" s="18">
        <v>53118.365844726497</v>
      </c>
    </row>
    <row r="11" spans="1:42" ht="17.25">
      <c r="A11" s="10">
        <v>43160</v>
      </c>
      <c r="B11" s="11">
        <v>4820</v>
      </c>
      <c r="C11" s="11">
        <v>5760</v>
      </c>
      <c r="D11" s="11">
        <v>6050</v>
      </c>
      <c r="E11" s="11"/>
      <c r="F11" s="12">
        <v>4.5999999999999996</v>
      </c>
      <c r="G11" s="12">
        <v>5.75</v>
      </c>
      <c r="H11" s="12">
        <v>5.85</v>
      </c>
      <c r="I11" s="11">
        <f t="shared" si="0"/>
        <v>5460.2</v>
      </c>
      <c r="J11" s="11">
        <f t="shared" si="0"/>
        <v>6825.25</v>
      </c>
      <c r="K11" s="11">
        <f t="shared" si="0"/>
        <v>6943.95</v>
      </c>
      <c r="L11" s="21">
        <f>(B11/1187)*AI11</f>
        <v>95922.263689974716</v>
      </c>
      <c r="M11" s="21">
        <f>F11*AI11</f>
        <v>108662.80999999998</v>
      </c>
      <c r="N11" s="37">
        <f>F11*AO11+G11*AN11+H11*AP11</f>
        <v>1365557.7</v>
      </c>
      <c r="O11" s="38">
        <v>95</v>
      </c>
      <c r="P11" s="21">
        <f>(F11-B11/1187)*AI11</f>
        <v>12740.546310025264</v>
      </c>
      <c r="Q11" s="39">
        <f>(F11-B11/1187)*AO11+(G11-C11/1187)*AN11+(H11-D11/1187)*AP11</f>
        <v>174734.70084245992</v>
      </c>
      <c r="R11" s="44">
        <f t="shared" si="2"/>
        <v>0.1279584896650357</v>
      </c>
      <c r="S11" s="44">
        <f t="shared" si="3"/>
        <v>0.13517842470383898</v>
      </c>
      <c r="T11" s="40">
        <v>0</v>
      </c>
      <c r="U11" s="21">
        <v>100000</v>
      </c>
      <c r="V11" s="37">
        <v>100000</v>
      </c>
      <c r="W11" s="21">
        <v>90000</v>
      </c>
      <c r="X11" s="37">
        <v>75000</v>
      </c>
      <c r="Y11" s="21">
        <v>45000</v>
      </c>
      <c r="Z11" s="37">
        <v>27000</v>
      </c>
      <c r="AA11" s="37">
        <f t="shared" si="4"/>
        <v>72734.700842459919</v>
      </c>
      <c r="AB11" s="44">
        <f t="shared" si="5"/>
        <v>5.3263733083164427E-2</v>
      </c>
      <c r="AC11" s="21">
        <f t="shared" si="6"/>
        <v>72734.700842459919</v>
      </c>
      <c r="AD11" s="37">
        <f t="shared" si="7"/>
        <v>-27265.299157540081</v>
      </c>
      <c r="AE11" s="30">
        <f t="shared" si="1"/>
        <v>0.11724845243763962</v>
      </c>
      <c r="AF11" s="43"/>
      <c r="AG11" s="22">
        <f t="shared" si="8"/>
        <v>0.66936149398731659</v>
      </c>
      <c r="AH11" s="41">
        <f>AD11/N11</f>
        <v>-1.9966420428474081E-2</v>
      </c>
      <c r="AI11" s="21">
        <v>23622.35</v>
      </c>
      <c r="AJ11" s="23">
        <v>20</v>
      </c>
      <c r="AK11" s="24">
        <f t="shared" si="9"/>
        <v>1181.1174999999998</v>
      </c>
      <c r="AL11" s="25">
        <v>0.23884543761638699</v>
      </c>
      <c r="AM11" s="26"/>
      <c r="AN11" s="21">
        <v>39780</v>
      </c>
      <c r="AO11" s="21">
        <v>138450</v>
      </c>
      <c r="AP11" s="21">
        <v>85462</v>
      </c>
    </row>
    <row r="21" spans="1:17" ht="17.25">
      <c r="A21" s="50" t="s">
        <v>23</v>
      </c>
      <c r="B21" s="50" t="s">
        <v>50</v>
      </c>
      <c r="C21" s="51" t="s">
        <v>57</v>
      </c>
      <c r="D21" s="51"/>
      <c r="E21" s="51"/>
      <c r="F21" s="51" t="s">
        <v>58</v>
      </c>
      <c r="G21" s="51"/>
      <c r="H21" s="51" t="s">
        <v>55</v>
      </c>
      <c r="I21" s="51"/>
      <c r="J21" s="50" t="s">
        <v>59</v>
      </c>
      <c r="K21" s="50" t="s">
        <v>60</v>
      </c>
      <c r="L21" s="50" t="s">
        <v>60</v>
      </c>
      <c r="M21" s="50" t="s">
        <v>64</v>
      </c>
      <c r="N21" s="50" t="s">
        <v>61</v>
      </c>
      <c r="O21" s="58" t="s">
        <v>62</v>
      </c>
      <c r="P21" s="59"/>
      <c r="Q21" s="60"/>
    </row>
    <row r="22" spans="1:17" ht="17.25">
      <c r="A22" s="53">
        <v>43160</v>
      </c>
      <c r="B22" s="50">
        <v>350</v>
      </c>
      <c r="C22" s="54">
        <f>B22*5%</f>
        <v>17.5</v>
      </c>
      <c r="D22" s="54"/>
      <c r="E22" s="54"/>
      <c r="F22" s="51">
        <v>10</v>
      </c>
      <c r="G22" s="51"/>
      <c r="H22" s="51">
        <f>C22-F22</f>
        <v>7.5</v>
      </c>
      <c r="I22" s="51"/>
      <c r="J22" s="52"/>
      <c r="K22" s="52"/>
      <c r="L22" s="52"/>
      <c r="M22" s="52"/>
      <c r="N22" s="52"/>
      <c r="O22" s="58"/>
      <c r="P22" s="59"/>
      <c r="Q22" s="60"/>
    </row>
    <row r="23" spans="1:17" ht="17.25">
      <c r="A23" s="53" t="s">
        <v>24</v>
      </c>
      <c r="B23" s="55">
        <v>500</v>
      </c>
      <c r="C23" s="54">
        <f t="shared" ref="C23:C39" si="10">B23*5%</f>
        <v>25</v>
      </c>
      <c r="D23" s="54"/>
      <c r="E23" s="54"/>
      <c r="F23" s="51">
        <v>30</v>
      </c>
      <c r="G23" s="51"/>
      <c r="H23" s="51">
        <f t="shared" ref="H23:H39" si="11">C23-F23</f>
        <v>-5</v>
      </c>
      <c r="I23" s="51"/>
      <c r="J23" s="52"/>
      <c r="K23" s="52"/>
      <c r="L23" s="52"/>
      <c r="M23" s="52"/>
      <c r="N23" s="52"/>
      <c r="O23" s="58"/>
      <c r="P23" s="59"/>
      <c r="Q23" s="60"/>
    </row>
    <row r="24" spans="1:17" ht="17.25">
      <c r="A24" s="56" t="s">
        <v>25</v>
      </c>
      <c r="B24" s="55">
        <v>700</v>
      </c>
      <c r="C24" s="54">
        <f t="shared" si="10"/>
        <v>35</v>
      </c>
      <c r="D24" s="54"/>
      <c r="E24" s="54"/>
      <c r="F24" s="51">
        <v>50</v>
      </c>
      <c r="G24" s="51"/>
      <c r="H24" s="51">
        <f t="shared" si="11"/>
        <v>-15</v>
      </c>
      <c r="I24" s="51"/>
      <c r="J24" s="52"/>
      <c r="K24" s="52"/>
      <c r="L24" s="52"/>
      <c r="M24" s="52"/>
      <c r="N24" s="52"/>
      <c r="O24" s="58"/>
      <c r="P24" s="59"/>
      <c r="Q24" s="60"/>
    </row>
    <row r="25" spans="1:17" ht="17.25">
      <c r="A25" s="53" t="s">
        <v>26</v>
      </c>
      <c r="B25" s="55">
        <v>1000</v>
      </c>
      <c r="C25" s="54">
        <f t="shared" si="10"/>
        <v>50</v>
      </c>
      <c r="D25" s="54"/>
      <c r="E25" s="54"/>
      <c r="F25" s="51">
        <v>80</v>
      </c>
      <c r="G25" s="51"/>
      <c r="H25" s="51">
        <f t="shared" si="11"/>
        <v>-30</v>
      </c>
      <c r="I25" s="51"/>
      <c r="J25" s="57">
        <v>8</v>
      </c>
      <c r="K25" s="52"/>
      <c r="L25" s="52">
        <v>30</v>
      </c>
      <c r="M25" s="52">
        <v>40</v>
      </c>
      <c r="N25" s="52">
        <v>10</v>
      </c>
      <c r="O25" s="61" t="s">
        <v>65</v>
      </c>
      <c r="P25" s="62"/>
      <c r="Q25" s="63"/>
    </row>
    <row r="26" spans="1:17" ht="17.25">
      <c r="A26" s="56" t="s">
        <v>27</v>
      </c>
      <c r="B26" s="55">
        <v>1500</v>
      </c>
      <c r="C26" s="54">
        <f t="shared" si="10"/>
        <v>75</v>
      </c>
      <c r="D26" s="54"/>
      <c r="E26" s="54"/>
      <c r="F26" s="51">
        <v>100</v>
      </c>
      <c r="G26" s="51"/>
      <c r="H26" s="51">
        <f t="shared" si="11"/>
        <v>-25</v>
      </c>
      <c r="I26" s="51"/>
      <c r="J26" s="52"/>
      <c r="K26" s="52"/>
      <c r="L26" s="52"/>
      <c r="M26" s="52"/>
      <c r="N26" s="52"/>
      <c r="O26" s="61"/>
      <c r="P26" s="62"/>
      <c r="Q26" s="63"/>
    </row>
    <row r="27" spans="1:17" ht="17.25">
      <c r="A27" s="53" t="s">
        <v>28</v>
      </c>
      <c r="B27" s="55">
        <v>2200</v>
      </c>
      <c r="C27" s="54">
        <f t="shared" si="10"/>
        <v>110</v>
      </c>
      <c r="D27" s="54"/>
      <c r="E27" s="54"/>
      <c r="F27" s="51">
        <v>200</v>
      </c>
      <c r="G27" s="51"/>
      <c r="H27" s="51">
        <f t="shared" si="11"/>
        <v>-90</v>
      </c>
      <c r="I27" s="51"/>
      <c r="J27" s="52"/>
      <c r="K27" s="52"/>
      <c r="L27" s="52"/>
      <c r="M27" s="52"/>
      <c r="N27" s="52"/>
      <c r="O27" s="61"/>
      <c r="P27" s="62"/>
      <c r="Q27" s="63"/>
    </row>
    <row r="28" spans="1:17" ht="17.25">
      <c r="A28" s="56" t="s">
        <v>29</v>
      </c>
      <c r="B28" s="55">
        <v>3300</v>
      </c>
      <c r="C28" s="54">
        <f t="shared" si="10"/>
        <v>165</v>
      </c>
      <c r="D28" s="54"/>
      <c r="E28" s="54"/>
      <c r="F28" s="51">
        <v>400</v>
      </c>
      <c r="G28" s="51"/>
      <c r="H28" s="51">
        <f t="shared" si="11"/>
        <v>-235</v>
      </c>
      <c r="I28" s="51"/>
      <c r="J28" s="52"/>
      <c r="K28" s="52"/>
      <c r="L28" s="52"/>
      <c r="M28" s="52"/>
      <c r="N28" s="52"/>
      <c r="O28" s="61"/>
      <c r="P28" s="62"/>
      <c r="Q28" s="63"/>
    </row>
    <row r="29" spans="1:17" ht="17.25">
      <c r="A29" s="53" t="s">
        <v>30</v>
      </c>
      <c r="B29" s="55">
        <v>5000</v>
      </c>
      <c r="C29" s="54">
        <f t="shared" si="10"/>
        <v>250</v>
      </c>
      <c r="D29" s="54"/>
      <c r="E29" s="54"/>
      <c r="F29" s="51">
        <v>400</v>
      </c>
      <c r="G29" s="51"/>
      <c r="H29" s="51">
        <f t="shared" si="11"/>
        <v>-150</v>
      </c>
      <c r="I29" s="51"/>
      <c r="J29" s="52"/>
      <c r="K29" s="52"/>
      <c r="L29" s="52"/>
      <c r="M29" s="52"/>
      <c r="N29" s="52"/>
      <c r="O29" s="61"/>
      <c r="P29" s="62"/>
      <c r="Q29" s="63"/>
    </row>
    <row r="30" spans="1:17" ht="17.25">
      <c r="A30" s="50" t="s">
        <v>31</v>
      </c>
      <c r="B30" s="55">
        <v>7000</v>
      </c>
      <c r="C30" s="54">
        <f t="shared" si="10"/>
        <v>350</v>
      </c>
      <c r="D30" s="54"/>
      <c r="E30" s="54"/>
      <c r="F30" s="51">
        <v>600</v>
      </c>
      <c r="G30" s="51"/>
      <c r="H30" s="51">
        <f t="shared" si="11"/>
        <v>-250</v>
      </c>
      <c r="I30" s="51"/>
      <c r="J30" s="52"/>
      <c r="K30" s="52"/>
      <c r="L30" s="52"/>
      <c r="M30" s="52"/>
      <c r="N30" s="52"/>
      <c r="O30" s="61"/>
      <c r="P30" s="62"/>
      <c r="Q30" s="63"/>
    </row>
    <row r="31" spans="1:17" ht="17.25">
      <c r="A31" s="53" t="s">
        <v>32</v>
      </c>
      <c r="B31" s="55">
        <v>7000</v>
      </c>
      <c r="C31" s="54">
        <f t="shared" si="10"/>
        <v>350</v>
      </c>
      <c r="D31" s="54"/>
      <c r="E31" s="54"/>
      <c r="F31" s="51">
        <v>600</v>
      </c>
      <c r="G31" s="51"/>
      <c r="H31" s="51">
        <f t="shared" si="11"/>
        <v>-250</v>
      </c>
      <c r="I31" s="51"/>
      <c r="J31" s="52">
        <v>20</v>
      </c>
      <c r="K31" s="52">
        <v>200</v>
      </c>
      <c r="L31" s="52">
        <v>200</v>
      </c>
      <c r="M31" s="52">
        <v>200</v>
      </c>
      <c r="N31" s="52">
        <v>200</v>
      </c>
      <c r="O31" s="61" t="s">
        <v>63</v>
      </c>
      <c r="P31" s="62"/>
      <c r="Q31" s="63"/>
    </row>
    <row r="32" spans="1:17" ht="17.25">
      <c r="A32" s="56" t="s">
        <v>33</v>
      </c>
      <c r="B32" s="55">
        <v>20000</v>
      </c>
      <c r="C32" s="54">
        <f t="shared" si="10"/>
        <v>1000</v>
      </c>
      <c r="D32" s="54"/>
      <c r="E32" s="54"/>
      <c r="F32" s="51">
        <v>3000</v>
      </c>
      <c r="G32" s="51"/>
      <c r="H32" s="51">
        <f t="shared" si="11"/>
        <v>-2000</v>
      </c>
      <c r="I32" s="51"/>
      <c r="J32" s="52"/>
      <c r="K32" s="52"/>
      <c r="L32" s="52"/>
      <c r="M32" s="52"/>
      <c r="N32" s="52"/>
      <c r="O32" s="61"/>
      <c r="P32" s="62"/>
      <c r="Q32" s="63"/>
    </row>
    <row r="33" spans="1:17" ht="17.25">
      <c r="A33" s="53" t="s">
        <v>34</v>
      </c>
      <c r="B33" s="55">
        <v>30000</v>
      </c>
      <c r="C33" s="54">
        <f t="shared" si="10"/>
        <v>1500</v>
      </c>
      <c r="D33" s="54"/>
      <c r="E33" s="54"/>
      <c r="F33" s="51">
        <v>4500</v>
      </c>
      <c r="G33" s="51"/>
      <c r="H33" s="51">
        <f t="shared" si="11"/>
        <v>-3000</v>
      </c>
      <c r="I33" s="51"/>
      <c r="J33" s="52">
        <v>50</v>
      </c>
      <c r="K33" s="52"/>
      <c r="L33" s="52">
        <v>300</v>
      </c>
      <c r="M33" s="52">
        <v>500</v>
      </c>
      <c r="N33" s="52">
        <v>700</v>
      </c>
      <c r="O33" s="61" t="s">
        <v>66</v>
      </c>
      <c r="P33" s="62"/>
      <c r="Q33" s="63"/>
    </row>
    <row r="34" spans="1:17" ht="17.25">
      <c r="A34" s="56" t="s">
        <v>35</v>
      </c>
      <c r="B34" s="55">
        <v>50000</v>
      </c>
      <c r="C34" s="54" t="s">
        <v>71</v>
      </c>
      <c r="D34" s="54"/>
      <c r="E34" s="54"/>
      <c r="F34" s="51">
        <v>5400</v>
      </c>
      <c r="G34" s="51"/>
      <c r="H34" s="51">
        <v>-2400</v>
      </c>
      <c r="I34" s="51"/>
      <c r="J34" s="52"/>
      <c r="K34" s="52"/>
      <c r="L34" s="52"/>
      <c r="M34" s="52"/>
      <c r="N34" s="52"/>
      <c r="O34" s="61"/>
      <c r="P34" s="62"/>
      <c r="Q34" s="63"/>
    </row>
    <row r="35" spans="1:17" ht="17.25">
      <c r="A35" s="53" t="s">
        <v>36</v>
      </c>
      <c r="B35" s="55">
        <v>80000</v>
      </c>
      <c r="C35" s="54">
        <v>5000</v>
      </c>
      <c r="D35" s="54"/>
      <c r="E35" s="54"/>
      <c r="F35" s="51">
        <v>6000</v>
      </c>
      <c r="G35" s="51"/>
      <c r="H35" s="51">
        <f t="shared" si="11"/>
        <v>-1000</v>
      </c>
      <c r="I35" s="51"/>
      <c r="J35" s="52"/>
      <c r="K35" s="52"/>
      <c r="L35" s="52"/>
      <c r="M35" s="52"/>
      <c r="N35" s="52"/>
      <c r="O35" s="61"/>
      <c r="P35" s="62"/>
      <c r="Q35" s="63"/>
    </row>
    <row r="36" spans="1:17" ht="17.25">
      <c r="A36" s="56" t="s">
        <v>37</v>
      </c>
      <c r="B36" s="55">
        <v>100000</v>
      </c>
      <c r="C36" s="54">
        <v>8000</v>
      </c>
      <c r="D36" s="54"/>
      <c r="E36" s="54"/>
      <c r="F36" s="51">
        <v>6000</v>
      </c>
      <c r="G36" s="51"/>
      <c r="H36" s="51">
        <f t="shared" si="11"/>
        <v>2000</v>
      </c>
      <c r="I36" s="51"/>
      <c r="J36" s="52"/>
      <c r="K36" s="52"/>
      <c r="L36" s="52"/>
      <c r="M36" s="52"/>
      <c r="N36" s="52"/>
      <c r="O36" s="61"/>
      <c r="P36" s="62"/>
      <c r="Q36" s="63"/>
    </row>
    <row r="37" spans="1:17" ht="17.25">
      <c r="A37" s="53" t="s">
        <v>38</v>
      </c>
      <c r="B37" s="55">
        <v>150000</v>
      </c>
      <c r="C37" s="54">
        <v>10000</v>
      </c>
      <c r="D37" s="54"/>
      <c r="E37" s="54"/>
      <c r="F37" s="51">
        <v>6000</v>
      </c>
      <c r="G37" s="51"/>
      <c r="H37" s="51">
        <f t="shared" si="11"/>
        <v>4000</v>
      </c>
      <c r="I37" s="51"/>
      <c r="J37" s="52"/>
      <c r="K37" s="52"/>
      <c r="L37" s="52"/>
      <c r="M37" s="52"/>
      <c r="N37" s="52"/>
      <c r="O37" s="61"/>
      <c r="P37" s="62"/>
      <c r="Q37" s="63"/>
    </row>
    <row r="38" spans="1:17" ht="17.25">
      <c r="A38" s="50" t="s">
        <v>39</v>
      </c>
      <c r="B38" s="55">
        <v>250000</v>
      </c>
      <c r="C38" s="54">
        <v>15000</v>
      </c>
      <c r="D38" s="54"/>
      <c r="E38" s="54"/>
      <c r="F38" s="51">
        <v>6000</v>
      </c>
      <c r="G38" s="51"/>
      <c r="H38" s="51">
        <f t="shared" si="11"/>
        <v>9000</v>
      </c>
      <c r="I38" s="51"/>
      <c r="J38" s="52"/>
      <c r="K38" s="52"/>
      <c r="L38" s="52"/>
      <c r="M38" s="52"/>
      <c r="N38" s="52"/>
      <c r="O38" s="61"/>
      <c r="P38" s="62"/>
      <c r="Q38" s="63"/>
    </row>
    <row r="39" spans="1:17" ht="17.25">
      <c r="A39" s="53" t="s">
        <v>40</v>
      </c>
      <c r="B39" s="55">
        <v>300000</v>
      </c>
      <c r="C39" s="54">
        <v>20000</v>
      </c>
      <c r="D39" s="54"/>
      <c r="E39" s="54"/>
      <c r="F39" s="51">
        <v>6000</v>
      </c>
      <c r="G39" s="51"/>
      <c r="H39" s="51">
        <f t="shared" si="11"/>
        <v>14000</v>
      </c>
      <c r="I39" s="51"/>
      <c r="J39" s="52"/>
      <c r="K39" s="52"/>
      <c r="L39" s="52"/>
      <c r="M39" s="52"/>
      <c r="N39" s="52"/>
      <c r="O39" s="61" t="s">
        <v>67</v>
      </c>
      <c r="P39" s="62"/>
      <c r="Q39" s="63"/>
    </row>
    <row r="40" spans="1:17" ht="17.25">
      <c r="A40" s="53">
        <v>44896</v>
      </c>
      <c r="B40" s="52" t="s">
        <v>69</v>
      </c>
      <c r="C40" s="54" t="s">
        <v>70</v>
      </c>
      <c r="D40" s="54"/>
      <c r="E40" s="54"/>
      <c r="F40" s="51" t="s">
        <v>72</v>
      </c>
      <c r="G40" s="51"/>
      <c r="H40" s="51" t="s">
        <v>70</v>
      </c>
      <c r="I40" s="51"/>
      <c r="J40" s="52"/>
      <c r="K40" s="52"/>
      <c r="L40" s="52"/>
      <c r="M40" s="52"/>
      <c r="N40" s="52"/>
      <c r="O40" s="61" t="s">
        <v>68</v>
      </c>
      <c r="P40" s="62"/>
      <c r="Q40" s="63"/>
    </row>
    <row r="119" spans="11:11" ht="17.25">
      <c r="K119" s="2"/>
    </row>
    <row r="120" spans="11:11" ht="17.25">
      <c r="K120" s="31"/>
    </row>
    <row r="121" spans="11:11" ht="17.25">
      <c r="K121" s="31"/>
    </row>
    <row r="122" spans="11:11" ht="17.25">
      <c r="K122" s="31"/>
    </row>
    <row r="123" spans="11:11" ht="17.25">
      <c r="K123" s="31"/>
    </row>
    <row r="124" spans="11:11" ht="17.25">
      <c r="K124" s="31"/>
    </row>
    <row r="125" spans="11:11" ht="17.25">
      <c r="K125" s="31"/>
    </row>
    <row r="126" spans="11:11" ht="17.25">
      <c r="K126" s="31"/>
    </row>
    <row r="127" spans="11:11" ht="17.25">
      <c r="K127" s="32"/>
    </row>
    <row r="128" spans="11:11" ht="17.25">
      <c r="K128" s="31"/>
    </row>
    <row r="129" spans="11:11" ht="17.25">
      <c r="K129" s="31"/>
    </row>
    <row r="130" spans="11:11" ht="17.25">
      <c r="K130" s="31"/>
    </row>
    <row r="131" spans="11:11" ht="17.25">
      <c r="K131" s="31"/>
    </row>
    <row r="132" spans="11:11" ht="17.25">
      <c r="K132" s="31"/>
    </row>
    <row r="133" spans="11:11" ht="17.25">
      <c r="K133" s="31"/>
    </row>
    <row r="134" spans="11:11" ht="17.25">
      <c r="K134" s="31"/>
    </row>
    <row r="135" spans="11:11" ht="17.25">
      <c r="K135" s="32"/>
    </row>
    <row r="136" spans="11:11" ht="17.25">
      <c r="K136" s="31"/>
    </row>
  </sheetData>
  <mergeCells count="84">
    <mergeCell ref="C40:E40"/>
    <mergeCell ref="F40:G40"/>
    <mergeCell ref="H40:I40"/>
    <mergeCell ref="O36:Q36"/>
    <mergeCell ref="O37:Q37"/>
    <mergeCell ref="O38:Q38"/>
    <mergeCell ref="O39:Q39"/>
    <mergeCell ref="O40:Q40"/>
    <mergeCell ref="C39:E39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  <mergeCell ref="C34:E34"/>
    <mergeCell ref="C35:E35"/>
    <mergeCell ref="C36:E36"/>
    <mergeCell ref="C37:E37"/>
    <mergeCell ref="C38:E38"/>
    <mergeCell ref="H37:I37"/>
    <mergeCell ref="H38:I38"/>
    <mergeCell ref="H39:I39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H32:I32"/>
    <mergeCell ref="H33:I33"/>
    <mergeCell ref="H34:I34"/>
    <mergeCell ref="H35:I35"/>
    <mergeCell ref="H36:I36"/>
    <mergeCell ref="H27:I27"/>
    <mergeCell ref="H28:I28"/>
    <mergeCell ref="H29:I29"/>
    <mergeCell ref="H30:I30"/>
    <mergeCell ref="H31:I31"/>
    <mergeCell ref="H22:I22"/>
    <mergeCell ref="H23:I23"/>
    <mergeCell ref="H24:I24"/>
    <mergeCell ref="H25:I25"/>
    <mergeCell ref="H26:I26"/>
    <mergeCell ref="F35:G35"/>
    <mergeCell ref="F36:G36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AN1:AP1"/>
    <mergeCell ref="B2:D2"/>
    <mergeCell ref="F2:H2"/>
    <mergeCell ref="I2:K2"/>
    <mergeCell ref="F21:G21"/>
    <mergeCell ref="H21:I2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ll</cp:lastModifiedBy>
  <dcterms:created xsi:type="dcterms:W3CDTF">2018-03-19T06:25:31Z</dcterms:created>
  <dcterms:modified xsi:type="dcterms:W3CDTF">2018-03-20T04:57:47Z</dcterms:modified>
</cp:coreProperties>
</file>