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mento" sheetId="1" r:id="rId5"/>
    <sheet state="visible" name="Resultado Oficial" sheetId="2" r:id="rId6"/>
    <sheet state="visible" name="Controle" sheetId="3" r:id="rId7"/>
    <sheet state="hidden" name="Nome Palpiteiro" sheetId="4" r:id="rId8"/>
    <sheet state="visible" name="Marco" sheetId="5" r:id="rId9"/>
    <sheet state="visible" name="Gogó" sheetId="6" r:id="rId10"/>
    <sheet state="visible" name="Danilo" sheetId="7" r:id="rId11"/>
    <sheet state="visible" name="Bill" sheetId="8" r:id="rId12"/>
    <sheet state="visible" name="Zé Augusto" sheetId="9" r:id="rId13"/>
    <sheet state="visible" name="Epocler" sheetId="10" r:id="rId14"/>
    <sheet state="visible" name="Rodrigo" sheetId="11" r:id="rId15"/>
    <sheet state="visible" name="Leo" sheetId="12" r:id="rId16"/>
    <sheet state="visible" name="Lopes" sheetId="13" r:id="rId17"/>
    <sheet state="visible" name="Mothci" sheetId="14" r:id="rId18"/>
  </sheets>
  <definedNames>
    <definedName name="lm">#REF!</definedName>
  </definedNames>
  <calcPr/>
</workbook>
</file>

<file path=xl/sharedStrings.xml><?xml version="1.0" encoding="utf-8"?>
<sst xmlns="http://schemas.openxmlformats.org/spreadsheetml/2006/main" count="5480" uniqueCount="212">
  <si>
    <t>REGULAMENTO</t>
  </si>
  <si>
    <t xml:space="preserve">- O Bolão será composto apenas pelos jogos da 1ª fase da copa do mundo </t>
  </si>
  <si>
    <t>O Palpite contemplará todos os jogos da 1º fase e a indicação dos 4 primeiros colocados da Copa do Mundo (em ordem definida), das duas seleções classificadas por grupo e do artilheiro da competição</t>
  </si>
  <si>
    <t>Uma vez entregue a planilha, não será permitida a revisão dos palpites</t>
  </si>
  <si>
    <t>PREMIOS: 1o  - 70% - 2o - 20%  3o - 10%</t>
  </si>
  <si>
    <t>- O valor das apostas será de R$100,00 (cem reais)</t>
  </si>
  <si>
    <t>- Um mesmo apostador poderá fazer quantas apostas quiser, pagando 100 reais por cada uma.</t>
  </si>
  <si>
    <t>- O pagamento deverá ser feito em dinheiro diretamente para o Rodrigo Amorim por PIX para CPF: 41670531104</t>
  </si>
  <si>
    <t>- Após o pagamento envie comprovante para receber acesso a planilha de palpites</t>
  </si>
  <si>
    <t>- Sempre que possível serão enviados resultados parciais para acompanhamento dos participantes</t>
  </si>
  <si>
    <t>- Será confeccionada uma planilha com os resultados de todos os participantes para acompanhamento da disputa.</t>
  </si>
  <si>
    <t>A planilha será enviada para o e-mail preenchido na planilha de palpite até o dia 18/11/2022</t>
  </si>
  <si>
    <t>- Não há critério de desempate.  Em caso de empate, o prêmio será dividido.</t>
  </si>
  <si>
    <t>Exemplo: Se os apostadores A e B empatarem em primeiro com 305 pontos e o apostador C ficar logo a seguir, sozinho, com 302, os prêmios de primeiro e segundo lugares serão somados e divididos entre A e B e o prêmio de terceiro será pago a C.</t>
  </si>
  <si>
    <t>As apostas só serão válidas se o pagamento for comprovado até o dia 18/11/2022</t>
  </si>
  <si>
    <t>PONTUAÇÃO</t>
  </si>
  <si>
    <t>JOGOS</t>
  </si>
  <si>
    <r>
      <rPr>
        <rFont val="Century Gothic"/>
        <b/>
        <color theme="1"/>
        <sz val="10.0"/>
      </rPr>
      <t xml:space="preserve">Acertar o placar do jogo e o vencedor - </t>
    </r>
    <r>
      <rPr>
        <rFont val="Century Gothic"/>
        <b/>
        <color rgb="FFFF0000"/>
        <sz val="10.0"/>
      </rPr>
      <t>10 pts</t>
    </r>
  </si>
  <si>
    <t>Ex: Brasil 2x1 Japão (pallpite); Brasil 2x1 Japão (Resultado)</t>
  </si>
  <si>
    <r>
      <rPr>
        <rFont val="Century Gothic"/>
        <b/>
        <color theme="1"/>
        <sz val="10.0"/>
      </rPr>
      <t xml:space="preserve">Acertar o empate com nº gols certos - </t>
    </r>
    <r>
      <rPr>
        <rFont val="Century Gothic"/>
        <b/>
        <color rgb="FFFF0000"/>
        <sz val="10.0"/>
      </rPr>
      <t>10 pts</t>
    </r>
  </si>
  <si>
    <t>Ex: Brasil 0x0 Japão (palpite); Brasil 0x0 Japão (Resultado)</t>
  </si>
  <si>
    <r>
      <rPr>
        <rFont val="Century Gothic"/>
        <b/>
        <color theme="1"/>
        <sz val="10.0"/>
      </rPr>
      <t xml:space="preserve">Acertar o vencedor e a diferença de gols - </t>
    </r>
    <r>
      <rPr>
        <rFont val="Century Gothic"/>
        <b/>
        <color rgb="FFFF0000"/>
        <sz val="10.0"/>
      </rPr>
      <t>6 pts</t>
    </r>
  </si>
  <si>
    <t>Ex: Brasil 1x0 Japão (pallpite); Brasil 2x1 Japão (Resultado)</t>
  </si>
  <si>
    <r>
      <rPr>
        <rFont val="Century Gothic"/>
        <b/>
        <color theme="1"/>
        <sz val="10.0"/>
      </rPr>
      <t xml:space="preserve">Acertar o empate com o nº gols errado, diferença de 1 gol - </t>
    </r>
    <r>
      <rPr>
        <rFont val="Century Gothic"/>
        <b/>
        <color rgb="FFFF0000"/>
        <sz val="10.0"/>
      </rPr>
      <t>6 pts</t>
    </r>
  </si>
  <si>
    <t>Ex: Brasil 1x1 Japão (palpite); Brasil 0x0 Japão (Resultado)</t>
  </si>
  <si>
    <r>
      <rPr>
        <rFont val="Century Gothic"/>
        <b/>
        <color theme="1"/>
        <sz val="10.0"/>
      </rPr>
      <t xml:space="preserve">Somente acertar o vencedor - </t>
    </r>
    <r>
      <rPr>
        <rFont val="Century Gothic"/>
        <b/>
        <color rgb="FFFF0000"/>
        <sz val="10.0"/>
      </rPr>
      <t>3 pts</t>
    </r>
  </si>
  <si>
    <t>Ex: Brasil 1x0 Japão (pallpite); Brasil 3x0 Japão (Resultado)</t>
  </si>
  <si>
    <r>
      <rPr>
        <rFont val="Century Gothic"/>
        <b/>
        <color theme="1"/>
        <sz val="10.0"/>
      </rPr>
      <t xml:space="preserve">Acertar o empate com o nº gols errado, diferença maior do que 1 gol - </t>
    </r>
    <r>
      <rPr>
        <rFont val="Century Gothic"/>
        <b/>
        <color rgb="FFFF0000"/>
        <sz val="10.0"/>
      </rPr>
      <t>3 pts</t>
    </r>
  </si>
  <si>
    <t>Ex: Brasil 1x1 Japão (pallpite); Brasil 3x3 Japão (Resultado)</t>
  </si>
  <si>
    <t>OS QUATRO PRIMEIROS DO CAMPEONATO</t>
  </si>
  <si>
    <t>- Cada participante apostará no Campeão, no Vice, no 3º e no 4º colocados.</t>
  </si>
  <si>
    <r>
      <rPr>
        <rFont val="Century Gothic"/>
        <b/>
        <color theme="1"/>
        <sz val="10.0"/>
      </rPr>
      <t xml:space="preserve">Acertar uma das 4 seleções na posição errada - </t>
    </r>
    <r>
      <rPr>
        <rFont val="Century Gothic"/>
        <b/>
        <color rgb="FFFF0000"/>
        <sz val="10.0"/>
      </rPr>
      <t>20 pts</t>
    </r>
  </si>
  <si>
    <t>Ex: Brasil Campeão (palpite); Brasil 3º lugar (resultado) // Argentina 4º (palpite); Argentina Vice-campeão (resultado)</t>
  </si>
  <si>
    <t>Acertar na posição correta</t>
  </si>
  <si>
    <r>
      <rPr>
        <rFont val="Century Gothic"/>
        <b/>
        <color theme="1"/>
        <sz val="10.0"/>
      </rPr>
      <t xml:space="preserve">CAMPEÃO - </t>
    </r>
    <r>
      <rPr>
        <rFont val="Century Gothic"/>
        <b/>
        <color rgb="FFFF0000"/>
        <sz val="10.0"/>
      </rPr>
      <t>+ 20 pts = 40 pts</t>
    </r>
  </si>
  <si>
    <r>
      <rPr>
        <rFont val="Century Gothic"/>
        <b/>
        <color theme="1"/>
        <sz val="10.0"/>
      </rPr>
      <t xml:space="preserve">VICE-CAMPEÃO - </t>
    </r>
    <r>
      <rPr>
        <rFont val="Century Gothic"/>
        <b/>
        <color rgb="FFFF0000"/>
        <sz val="10.0"/>
      </rPr>
      <t>+ 15 pts = 35 pts</t>
    </r>
  </si>
  <si>
    <r>
      <rPr>
        <rFont val="Century Gothic"/>
        <b/>
        <color theme="1"/>
        <sz val="10.0"/>
      </rPr>
      <t xml:space="preserve">3º  - </t>
    </r>
    <r>
      <rPr>
        <rFont val="Century Gothic"/>
        <b/>
        <color rgb="FFFF0000"/>
        <sz val="10.0"/>
      </rPr>
      <t>+ 10 pts = 30 pts</t>
    </r>
  </si>
  <si>
    <r>
      <rPr>
        <rFont val="Century Gothic"/>
        <b/>
        <color theme="1"/>
        <sz val="10.0"/>
      </rPr>
      <t xml:space="preserve">4º - </t>
    </r>
    <r>
      <rPr>
        <rFont val="Century Gothic"/>
        <b/>
        <color rgb="FFFF0000"/>
        <sz val="10.0"/>
      </rPr>
      <t>+ 5 pts = 25 pts</t>
    </r>
  </si>
  <si>
    <t>AS DUAS SELEÇÕES CLASSIFICADAS POR GRUPO</t>
  </si>
  <si>
    <r>
      <rPr>
        <rFont val="Century Gothic"/>
        <b/>
        <color theme="1"/>
        <sz val="10.0"/>
      </rPr>
      <t xml:space="preserve">Acertar a seleção classificada - </t>
    </r>
    <r>
      <rPr>
        <rFont val="Century Gothic"/>
        <b/>
        <color rgb="FFFF0000"/>
        <sz val="10.0"/>
      </rPr>
      <t>2 pts</t>
    </r>
  </si>
  <si>
    <r>
      <rPr>
        <rFont val="Century Gothic"/>
        <b/>
        <color theme="1"/>
        <sz val="10.0"/>
      </rPr>
      <t xml:space="preserve">Acertar a posição ( 1º ou 2º) - </t>
    </r>
    <r>
      <rPr>
        <rFont val="Century Gothic"/>
        <b/>
        <color rgb="FFFF0000"/>
        <sz val="10.0"/>
      </rPr>
      <t>+ 3 pts</t>
    </r>
  </si>
  <si>
    <t>ARTILHEIRO</t>
  </si>
  <si>
    <r>
      <rPr>
        <rFont val="Century Gothic"/>
        <b/>
        <color theme="1"/>
        <sz val="10.0"/>
      </rPr>
      <t xml:space="preserve">Acertar o artilheiro - </t>
    </r>
    <r>
      <rPr>
        <rFont val="Century Gothic"/>
        <b/>
        <color rgb="FFFF0000"/>
        <sz val="10.0"/>
      </rPr>
      <t>40 pts</t>
    </r>
  </si>
  <si>
    <t>Em caso de mais de um artilheiro, todos serão pontuados.</t>
  </si>
  <si>
    <t>PREMIAÇÃO</t>
  </si>
  <si>
    <t>1º Colocado Geral = 70% do total arrecadado</t>
  </si>
  <si>
    <t>2º Colocado Geral = 20% do total arrecadado</t>
  </si>
  <si>
    <t>3º Colocado Geral = 10% do total arrecadado</t>
  </si>
  <si>
    <t>Grupo A</t>
  </si>
  <si>
    <t>Bolão Copa 2022 - Câmara dos Lordes - Resultados Oficiais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</si>
  <si>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</si>
  <si>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</si>
  <si>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</si>
  <si>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</si>
  <si>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</si>
  <si>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</si>
  <si>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</si>
  <si>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</si>
  <si>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</si>
  <si>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Catar</t>
  </si>
  <si>
    <t>Equador</t>
  </si>
  <si>
    <t>Senegal</t>
  </si>
  <si>
    <t>Holanda</t>
  </si>
  <si>
    <t>Grupo B</t>
  </si>
  <si>
    <t>Inglaterra</t>
  </si>
  <si>
    <t>Irã</t>
  </si>
  <si>
    <t>Estados Unidos</t>
  </si>
  <si>
    <t>País de Gales</t>
  </si>
  <si>
    <t>1a Fase</t>
  </si>
  <si>
    <t>Grupo C</t>
  </si>
  <si>
    <t>Primeira fase            GRUPO A</t>
  </si>
  <si>
    <t>Argentina</t>
  </si>
  <si>
    <t>x</t>
  </si>
  <si>
    <t>Al Bayt</t>
  </si>
  <si>
    <t>Classificação do grupo A</t>
  </si>
  <si>
    <t>Arábia Saudita</t>
  </si>
  <si>
    <t>Al Thumana</t>
  </si>
  <si>
    <t>México</t>
  </si>
  <si>
    <t>1o Colocado</t>
  </si>
  <si>
    <t>Polônia</t>
  </si>
  <si>
    <t>Intern. Khalifa</t>
  </si>
  <si>
    <t>2o Colocado</t>
  </si>
  <si>
    <t>Qatar</t>
  </si>
  <si>
    <t>Grupo D</t>
  </si>
  <si>
    <t>Primeira fase          GRUPO B</t>
  </si>
  <si>
    <t>França</t>
  </si>
  <si>
    <t>Classificação do grupo B</t>
  </si>
  <si>
    <t>Austrália</t>
  </si>
  <si>
    <t>Al Rayan</t>
  </si>
  <si>
    <t>Dinamarca</t>
  </si>
  <si>
    <t>Tunísia</t>
  </si>
  <si>
    <t>Grupo E</t>
  </si>
  <si>
    <t>Primeira fase          GRUPO C</t>
  </si>
  <si>
    <t>Espanha</t>
  </si>
  <si>
    <t>Lusail</t>
  </si>
  <si>
    <t>Classificação do grupo C</t>
  </si>
  <si>
    <t>Costa Rica</t>
  </si>
  <si>
    <t>Estádio 974</t>
  </si>
  <si>
    <t>Alemanha</t>
  </si>
  <si>
    <t>Cid. da Educ.</t>
  </si>
  <si>
    <t>Japão</t>
  </si>
  <si>
    <t>Grupo F</t>
  </si>
  <si>
    <t>Primeira fase         GRUPO D</t>
  </si>
  <si>
    <t>Bélgica</t>
  </si>
  <si>
    <t>Classificação do grupo D</t>
  </si>
  <si>
    <t>Canadá</t>
  </si>
  <si>
    <t>Al Janoub</t>
  </si>
  <si>
    <t>Marrocos</t>
  </si>
  <si>
    <t>Croácia</t>
  </si>
  <si>
    <t>Grupo G</t>
  </si>
  <si>
    <t>Primeira fase       GRUPO E</t>
  </si>
  <si>
    <t>Brasil</t>
  </si>
  <si>
    <t>Classificação do grupo E</t>
  </si>
  <si>
    <t>Sérvia</t>
  </si>
  <si>
    <t>Suiça</t>
  </si>
  <si>
    <t>Ahmad Bin Ali</t>
  </si>
  <si>
    <t>Camarões</t>
  </si>
  <si>
    <t>Grupo H</t>
  </si>
  <si>
    <t>Primeira fase       GRUPO F</t>
  </si>
  <si>
    <t>Portugal</t>
  </si>
  <si>
    <t>Classificação do grupo F</t>
  </si>
  <si>
    <t>Gana</t>
  </si>
  <si>
    <t>Uruguai</t>
  </si>
  <si>
    <t>Coréia do Sul</t>
  </si>
  <si>
    <t>Primeira fase       GRUPO G</t>
  </si>
  <si>
    <t>Classificação do grupo G</t>
  </si>
  <si>
    <t>Primeira fase       GRUPO H</t>
  </si>
  <si>
    <t>Classificação do grupo H</t>
  </si>
  <si>
    <t>até aqui foram 48 jogos</t>
  </si>
  <si>
    <t>Oitavas de final</t>
  </si>
  <si>
    <t>Tempo normal</t>
  </si>
  <si>
    <t>Estadio 974</t>
  </si>
  <si>
    <t>Cid. da Edu.</t>
  </si>
  <si>
    <t>Quartas de final</t>
  </si>
  <si>
    <t>Semifinal</t>
  </si>
  <si>
    <t>Decisão do terceiro lugar</t>
  </si>
  <si>
    <t>Decisão da copa de 2022 - Qatar</t>
  </si>
  <si>
    <t>Campeão:</t>
  </si>
  <si>
    <t>Vice-campeão:</t>
  </si>
  <si>
    <t>3º Lugar:</t>
  </si>
  <si>
    <t>4º Lugar:</t>
  </si>
  <si>
    <t>Artilheiro:</t>
  </si>
  <si>
    <t>Mbape</t>
  </si>
  <si>
    <t>Posicao</t>
  </si>
  <si>
    <t>Nome</t>
  </si>
  <si>
    <t>Pontos</t>
  </si>
  <si>
    <t>Pago</t>
  </si>
  <si>
    <t>Arrecadado</t>
  </si>
  <si>
    <t>Lopes</t>
  </si>
  <si>
    <t>Marco</t>
  </si>
  <si>
    <t>17/11</t>
  </si>
  <si>
    <t>Rodrigo</t>
  </si>
  <si>
    <t>Gogó</t>
  </si>
  <si>
    <t>Mothci</t>
  </si>
  <si>
    <t>14/11</t>
  </si>
  <si>
    <t>Premio 1o</t>
  </si>
  <si>
    <t>Danilo</t>
  </si>
  <si>
    <t>Bill</t>
  </si>
  <si>
    <t>15/11</t>
  </si>
  <si>
    <t>Epocler</t>
  </si>
  <si>
    <t>Leo</t>
  </si>
  <si>
    <t>Premio 3o</t>
  </si>
  <si>
    <t>Zé</t>
  </si>
  <si>
    <t>Premio 2o</t>
  </si>
  <si>
    <t>Bolão Copa 2022 - Câmara dos Lordes</t>
  </si>
  <si>
    <t>Preencher as células em amarelo</t>
  </si>
  <si>
    <t>Nome do Palpiteiro:</t>
  </si>
  <si>
    <t>E-mail do Palpiteiro:</t>
  </si>
  <si>
    <t>Artilheiro da Copa:</t>
  </si>
  <si>
    <t>Pontos Jogos</t>
  </si>
  <si>
    <t>MARCO</t>
  </si>
  <si>
    <t xml:space="preserve"> </t>
  </si>
  <si>
    <t>marcofonteadvogado@gmail.com</t>
  </si>
  <si>
    <t>NEYMAR</t>
  </si>
  <si>
    <t>BRASIL</t>
  </si>
  <si>
    <t>ALEMANHA</t>
  </si>
  <si>
    <t>ARGENTINA</t>
  </si>
  <si>
    <t>DINAMARCA</t>
  </si>
  <si>
    <t>Pedro Garcia (Gogó)</t>
  </si>
  <si>
    <t>pedrogarcia1000@gmail.com</t>
  </si>
  <si>
    <t>Benzema</t>
  </si>
  <si>
    <t>Belgica</t>
  </si>
  <si>
    <t>dguarana@gmail.com</t>
  </si>
  <si>
    <t>Neymar</t>
  </si>
  <si>
    <t>Gabriel Estellita</t>
  </si>
  <si>
    <t xml:space="preserve">estellita.gabriel@gmail.com </t>
  </si>
  <si>
    <t>ZÉ SINISTRO</t>
  </si>
  <si>
    <t>jaafreire@gmail.com</t>
  </si>
  <si>
    <t>NEYMAR JUNIOR</t>
  </si>
  <si>
    <t>INGLATERRA</t>
  </si>
  <si>
    <t>ESPANHA</t>
  </si>
  <si>
    <t>Nodtta</t>
  </si>
  <si>
    <t xml:space="preserve">Harry Kane </t>
  </si>
  <si>
    <t>Sochi</t>
  </si>
  <si>
    <t>Kazan</t>
  </si>
  <si>
    <t>Moscou (L)</t>
  </si>
  <si>
    <t>Nijni Novgorod</t>
  </si>
  <si>
    <t>Samara</t>
  </si>
  <si>
    <t>Rostov-do-Don</t>
  </si>
  <si>
    <t>São Pertersburgo</t>
  </si>
  <si>
    <t>Moscou (S)</t>
  </si>
  <si>
    <t>São Petersburgo</t>
  </si>
  <si>
    <t>rodrigoamorim@gmail.com</t>
  </si>
  <si>
    <t>Leo Machado</t>
  </si>
  <si>
    <t>Leo_mac@terra.com.br</t>
  </si>
  <si>
    <t xml:space="preserve">Benzema </t>
  </si>
  <si>
    <t>Christian Lopes</t>
  </si>
  <si>
    <t>christianlopesabreu@gmail.com</t>
  </si>
  <si>
    <t>Messi</t>
  </si>
  <si>
    <t>Gustavo Mothci</t>
  </si>
  <si>
    <t>Harry Kane</t>
  </si>
  <si>
    <t>Decisão da copa de 2018 - Rússia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</si>
</sst>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"/>
    <numFmt numFmtId="165" formatCode="d\-mmm\-yy"/>
    <numFmt numFmtId="166" formatCode="&quot;$&quot;#,##0"/>
  </numFmts>
  <fonts count="109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entury Gothic"/>
    </font>
    <font>
      <b/>
      <sz val="14.0"/>
      <color rgb="FF0000FF"/>
      <name val="Century Gothic"/>
    </font>
    <font/>
    <font>
      <b/>
      <sz val="8.0"/>
      <color theme="1"/>
      <name val="Century Gothic"/>
    </font>
    <font>
      <sz val="8.0"/>
      <color theme="1"/>
      <name val="Century Gothic"/>
    </font>
    <font>
      <b/>
      <sz val="8.0"/>
      <color rgb="FFFF0000"/>
      <name val="Century Gothic"/>
    </font>
    <font>
      <b/>
      <sz val="12.0"/>
      <color rgb="FFFF0000"/>
      <name val="Century Gothic"/>
    </font>
    <font>
      <b/>
      <sz val="10.0"/>
      <color theme="1"/>
      <name val="Century Gothic"/>
    </font>
    <font>
      <b/>
      <sz val="10.0"/>
      <color theme="0"/>
      <name val="Century Gothic"/>
    </font>
    <font>
      <sz val="10.0"/>
      <color theme="0"/>
      <name val="Century Gothic"/>
    </font>
    <font>
      <b/>
      <sz val="10.0"/>
      <color theme="1"/>
      <name val="Arial"/>
    </font>
    <font>
      <sz val="10.0"/>
      <color theme="1"/>
      <name val="Arial Narrow"/>
    </font>
    <font>
      <sz val="9.0"/>
      <color theme="1"/>
      <name val="Arial"/>
    </font>
    <font>
      <sz val="8.0"/>
      <color theme="1"/>
      <name val="Arial Narrow"/>
    </font>
    <font>
      <sz val="8.0"/>
      <color theme="1"/>
      <name val="Arial"/>
    </font>
    <font>
      <sz val="8.0"/>
      <color rgb="FFD8D8D8"/>
      <name val="Verdana"/>
    </font>
    <font>
      <u/>
      <sz val="8.0"/>
      <color rgb="FFC0C0C0"/>
      <name val="Arial"/>
    </font>
    <font>
      <sz val="8.0"/>
      <color rgb="FFC0C0C0"/>
      <name val="Arial"/>
    </font>
    <font>
      <b/>
      <sz val="10.0"/>
      <color rgb="FFFFFFFF"/>
      <name val="Arial"/>
    </font>
    <font>
      <u/>
      <sz val="14.0"/>
      <color rgb="FF0000FF"/>
      <name val="Arial"/>
    </font>
    <font>
      <u/>
      <sz val="14.0"/>
      <color rgb="FF969696"/>
      <name val="Arial"/>
    </font>
    <font>
      <b/>
      <sz val="8.0"/>
      <color rgb="FFD8D8D8"/>
      <name val="Verdana"/>
    </font>
    <font>
      <b/>
      <sz val="8.0"/>
      <color rgb="FFC0C0C0"/>
      <name val="Arial"/>
    </font>
    <font>
      <sz val="8.0"/>
      <color rgb="FF969696"/>
      <name val="Arial"/>
    </font>
    <font>
      <b/>
      <sz val="8.0"/>
      <color rgb="FF008000"/>
      <name val="Tahoma"/>
    </font>
    <font>
      <b/>
      <sz val="9.0"/>
      <color rgb="FF000000"/>
      <name val="Arial"/>
    </font>
    <font>
      <sz val="10.0"/>
      <color rgb="FF993300"/>
      <name val="Arial"/>
    </font>
    <font>
      <sz val="8.0"/>
      <color rgb="FF993300"/>
      <name val="Arial"/>
    </font>
    <font>
      <sz val="9.0"/>
      <color rgb="FF993300"/>
      <name val="Arial"/>
    </font>
    <font>
      <sz val="8.0"/>
      <color rgb="FF993300"/>
      <name val="Arial Narrow"/>
    </font>
    <font>
      <b/>
      <sz val="10.0"/>
      <color rgb="FF993300"/>
      <name val="Arial"/>
    </font>
    <font>
      <sz val="10.0"/>
      <color rgb="FF0000FF"/>
      <name val="Arial"/>
    </font>
    <font>
      <sz val="8.0"/>
      <color rgb="FF666699"/>
      <name val="Arial"/>
    </font>
    <font>
      <sz val="10.0"/>
      <color rgb="FF003366"/>
      <name val="Arial"/>
    </font>
    <font>
      <sz val="10.0"/>
      <color rgb="FF000000"/>
      <name val="Verdana"/>
    </font>
    <font>
      <sz val="10.0"/>
      <color rgb="FF3366FF"/>
      <name val="Verdana"/>
    </font>
    <font>
      <sz val="8.0"/>
      <color rgb="FF808080"/>
      <name val="Arial Narrow"/>
    </font>
    <font>
      <sz val="10.0"/>
      <color rgb="FF003366"/>
      <name val="Verdana"/>
    </font>
    <font>
      <b/>
      <sz val="10.0"/>
      <color rgb="FF666699"/>
      <name val="Verdana"/>
    </font>
    <font>
      <b/>
      <sz val="9.0"/>
      <color rgb="FF666699"/>
      <name val="Arial"/>
    </font>
    <font>
      <sz val="10.0"/>
      <color rgb="FF000000"/>
      <name val="Arial"/>
    </font>
    <font>
      <sz val="10.0"/>
      <color rgb="FF3366FF"/>
      <name val="Arial"/>
    </font>
    <font>
      <sz val="8.0"/>
      <color theme="1"/>
      <name val="Verdana"/>
    </font>
    <font>
      <b/>
      <sz val="9.0"/>
      <color rgb="FF99CCFF"/>
      <name val="Arial"/>
    </font>
    <font>
      <sz val="9.0"/>
      <color rgb="FF99CCFF"/>
      <name val="Arial"/>
    </font>
    <font>
      <sz val="9.0"/>
      <color theme="1"/>
      <name val="Verdana"/>
    </font>
    <font>
      <sz val="10.0"/>
      <color theme="1"/>
      <name val="Verdana"/>
    </font>
    <font>
      <color theme="1"/>
      <name val="Verdana"/>
    </font>
    <font>
      <color theme="1"/>
      <name val="Arial"/>
    </font>
    <font>
      <sz val="12.0"/>
      <color rgb="FF000000"/>
      <name val="Arial"/>
    </font>
    <font>
      <sz val="6.0"/>
      <color theme="1"/>
      <name val="Arial"/>
    </font>
    <font>
      <sz val="8.0"/>
      <color rgb="FF333333"/>
      <name val="Arial"/>
    </font>
    <font>
      <sz val="9.0"/>
      <color rgb="FF000080"/>
      <name val="Arial"/>
    </font>
    <font>
      <sz val="10.0"/>
      <color rgb="FFFF0000"/>
      <name val="Arial"/>
    </font>
    <font>
      <sz val="8.0"/>
      <color rgb="FFFF9900"/>
      <name val="Arial Narrow"/>
    </font>
    <font>
      <b/>
      <sz val="9.0"/>
      <color theme="1"/>
      <name val="Arial"/>
    </font>
    <font>
      <u/>
      <sz val="10.0"/>
      <color rgb="FF0000FF"/>
      <name val="Arial"/>
    </font>
    <font>
      <sz val="11.0"/>
      <color rgb="FF000000"/>
      <name val="Inconsolata"/>
    </font>
    <font>
      <sz val="9.0"/>
      <color theme="0"/>
      <name val="Arial"/>
    </font>
    <font>
      <u/>
      <sz val="9.0"/>
      <color rgb="FF0000FF"/>
      <name val="Arial"/>
    </font>
    <font>
      <b/>
      <u/>
      <sz val="10.0"/>
      <color rgb="FF0000FF"/>
      <name val="Arial"/>
    </font>
    <font>
      <sz val="8.0"/>
      <color rgb="FF008000"/>
      <name val="Arial Narrow"/>
    </font>
    <font>
      <sz val="9.0"/>
      <color rgb="FF333399"/>
      <name val="Verdana"/>
    </font>
    <font>
      <sz val="10.0"/>
      <color rgb="FF333399"/>
      <name val="Verdana"/>
    </font>
    <font>
      <b/>
      <sz val="10.0"/>
      <color rgb="FFFF0000"/>
      <name val="Arial"/>
    </font>
    <font>
      <b/>
      <sz val="14.0"/>
      <color rgb="FF339966"/>
      <name val="Comic Sans MS"/>
    </font>
    <font>
      <sz val="9.0"/>
      <color rgb="FF333399"/>
      <name val="Arial"/>
    </font>
    <font>
      <sz val="16.0"/>
      <color rgb="FF333399"/>
      <name val="Comic Sans MS"/>
    </font>
    <font>
      <sz val="10.0"/>
      <color rgb="FF333399"/>
      <name val="Arial"/>
    </font>
    <font>
      <b/>
      <sz val="10.0"/>
      <color rgb="FF0000FF"/>
      <name val="Arial"/>
    </font>
    <font>
      <b/>
      <sz val="10.0"/>
      <color rgb="FF993300"/>
      <name val="Arial Narrow"/>
    </font>
    <font>
      <sz val="10.0"/>
      <color rgb="FF333300"/>
      <name val="Arial Narrow"/>
    </font>
    <font>
      <sz val="9.0"/>
      <color rgb="FF333300"/>
      <name val="Arial"/>
    </font>
    <font>
      <sz val="10.0"/>
      <color rgb="FF333300"/>
      <name val="Arial"/>
    </font>
    <font>
      <sz val="10.0"/>
      <color rgb="FFCCFFFF"/>
      <name val="Arial"/>
    </font>
    <font>
      <sz val="9.0"/>
      <color rgb="FFCCFFFF"/>
      <name val="Arial"/>
    </font>
    <font>
      <sz val="8.0"/>
      <color rgb="FFCCFFFF"/>
      <name val="Arial Narrow"/>
    </font>
    <font>
      <sz val="8.0"/>
      <color rgb="FFFF6600"/>
      <name val="Arial Narrow"/>
    </font>
    <font>
      <b/>
      <sz val="10.0"/>
      <color rgb="FF0000FF"/>
      <name val="Arial Narrow"/>
    </font>
    <font>
      <u/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sz val="14.0"/>
      <color rgb="FF0000FF"/>
      <name val="Arial"/>
    </font>
    <font>
      <u/>
      <sz val="14.0"/>
      <color rgb="FF0000FF"/>
      <name val="Arial"/>
    </font>
    <font>
      <u/>
      <sz val="10.0"/>
      <color rgb="FF0000FF"/>
      <name val="Arial"/>
    </font>
    <font>
      <b/>
      <sz val="10.0"/>
      <color theme="0"/>
      <name val="Arial"/>
    </font>
    <font>
      <b/>
      <sz val="9.0"/>
      <color rgb="FFFFFFFF"/>
      <name val="Arial"/>
    </font>
    <font>
      <sz val="9.0"/>
      <color rgb="FF808080"/>
      <name val="Arial"/>
    </font>
    <font>
      <u/>
      <sz val="10.0"/>
      <color rgb="FF0000FF"/>
      <name val="Arial"/>
    </font>
    <font>
      <sz val="9.0"/>
      <color rgb="FF666699"/>
      <name val="Arial"/>
    </font>
    <font>
      <sz val="9.0"/>
      <color rgb="FF003366"/>
      <name val="Verdana"/>
    </font>
    <font>
      <sz val="9.0"/>
      <color rgb="FF000000"/>
      <name val="Verdana"/>
    </font>
    <font>
      <sz val="9.0"/>
      <color rgb="FF3366FF"/>
      <name val="Verdana"/>
    </font>
    <font>
      <sz val="9.0"/>
      <color rgb="FF808080"/>
      <name val="Arial Narrow"/>
    </font>
    <font>
      <b/>
      <sz val="9.0"/>
      <color theme="0"/>
      <name val="Arial"/>
    </font>
    <font>
      <sz val="9.0"/>
      <color rgb="FFD8D8D8"/>
      <name val="Verdana"/>
    </font>
    <font>
      <sz val="9.0"/>
      <color rgb="FFC0C0C0"/>
      <name val="Arial"/>
    </font>
    <font>
      <b/>
      <sz val="10.0"/>
      <color rgb="FF3366FF"/>
      <name val="Verdana"/>
    </font>
    <font>
      <b/>
      <sz val="10.0"/>
      <color rgb="FF3366FF"/>
      <name val="Arial"/>
    </font>
    <font>
      <b/>
      <sz val="10.0"/>
      <color rgb="FF000000"/>
      <name val="Verdana"/>
    </font>
    <font>
      <b/>
      <sz val="12.0"/>
      <color rgb="FF000000"/>
      <name val="Arial"/>
    </font>
    <font>
      <b/>
      <sz val="10.0"/>
      <color rgb="FF333399"/>
      <name val="Verdana"/>
    </font>
    <font>
      <b/>
      <sz val="10.0"/>
      <color rgb="FFCCFFFF"/>
      <name val="Arial"/>
    </font>
    <font>
      <color rgb="FF3366FF"/>
      <name val="Verdana"/>
    </font>
    <font>
      <color rgb="FF3366FF"/>
      <name val="Arial"/>
    </font>
    <font>
      <color rgb="FF333399"/>
      <name val="Arial"/>
    </font>
    <font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99CC00"/>
        <bgColor rgb="FF99CC00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rgb="FFFFFFCC"/>
      </patternFill>
    </fill>
  </fills>
  <borders count="80">
    <border/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/>
      <bottom/>
    </border>
    <border>
      <left/>
      <bottom/>
    </border>
    <border>
      <bottom/>
    </border>
    <border>
      <right style="medium">
        <color rgb="FF000000"/>
      </right>
      <bottom/>
    </border>
    <border>
      <lef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FFFFFF"/>
      </left>
      <right/>
      <top style="thick">
        <color rgb="FFFFFFFF"/>
      </top>
      <bottom style="thick">
        <color rgb="FFFFFFFF"/>
      </bottom>
    </border>
    <border>
      <left/>
      <right/>
      <top style="thick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/>
      <top style="thick">
        <color rgb="FFFFFFFF"/>
      </top>
      <bottom style="thick">
        <color rgb="FFFFFFFF"/>
      </bottom>
    </border>
    <border>
      <left/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FFFF"/>
      </right>
      <top style="thin">
        <color rgb="FF000000"/>
      </top>
      <bottom style="thin">
        <color rgb="FF000000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medium">
        <color rgb="FFFFFFFF"/>
      </left>
      <right/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/>
      <top style="thick">
        <color rgb="FFFFFFFF"/>
      </top>
      <bottom/>
    </border>
    <border>
      <top style="thick">
        <color rgb="FFFFFFFF"/>
      </top>
      <bottom/>
    </border>
    <border>
      <right/>
      <top style="thick">
        <color rgb="FFFFFFFF"/>
      </top>
      <bottom/>
    </border>
    <border>
      <left style="thick">
        <color rgb="FFFFFFFF"/>
      </left>
      <right/>
      <top/>
      <bottom/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</border>
    <border>
      <top style="thin">
        <color rgb="FF000000"/>
      </top>
    </border>
    <border>
      <right style="hair">
        <color rgb="FF000000"/>
      </right>
      <bottom style="thin">
        <color rgb="FFFFCC00"/>
      </bottom>
    </border>
    <border>
      <bottom style="thin">
        <color rgb="FFFFCC00"/>
      </bottom>
    </border>
    <border>
      <left style="thin">
        <color rgb="FFFFCC00"/>
      </left>
      <right style="thin">
        <color rgb="FFFFCC00"/>
      </right>
      <bottom style="thin">
        <color rgb="FFFFCC00"/>
      </bottom>
    </border>
    <border>
      <right style="thin">
        <color rgb="FFFFCC00"/>
      </right>
      <bottom style="hair">
        <color rgb="FF000000"/>
      </bottom>
    </border>
    <border>
      <right style="thin">
        <color rgb="FFFFCC00"/>
      </right>
      <bottom style="thin">
        <color rgb="FFFFCC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5" fillId="2" fontId="2" numFmtId="0" xfId="0" applyBorder="1" applyFont="1"/>
    <xf borderId="6" fillId="2" fontId="2" numFmtId="0" xfId="0" applyBorder="1" applyFont="1"/>
    <xf quotePrefix="1" borderId="7" fillId="2" fontId="5" numFmtId="0" xfId="0" applyAlignment="1" applyBorder="1" applyFont="1">
      <alignment horizontal="left"/>
    </xf>
    <xf borderId="8" fillId="0" fontId="4" numFmtId="0" xfId="0" applyBorder="1" applyFont="1"/>
    <xf borderId="9" fillId="0" fontId="4" numFmtId="0" xfId="0" applyBorder="1" applyFont="1"/>
    <xf borderId="10" fillId="2" fontId="2" numFmtId="0" xfId="0" applyAlignment="1" applyBorder="1" applyFont="1">
      <alignment horizontal="center"/>
    </xf>
    <xf borderId="11" fillId="2" fontId="6" numFmtId="0" xfId="0" applyAlignment="1" applyBorder="1" applyFont="1">
      <alignment horizontal="left" shrinkToFit="0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7" fillId="2" fontId="5" numFmtId="0" xfId="0" applyAlignment="1" applyBorder="1" applyFont="1">
      <alignment horizontal="left"/>
    </xf>
    <xf borderId="5" fillId="2" fontId="5" numFmtId="0" xfId="0" applyBorder="1" applyFont="1"/>
    <xf borderId="11" fillId="2" fontId="6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readingOrder="0"/>
    </xf>
    <xf borderId="18" fillId="2" fontId="6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readingOrder="0"/>
    </xf>
    <xf borderId="0" fillId="0" fontId="5" numFmtId="0" xfId="0" applyFont="1"/>
    <xf quotePrefix="1" borderId="5" fillId="2" fontId="5" numFmtId="0" xfId="0" applyBorder="1" applyFont="1"/>
    <xf borderId="5" fillId="2" fontId="6" numFmtId="0" xfId="0" applyAlignment="1" applyBorder="1" applyFont="1">
      <alignment horizontal="left" shrinkToFit="0" wrapText="1"/>
    </xf>
    <xf borderId="19" fillId="2" fontId="6" numFmtId="0" xfId="0" applyAlignment="1" applyBorder="1" applyFont="1">
      <alignment horizontal="left" shrinkToFit="0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11" fillId="2" fontId="7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 shrinkToFit="0" vertical="top" wrapText="1"/>
    </xf>
    <xf borderId="23" fillId="2" fontId="3" numFmtId="0" xfId="0" applyBorder="1" applyFont="1"/>
    <xf borderId="24" fillId="2" fontId="2" numFmtId="0" xfId="0" applyBorder="1" applyFont="1"/>
    <xf borderId="25" fillId="2" fontId="2" numFmtId="0" xfId="0" applyBorder="1" applyFont="1"/>
    <xf borderId="5" fillId="2" fontId="3" numFmtId="0" xfId="0" applyBorder="1" applyFont="1"/>
    <xf borderId="5" fillId="2" fontId="8" numFmtId="0" xfId="0" applyBorder="1" applyFont="1"/>
    <xf borderId="5" fillId="2" fontId="9" numFmtId="0" xfId="0" applyBorder="1" applyFont="1"/>
    <xf borderId="1" fillId="2" fontId="10" numFmtId="0" xfId="0" applyBorder="1" applyFont="1"/>
    <xf borderId="1" fillId="2" fontId="2" numFmtId="164" xfId="0" applyBorder="1" applyFont="1" applyNumberFormat="1"/>
    <xf borderId="1" fillId="2" fontId="2" numFmtId="9" xfId="0" applyAlignment="1" applyBorder="1" applyFont="1" applyNumberFormat="1">
      <alignment horizontal="center"/>
    </xf>
    <xf borderId="1" fillId="2" fontId="11" numFmtId="0" xfId="0" applyBorder="1" applyFont="1"/>
    <xf borderId="1" fillId="2" fontId="9" numFmtId="0" xfId="0" applyBorder="1" applyFont="1"/>
    <xf quotePrefix="1" borderId="5" fillId="2" fontId="2" numFmtId="0" xfId="0" applyBorder="1" applyFont="1"/>
    <xf borderId="19" fillId="2" fontId="2" numFmtId="0" xfId="0" applyBorder="1" applyFont="1"/>
    <xf borderId="26" fillId="2" fontId="2" numFmtId="0" xfId="0" applyBorder="1" applyFont="1"/>
    <xf borderId="27" fillId="2" fontId="2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1" fillId="3" fontId="18" numFmtId="0" xfId="0" applyAlignment="1" applyBorder="1" applyFill="1" applyFont="1">
      <alignment horizontal="center"/>
    </xf>
    <xf borderId="0" fillId="0" fontId="19" numFmtId="0" xfId="0" applyFont="1"/>
    <xf borderId="28" fillId="4" fontId="20" numFmtId="0" xfId="0" applyAlignment="1" applyBorder="1" applyFill="1" applyFont="1">
      <alignment vertical="center"/>
    </xf>
    <xf borderId="29" fillId="4" fontId="13" numFmtId="0" xfId="0" applyAlignment="1" applyBorder="1" applyFont="1">
      <alignment vertical="center"/>
    </xf>
    <xf borderId="29" fillId="4" fontId="14" numFmtId="0" xfId="0" applyAlignment="1" applyBorder="1" applyFont="1">
      <alignment vertical="center"/>
    </xf>
    <xf borderId="29" fillId="4" fontId="1" numFmtId="0" xfId="0" applyAlignment="1" applyBorder="1" applyFont="1">
      <alignment vertical="center"/>
    </xf>
    <xf borderId="29" fillId="4" fontId="15" numFmtId="0" xfId="0" applyAlignment="1" applyBorder="1" applyFont="1">
      <alignment vertical="center"/>
    </xf>
    <xf borderId="29" fillId="4" fontId="16" numFmtId="0" xfId="0" applyAlignment="1" applyBorder="1" applyFont="1">
      <alignment vertical="center"/>
    </xf>
    <xf borderId="30" fillId="4" fontId="21" numFmtId="0" xfId="0" applyAlignment="1" applyBorder="1" applyFont="1">
      <alignment horizontal="center" vertical="center"/>
    </xf>
    <xf borderId="31" fillId="0" fontId="4" numFmtId="0" xfId="0" applyBorder="1" applyFont="1"/>
    <xf borderId="32" fillId="0" fontId="4" numFmtId="0" xfId="0" applyBorder="1" applyFont="1"/>
    <xf borderId="33" fillId="4" fontId="22" numFmtId="0" xfId="0" applyAlignment="1" applyBorder="1" applyFont="1">
      <alignment horizontal="center" vertical="center"/>
    </xf>
    <xf borderId="0" fillId="0" fontId="23" numFmtId="0" xfId="0" applyFont="1"/>
    <xf borderId="0" fillId="0" fontId="24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4" numFmtId="0" xfId="0" applyFont="1"/>
    <xf borderId="0" fillId="0" fontId="25" numFmtId="0" xfId="0" applyFont="1"/>
    <xf borderId="0" fillId="0" fontId="26" numFmtId="0" xfId="0" applyFont="1"/>
    <xf borderId="34" fillId="0" fontId="27" numFmtId="0" xfId="0" applyAlignment="1" applyBorder="1" applyFont="1">
      <alignment horizontal="left"/>
    </xf>
    <xf borderId="35" fillId="0" fontId="27" numFmtId="0" xfId="0" applyAlignment="1" applyBorder="1" applyFont="1">
      <alignment horizontal="left"/>
    </xf>
    <xf borderId="35" fillId="0" fontId="28" numFmtId="0" xfId="0" applyBorder="1" applyFont="1"/>
    <xf borderId="35" fillId="0" fontId="29" numFmtId="0" xfId="0" applyAlignment="1" applyBorder="1" applyFont="1">
      <alignment horizontal="left"/>
    </xf>
    <xf borderId="35" fillId="0" fontId="4" numFmtId="0" xfId="0" applyBorder="1" applyFont="1"/>
    <xf borderId="35" fillId="0" fontId="30" numFmtId="18" xfId="0" applyBorder="1" applyFont="1" applyNumberFormat="1"/>
    <xf borderId="36" fillId="0" fontId="31" numFmtId="0" xfId="0" applyBorder="1" applyFont="1"/>
    <xf borderId="37" fillId="0" fontId="16" numFmtId="0" xfId="0" applyBorder="1" applyFont="1"/>
    <xf borderId="37" fillId="0" fontId="29" numFmtId="18" xfId="0" applyBorder="1" applyFont="1" applyNumberFormat="1"/>
    <xf borderId="37" fillId="0" fontId="32" numFmtId="0" xfId="0" applyBorder="1" applyFont="1"/>
    <xf borderId="37" fillId="0" fontId="28" numFmtId="0" xfId="0" applyBorder="1" applyFont="1"/>
    <xf borderId="37" fillId="0" fontId="33" numFmtId="0" xfId="0" applyBorder="1" applyFont="1"/>
    <xf borderId="38" fillId="0" fontId="33" numFmtId="0" xfId="0" applyBorder="1" applyFont="1"/>
    <xf borderId="39" fillId="0" fontId="34" numFmtId="14" xfId="0" applyAlignment="1" applyBorder="1" applyFont="1" applyNumberFormat="1">
      <alignment horizontal="center"/>
    </xf>
    <xf borderId="40" fillId="0" fontId="34" numFmtId="20" xfId="0" applyAlignment="1" applyBorder="1" applyFont="1" applyNumberFormat="1">
      <alignment horizontal="left"/>
    </xf>
    <xf borderId="39" fillId="0" fontId="14" numFmtId="0" xfId="0" applyAlignment="1" applyBorder="1" applyFont="1">
      <alignment horizontal="right"/>
    </xf>
    <xf borderId="40" fillId="0" fontId="35" numFmtId="0" xfId="0" applyBorder="1" applyFont="1"/>
    <xf borderId="41" fillId="5" fontId="36" numFmtId="0" xfId="0" applyAlignment="1" applyBorder="1" applyFill="1" applyFont="1">
      <alignment horizontal="center" readingOrder="0"/>
    </xf>
    <xf borderId="42" fillId="0" fontId="37" numFmtId="0" xfId="0" applyAlignment="1" applyBorder="1" applyFont="1">
      <alignment horizontal="center"/>
    </xf>
    <xf borderId="43" fillId="5" fontId="36" numFmtId="0" xfId="0" applyAlignment="1" applyBorder="1" applyFont="1">
      <alignment horizontal="center" readingOrder="0"/>
    </xf>
    <xf borderId="39" fillId="0" fontId="36" numFmtId="0" xfId="0" applyAlignment="1" applyBorder="1" applyFont="1">
      <alignment horizontal="center"/>
    </xf>
    <xf borderId="40" fillId="0" fontId="14" numFmtId="0" xfId="0" applyBorder="1" applyFont="1"/>
    <xf borderId="44" fillId="0" fontId="38" numFmtId="0" xfId="0" applyBorder="1" applyFont="1"/>
    <xf borderId="45" fillId="0" fontId="16" numFmtId="0" xfId="0" applyBorder="1" applyFont="1"/>
    <xf borderId="46" fillId="0" fontId="28" numFmtId="0" xfId="0" applyBorder="1" applyFont="1"/>
    <xf borderId="46" fillId="0" fontId="4" numFmtId="0" xfId="0" applyBorder="1" applyFont="1"/>
    <xf borderId="47" fillId="0" fontId="4" numFmtId="0" xfId="0" applyBorder="1" applyFont="1"/>
    <xf borderId="48" fillId="0" fontId="34" numFmtId="14" xfId="0" applyAlignment="1" applyBorder="1" applyFont="1" applyNumberFormat="1">
      <alignment horizontal="center"/>
    </xf>
    <xf borderId="38" fillId="0" fontId="34" numFmtId="20" xfId="0" applyAlignment="1" applyBorder="1" applyFont="1" applyNumberFormat="1">
      <alignment horizontal="left"/>
    </xf>
    <xf borderId="38" fillId="0" fontId="39" numFmtId="0" xfId="0" applyBorder="1" applyFont="1"/>
    <xf borderId="49" fillId="5" fontId="36" numFmtId="0" xfId="0" applyAlignment="1" applyBorder="1" applyFont="1">
      <alignment horizontal="center" readingOrder="0"/>
    </xf>
    <xf borderId="37" fillId="0" fontId="37" numFmtId="0" xfId="0" applyAlignment="1" applyBorder="1" applyFont="1">
      <alignment horizontal="center"/>
    </xf>
    <xf borderId="50" fillId="5" fontId="36" numFmtId="0" xfId="0" applyAlignment="1" applyBorder="1" applyFont="1">
      <alignment horizontal="center" readingOrder="0"/>
    </xf>
    <xf borderId="48" fillId="0" fontId="36" numFmtId="0" xfId="0" applyAlignment="1" applyBorder="1" applyFont="1">
      <alignment horizontal="center"/>
    </xf>
    <xf borderId="51" fillId="0" fontId="16" numFmtId="0" xfId="0" applyBorder="1" applyFont="1"/>
    <xf borderId="0" fillId="0" fontId="40" numFmtId="0" xfId="0" applyFont="1"/>
    <xf borderId="0" fillId="0" fontId="41" numFmtId="0" xfId="0" applyAlignment="1" applyFont="1">
      <alignment horizontal="center"/>
    </xf>
    <xf borderId="52" fillId="0" fontId="41" numFmtId="0" xfId="0" applyAlignment="1" applyBorder="1" applyFont="1">
      <alignment horizontal="center"/>
    </xf>
    <xf borderId="38" fillId="0" fontId="35" numFmtId="0" xfId="0" applyBorder="1" applyFont="1"/>
    <xf borderId="49" fillId="5" fontId="42" numFmtId="0" xfId="0" applyAlignment="1" applyBorder="1" applyFont="1">
      <alignment horizontal="center" readingOrder="0"/>
    </xf>
    <xf borderId="37" fillId="0" fontId="43" numFmtId="0" xfId="0" applyAlignment="1" applyBorder="1" applyFont="1">
      <alignment horizontal="center"/>
    </xf>
    <xf borderId="50" fillId="5" fontId="42" numFmtId="0" xfId="0" applyAlignment="1" applyBorder="1" applyFont="1">
      <alignment horizontal="center" readingOrder="0"/>
    </xf>
    <xf borderId="48" fillId="0" fontId="42" numFmtId="0" xfId="0" applyAlignment="1" applyBorder="1" applyFont="1">
      <alignment horizontal="center"/>
    </xf>
    <xf borderId="0" fillId="0" fontId="44" numFmtId="0" xfId="0" applyFont="1"/>
    <xf borderId="0" fillId="0" fontId="45" numFmtId="0" xfId="0" applyAlignment="1" applyFont="1">
      <alignment horizontal="center"/>
    </xf>
    <xf borderId="0" fillId="0" fontId="46" numFmtId="0" xfId="0" applyAlignment="1" applyFont="1">
      <alignment horizontal="center"/>
    </xf>
    <xf borderId="52" fillId="0" fontId="46" numFmtId="0" xfId="0" applyAlignment="1" applyBorder="1" applyFont="1">
      <alignment horizontal="center"/>
    </xf>
    <xf borderId="28" fillId="6" fontId="12" numFmtId="0" xfId="0" applyAlignment="1" applyBorder="1" applyFill="1" applyFont="1">
      <alignment vertical="center"/>
    </xf>
    <xf borderId="39" fillId="0" fontId="16" numFmtId="0" xfId="0" applyBorder="1" applyFont="1"/>
    <xf borderId="42" fillId="0" fontId="44" numFmtId="0" xfId="0" applyBorder="1" applyFont="1"/>
    <xf borderId="42" fillId="0" fontId="45" numFmtId="0" xfId="0" applyAlignment="1" applyBorder="1" applyFont="1">
      <alignment horizontal="center"/>
    </xf>
    <xf borderId="42" fillId="0" fontId="46" numFmtId="0" xfId="0" applyAlignment="1" applyBorder="1" applyFont="1">
      <alignment horizontal="center"/>
    </xf>
    <xf borderId="40" fillId="0" fontId="46" numFmtId="0" xfId="0" applyAlignment="1" applyBorder="1" applyFont="1">
      <alignment horizontal="center"/>
    </xf>
    <xf borderId="0" fillId="0" fontId="13" numFmtId="165" xfId="0" applyFont="1" applyNumberFormat="1"/>
    <xf borderId="0" fillId="0" fontId="13" numFmtId="20" xfId="0" applyFont="1" applyNumberFormat="1"/>
    <xf borderId="0" fillId="0" fontId="47" numFmtId="0" xfId="0" applyAlignment="1" applyFont="1">
      <alignment horizontal="right"/>
    </xf>
    <xf borderId="0" fillId="0" fontId="48" numFmtId="0" xfId="0" applyFont="1"/>
    <xf borderId="0" fillId="0" fontId="36" numFmtId="0" xfId="0" applyAlignment="1" applyFont="1">
      <alignment horizontal="center"/>
    </xf>
    <xf borderId="0" fillId="0" fontId="47" numFmtId="0" xfId="0" applyFont="1"/>
    <xf borderId="0" fillId="0" fontId="48" numFmtId="0" xfId="0" applyAlignment="1" applyFont="1">
      <alignment horizontal="right"/>
    </xf>
    <xf borderId="48" fillId="0" fontId="27" numFmtId="0" xfId="0" applyBorder="1" applyFont="1"/>
    <xf borderId="37" fillId="0" fontId="27" numFmtId="0" xfId="0" applyBorder="1" applyFont="1"/>
    <xf borderId="37" fillId="0" fontId="29" numFmtId="0" xfId="0" applyAlignment="1" applyBorder="1" applyFont="1">
      <alignment horizontal="left"/>
    </xf>
    <xf borderId="37" fillId="0" fontId="4" numFmtId="0" xfId="0" applyBorder="1" applyFont="1"/>
    <xf borderId="37" fillId="0" fontId="30" numFmtId="18" xfId="0" applyBorder="1" applyFont="1" applyNumberFormat="1"/>
    <xf borderId="37" fillId="0" fontId="31" numFmtId="0" xfId="0" applyBorder="1" applyFont="1"/>
    <xf borderId="39" fillId="5" fontId="49" numFmtId="0" xfId="0" applyAlignment="1" applyBorder="1" applyFont="1">
      <alignment horizontal="center" readingOrder="0" vertical="bottom"/>
    </xf>
    <xf borderId="39" fillId="5" fontId="50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right"/>
    </xf>
    <xf borderId="0" fillId="0" fontId="51" numFmtId="0" xfId="0" applyAlignment="1" applyFont="1">
      <alignment horizontal="center"/>
    </xf>
    <xf borderId="1" fillId="3" fontId="19" numFmtId="0" xfId="0" applyAlignment="1" applyBorder="1" applyFont="1">
      <alignment horizontal="center"/>
    </xf>
    <xf borderId="34" fillId="0" fontId="12" numFmtId="0" xfId="0" applyAlignment="1" applyBorder="1" applyFont="1">
      <alignment vertical="center"/>
    </xf>
    <xf borderId="35" fillId="0" fontId="13" numFmtId="0" xfId="0" applyBorder="1" applyFont="1"/>
    <xf borderId="35" fillId="0" fontId="14" numFmtId="0" xfId="0" applyBorder="1" applyFont="1"/>
    <xf borderId="53" fillId="5" fontId="1" numFmtId="0" xfId="0" applyBorder="1" applyFont="1"/>
    <xf borderId="54" fillId="7" fontId="52" numFmtId="0" xfId="0" applyAlignment="1" applyBorder="1" applyFill="1" applyFont="1">
      <alignment horizontal="center"/>
    </xf>
    <xf borderId="55" fillId="0" fontId="4" numFmtId="0" xfId="0" applyBorder="1" applyFont="1"/>
    <xf borderId="56" fillId="0" fontId="4" numFmtId="0" xfId="0" applyBorder="1" applyFont="1"/>
    <xf borderId="36" fillId="0" fontId="15" numFmtId="0" xfId="0" applyBorder="1" applyFont="1"/>
    <xf borderId="0" fillId="0" fontId="14" numFmtId="0" xfId="0" applyAlignment="1" applyFont="1">
      <alignment horizontal="left" vertical="top"/>
    </xf>
    <xf borderId="0" fillId="0" fontId="53" numFmtId="14" xfId="0" applyAlignment="1" applyFont="1" applyNumberFormat="1">
      <alignment horizontal="center"/>
    </xf>
    <xf borderId="0" fillId="0" fontId="53" numFmtId="20" xfId="0" applyAlignment="1" applyFont="1" applyNumberFormat="1">
      <alignment horizontal="left"/>
    </xf>
    <xf borderId="0" fillId="0" fontId="54" numFmtId="0" xfId="0" applyAlignment="1" applyFont="1">
      <alignment horizontal="center"/>
    </xf>
    <xf borderId="0" fillId="0" fontId="55" numFmtId="0" xfId="0" applyAlignment="1" applyFont="1">
      <alignment horizontal="center"/>
    </xf>
    <xf borderId="0" fillId="0" fontId="56" numFmtId="0" xfId="0" applyFont="1"/>
    <xf borderId="0" fillId="0" fontId="19" numFmtId="0" xfId="0" applyAlignment="1" applyFont="1">
      <alignment horizontal="left"/>
    </xf>
    <xf borderId="0" fillId="0" fontId="53" numFmtId="14" xfId="0" applyAlignment="1" applyFont="1" applyNumberFormat="1">
      <alignment horizontal="center" readingOrder="0"/>
    </xf>
    <xf borderId="0" fillId="0" fontId="55" numFmtId="0" xfId="0" applyAlignment="1" applyFont="1">
      <alignment horizontal="center" readingOrder="0"/>
    </xf>
    <xf borderId="0" fillId="0" fontId="57" numFmtId="0" xfId="0" applyAlignment="1" applyFont="1">
      <alignment horizontal="left"/>
    </xf>
    <xf borderId="0" fillId="0" fontId="58" numFmtId="0" xfId="0" applyFont="1"/>
    <xf borderId="0" fillId="8" fontId="59" numFmtId="0" xfId="0" applyAlignment="1" applyFill="1" applyFont="1">
      <alignment horizontal="left"/>
    </xf>
    <xf borderId="0" fillId="0" fontId="60" numFmtId="0" xfId="0" applyAlignment="1" applyFont="1">
      <alignment horizontal="left"/>
    </xf>
    <xf borderId="0" fillId="0" fontId="61" numFmtId="0" xfId="0" applyFont="1"/>
    <xf borderId="0" fillId="0" fontId="62" numFmtId="0" xfId="0" applyAlignment="1" applyFont="1">
      <alignment horizontal="center"/>
    </xf>
    <xf borderId="0" fillId="0" fontId="57" numFmtId="0" xfId="0" applyAlignment="1" applyFont="1">
      <alignment horizontal="right"/>
    </xf>
    <xf borderId="0" fillId="0" fontId="63" numFmtId="14" xfId="0" applyAlignment="1" applyFont="1" applyNumberFormat="1">
      <alignment horizontal="center"/>
    </xf>
    <xf borderId="0" fillId="0" fontId="63" numFmtId="20" xfId="0" applyAlignment="1" applyFont="1" applyNumberFormat="1">
      <alignment horizontal="left"/>
    </xf>
    <xf borderId="0" fillId="0" fontId="64" numFmtId="0" xfId="0" applyFont="1"/>
    <xf borderId="0" fillId="0" fontId="65" numFmtId="0" xfId="0" applyFont="1"/>
    <xf borderId="0" fillId="0" fontId="65" numFmtId="0" xfId="0" applyAlignment="1" applyFont="1">
      <alignment horizontal="center"/>
    </xf>
    <xf borderId="0" fillId="0" fontId="63" numFmtId="0" xfId="0" applyFont="1"/>
    <xf borderId="34" fillId="0" fontId="66" numFmtId="0" xfId="0" applyAlignment="1" applyBorder="1" applyFont="1">
      <alignment vertical="center"/>
    </xf>
    <xf borderId="35" fillId="0" fontId="63" numFmtId="20" xfId="0" applyAlignment="1" applyBorder="1" applyFont="1" applyNumberFormat="1">
      <alignment horizontal="left"/>
    </xf>
    <xf borderId="35" fillId="0" fontId="64" numFmtId="0" xfId="0" applyBorder="1" applyFont="1"/>
    <xf borderId="35" fillId="0" fontId="65" numFmtId="0" xfId="0" applyBorder="1" applyFont="1"/>
    <xf borderId="35" fillId="0" fontId="65" numFmtId="0" xfId="0" applyAlignment="1" applyBorder="1" applyFont="1">
      <alignment horizontal="center"/>
    </xf>
    <xf borderId="36" fillId="0" fontId="63" numFmtId="0" xfId="0" applyBorder="1" applyFont="1"/>
    <xf borderId="0" fillId="0" fontId="67" numFmtId="0" xfId="0" applyAlignment="1" applyFont="1">
      <alignment horizontal="left"/>
    </xf>
    <xf borderId="0" fillId="0" fontId="68" numFmtId="0" xfId="0" applyAlignment="1" applyFont="1">
      <alignment horizontal="center"/>
    </xf>
    <xf borderId="0" fillId="0" fontId="69" numFmtId="0" xfId="0" applyAlignment="1" applyFont="1">
      <alignment horizontal="left" vertical="center"/>
    </xf>
    <xf borderId="0" fillId="0" fontId="68" numFmtId="0" xfId="0" applyFont="1"/>
    <xf borderId="0" fillId="0" fontId="70" numFmtId="0" xfId="0" applyFont="1"/>
    <xf borderId="34" fillId="0" fontId="71" numFmtId="0" xfId="0" applyAlignment="1" applyBorder="1" applyFont="1">
      <alignment vertical="center"/>
    </xf>
    <xf borderId="35" fillId="0" fontId="68" numFmtId="0" xfId="0" applyBorder="1" applyFont="1"/>
    <xf borderId="35" fillId="0" fontId="70" numFmtId="0" xfId="0" applyBorder="1" applyFont="1"/>
    <xf borderId="35" fillId="0" fontId="36" numFmtId="0" xfId="0" applyAlignment="1" applyBorder="1" applyFont="1">
      <alignment horizontal="center"/>
    </xf>
    <xf borderId="0" fillId="0" fontId="70" numFmtId="0" xfId="0" applyAlignment="1" applyFont="1">
      <alignment horizontal="center"/>
    </xf>
    <xf borderId="34" fillId="0" fontId="72" numFmtId="0" xfId="0" applyAlignment="1" applyBorder="1" applyFont="1">
      <alignment vertical="center"/>
    </xf>
    <xf borderId="35" fillId="0" fontId="1" numFmtId="0" xfId="0" applyBorder="1" applyFont="1"/>
    <xf borderId="34" fillId="0" fontId="71" numFmtId="0" xfId="0" applyAlignment="1" applyBorder="1" applyFont="1">
      <alignment readingOrder="0" vertical="center"/>
    </xf>
    <xf borderId="35" fillId="0" fontId="73" numFmtId="0" xfId="0" applyBorder="1" applyFont="1"/>
    <xf borderId="35" fillId="0" fontId="74" numFmtId="0" xfId="0" applyBorder="1" applyFont="1"/>
    <xf borderId="35" fillId="0" fontId="75" numFmtId="0" xfId="0" applyBorder="1" applyFont="1"/>
    <xf borderId="35" fillId="0" fontId="76" numFmtId="0" xfId="0" applyBorder="1" applyFont="1"/>
    <xf borderId="35" fillId="0" fontId="77" numFmtId="0" xfId="0" applyBorder="1" applyFont="1"/>
    <xf borderId="36" fillId="0" fontId="78" numFmtId="0" xfId="0" applyBorder="1" applyFont="1"/>
    <xf borderId="57" fillId="9" fontId="27" numFmtId="0" xfId="0" applyAlignment="1" applyBorder="1" applyFill="1" applyFont="1">
      <alignment horizontal="center"/>
    </xf>
    <xf borderId="57" fillId="10" fontId="27" numFmtId="0" xfId="0" applyAlignment="1" applyBorder="1" applyFill="1" applyFont="1">
      <alignment horizontal="center"/>
    </xf>
    <xf borderId="0" fillId="0" fontId="79" numFmtId="0" xfId="0" applyFont="1"/>
    <xf borderId="34" fillId="0" fontId="80" numFmtId="0" xfId="0" applyAlignment="1" applyBorder="1" applyFont="1">
      <alignment horizontal="left" vertical="center"/>
    </xf>
    <xf borderId="58" fillId="0" fontId="4" numFmtId="0" xfId="0" applyBorder="1" applyFont="1"/>
    <xf borderId="59" fillId="5" fontId="12" numFmtId="0" xfId="0" applyAlignment="1" applyBorder="1" applyFont="1">
      <alignment horizontal="left" vertical="center"/>
    </xf>
    <xf borderId="34" fillId="0" fontId="13" numFmtId="0" xfId="0" applyAlignment="1" applyBorder="1" applyFont="1">
      <alignment horizontal="left" vertical="center"/>
    </xf>
    <xf borderId="59" fillId="5" fontId="12" numFmtId="0" xfId="0" applyAlignment="1" applyBorder="1" applyFont="1">
      <alignment horizontal="left" readingOrder="0" vertical="center"/>
    </xf>
    <xf borderId="0" fillId="0" fontId="81" numFmtId="0" xfId="0" applyFont="1"/>
    <xf borderId="57" fillId="0" fontId="82" numFmtId="0" xfId="0" applyAlignment="1" applyBorder="1" applyFont="1">
      <alignment readingOrder="0"/>
    </xf>
    <xf borderId="0" fillId="0" fontId="82" numFmtId="0" xfId="0" applyAlignment="1" applyFont="1">
      <alignment readingOrder="0"/>
    </xf>
    <xf borderId="57" fillId="0" fontId="83" numFmtId="0" xfId="0" applyAlignment="1" applyBorder="1" applyFont="1">
      <alignment readingOrder="0"/>
    </xf>
    <xf borderId="57" fillId="0" fontId="83" numFmtId="166" xfId="0" applyBorder="1" applyFont="1" applyNumberFormat="1"/>
    <xf borderId="57" fillId="0" fontId="82" numFmtId="0" xfId="0" applyBorder="1" applyFont="1"/>
    <xf borderId="0" fillId="0" fontId="83" numFmtId="0" xfId="0" applyAlignment="1" applyFont="1">
      <alignment readingOrder="0"/>
    </xf>
    <xf borderId="0" fillId="0" fontId="83" numFmtId="166" xfId="0" applyFont="1" applyNumberFormat="1"/>
    <xf borderId="0" fillId="0" fontId="82" numFmtId="0" xfId="0" applyFont="1"/>
    <xf borderId="0" fillId="0" fontId="12" numFmtId="0" xfId="0" applyAlignment="1" applyFont="1">
      <alignment horizontal="center"/>
    </xf>
    <xf borderId="60" fillId="4" fontId="84" numFmtId="0" xfId="0" applyAlignment="1" applyBorder="1" applyFont="1">
      <alignment horizontal="center" vertical="center"/>
    </xf>
    <xf borderId="29" fillId="4" fontId="85" numFmtId="0" xfId="0" applyAlignment="1" applyBorder="1" applyFont="1">
      <alignment horizontal="center" vertical="center"/>
    </xf>
    <xf borderId="0" fillId="0" fontId="66" numFmtId="0" xfId="0" applyFont="1"/>
    <xf borderId="28" fillId="4" fontId="20" numFmtId="0" xfId="0" applyAlignment="1" applyBorder="1" applyFont="1">
      <alignment horizontal="left" vertical="center"/>
    </xf>
    <xf borderId="29" fillId="4" fontId="20" numFmtId="0" xfId="0" applyAlignment="1" applyBorder="1" applyFont="1">
      <alignment horizontal="left" vertical="center"/>
    </xf>
    <xf borderId="28" fillId="5" fontId="12" numFmtId="0" xfId="0" applyAlignment="1" applyBorder="1" applyFont="1">
      <alignment horizontal="left" vertical="center"/>
    </xf>
    <xf borderId="29" fillId="5" fontId="12" numFmtId="0" xfId="0" applyAlignment="1" applyBorder="1" applyFont="1">
      <alignment horizontal="left" vertical="center"/>
    </xf>
    <xf borderId="59" fillId="4" fontId="20" numFmtId="0" xfId="0" applyAlignment="1" applyBorder="1" applyFont="1">
      <alignment horizontal="center" vertical="center"/>
    </xf>
    <xf borderId="61" fillId="0" fontId="4" numFmtId="0" xfId="0" applyBorder="1" applyFont="1"/>
    <xf borderId="28" fillId="5" fontId="86" numFmtId="0" xfId="0" applyAlignment="1" applyBorder="1" applyFont="1">
      <alignment horizontal="left" vertical="center"/>
    </xf>
    <xf borderId="62" fillId="11" fontId="87" numFmtId="0" xfId="0" applyAlignment="1" applyBorder="1" applyFill="1" applyFont="1">
      <alignment horizontal="center" vertical="center"/>
    </xf>
    <xf borderId="63" fillId="0" fontId="4" numFmtId="0" xfId="0" applyBorder="1" applyFont="1"/>
    <xf borderId="64" fillId="0" fontId="4" numFmtId="0" xfId="0" applyBorder="1" applyFont="1"/>
    <xf borderId="65" fillId="4" fontId="20" numFmtId="0" xfId="0" applyAlignment="1" applyBorder="1" applyFont="1">
      <alignment horizontal="left" vertical="center"/>
    </xf>
    <xf borderId="1" fillId="4" fontId="20" numFmtId="0" xfId="0" applyAlignment="1" applyBorder="1" applyFont="1">
      <alignment horizontal="left" vertical="center"/>
    </xf>
    <xf borderId="62" fillId="12" fontId="87" numFmtId="0" xfId="0" applyAlignment="1" applyBorder="1" applyFill="1" applyFont="1">
      <alignment horizontal="center" vertical="center"/>
    </xf>
    <xf borderId="28" fillId="4" fontId="88" numFmtId="0" xfId="0" applyAlignment="1" applyBorder="1" applyFont="1">
      <alignment horizontal="center" vertical="center"/>
    </xf>
    <xf borderId="28" fillId="12" fontId="87" numFmtId="0" xfId="0" applyAlignment="1" applyBorder="1" applyFont="1">
      <alignment horizontal="center" vertical="center"/>
    </xf>
    <xf borderId="41" fillId="5" fontId="36" numFmtId="0" xfId="0" applyAlignment="1" applyBorder="1" applyFont="1">
      <alignment horizontal="center"/>
    </xf>
    <xf borderId="43" fillId="5" fontId="36" numFmtId="0" xfId="0" applyAlignment="1" applyBorder="1" applyFont="1">
      <alignment horizontal="center"/>
    </xf>
    <xf borderId="49" fillId="5" fontId="36" numFmtId="0" xfId="0" applyAlignment="1" applyBorder="1" applyFont="1">
      <alignment horizontal="center"/>
    </xf>
    <xf borderId="50" fillId="5" fontId="36" numFmtId="0" xfId="0" applyAlignment="1" applyBorder="1" applyFont="1">
      <alignment horizontal="center"/>
    </xf>
    <xf borderId="49" fillId="5" fontId="42" numFmtId="0" xfId="0" applyAlignment="1" applyBorder="1" applyFont="1">
      <alignment horizontal="center"/>
    </xf>
    <xf borderId="50" fillId="5" fontId="42" numFmtId="0" xfId="0" applyAlignment="1" applyBorder="1" applyFont="1">
      <alignment horizontal="center"/>
    </xf>
    <xf borderId="48" fillId="0" fontId="70" numFmtId="0" xfId="0" applyAlignment="1" applyBorder="1" applyFont="1">
      <alignment horizontal="center"/>
    </xf>
    <xf borderId="37" fillId="0" fontId="43" numFmtId="0" xfId="0" applyAlignment="1" applyBorder="1" applyFont="1">
      <alignment horizontal="center" readingOrder="0"/>
    </xf>
    <xf borderId="38" fillId="0" fontId="70" numFmtId="0" xfId="0" applyAlignment="1" applyBorder="1" applyFont="1">
      <alignment horizontal="center"/>
    </xf>
    <xf borderId="0" fillId="0" fontId="14" numFmtId="0" xfId="0" applyAlignment="1" applyFont="1">
      <alignment horizontal="left"/>
    </xf>
    <xf borderId="1" fillId="5" fontId="53" numFmtId="14" xfId="0" applyAlignment="1" applyBorder="1" applyFont="1" applyNumberFormat="1">
      <alignment horizontal="center"/>
    </xf>
    <xf borderId="1" fillId="5" fontId="53" numFmtId="20" xfId="0" applyAlignment="1" applyBorder="1" applyFont="1" applyNumberFormat="1">
      <alignment horizontal="left"/>
    </xf>
    <xf borderId="1" fillId="5" fontId="55" numFmtId="0" xfId="0" applyAlignment="1" applyBorder="1" applyFont="1">
      <alignment horizontal="center"/>
    </xf>
    <xf borderId="49" fillId="5" fontId="70" numFmtId="0" xfId="0" applyAlignment="1" applyBorder="1" applyFont="1">
      <alignment horizontal="center"/>
    </xf>
    <xf borderId="66" fillId="5" fontId="43" numFmtId="0" xfId="0" applyAlignment="1" applyBorder="1" applyFont="1">
      <alignment horizontal="center"/>
    </xf>
    <xf borderId="50" fillId="5" fontId="70" numFmtId="0" xfId="0" applyAlignment="1" applyBorder="1" applyFont="1">
      <alignment horizontal="center"/>
    </xf>
    <xf borderId="1" fillId="5" fontId="79" numFmtId="0" xfId="0" applyBorder="1" applyFont="1"/>
    <xf borderId="0" fillId="0" fontId="88" numFmtId="0" xfId="0" applyFont="1"/>
    <xf borderId="0" fillId="0" fontId="89" numFmtId="0" xfId="0" applyFont="1"/>
    <xf borderId="29" fillId="5" fontId="12" numFmtId="0" xfId="0" applyAlignment="1" applyBorder="1" applyFont="1">
      <alignment horizontal="left" readingOrder="0" vertical="center"/>
    </xf>
    <xf borderId="0" fillId="0" fontId="16" numFmtId="0" xfId="0" applyAlignment="1" applyFont="1">
      <alignment readingOrder="0"/>
    </xf>
    <xf borderId="37" fillId="0" fontId="37" numFmtId="0" xfId="0" applyAlignment="1" applyBorder="1" applyFont="1">
      <alignment horizontal="center" readingOrder="0"/>
    </xf>
    <xf borderId="48" fillId="0" fontId="70" numFmtId="0" xfId="0" applyAlignment="1" applyBorder="1" applyFont="1">
      <alignment horizontal="center" readingOrder="0"/>
    </xf>
    <xf borderId="38" fillId="0" fontId="70" numFmtId="0" xfId="0" applyAlignment="1" applyBorder="1" applyFont="1">
      <alignment horizontal="center" readingOrder="0"/>
    </xf>
    <xf borderId="49" fillId="5" fontId="70" numFmtId="0" xfId="0" applyAlignment="1" applyBorder="1" applyFont="1">
      <alignment horizontal="center" readingOrder="0"/>
    </xf>
    <xf borderId="50" fillId="5" fontId="70" numFmtId="0" xfId="0" applyAlignment="1" applyBorder="1" applyFont="1">
      <alignment horizontal="center" readingOrder="0"/>
    </xf>
    <xf borderId="28" fillId="5" fontId="12" numFmtId="0" xfId="0" applyAlignment="1" applyBorder="1" applyFont="1">
      <alignment horizontal="left" readingOrder="0" vertical="center"/>
    </xf>
    <xf borderId="28" fillId="5" fontId="90" numFmtId="0" xfId="0" applyAlignment="1" applyBorder="1" applyFont="1">
      <alignment horizontal="left" readingOrder="0" vertical="center"/>
    </xf>
    <xf borderId="48" fillId="0" fontId="91" numFmtId="14" xfId="0" applyAlignment="1" applyBorder="1" applyFont="1" applyNumberFormat="1">
      <alignment horizontal="center"/>
    </xf>
    <xf borderId="38" fillId="0" fontId="91" numFmtId="20" xfId="0" applyAlignment="1" applyBorder="1" applyFont="1" applyNumberFormat="1">
      <alignment horizontal="left"/>
    </xf>
    <xf borderId="38" fillId="0" fontId="92" numFmtId="0" xfId="0" applyBorder="1" applyFont="1"/>
    <xf borderId="49" fillId="5" fontId="93" numFmtId="0" xfId="0" applyAlignment="1" applyBorder="1" applyFont="1">
      <alignment horizontal="center" readingOrder="0"/>
    </xf>
    <xf borderId="37" fillId="0" fontId="94" numFmtId="0" xfId="0" applyAlignment="1" applyBorder="1" applyFont="1">
      <alignment horizontal="center"/>
    </xf>
    <xf borderId="50" fillId="5" fontId="93" numFmtId="0" xfId="0" applyAlignment="1" applyBorder="1" applyFont="1">
      <alignment horizontal="center" readingOrder="0"/>
    </xf>
    <xf borderId="48" fillId="0" fontId="93" numFmtId="0" xfId="0" applyAlignment="1" applyBorder="1" applyFont="1">
      <alignment horizontal="center"/>
    </xf>
    <xf borderId="44" fillId="0" fontId="95" numFmtId="0" xfId="0" applyBorder="1" applyFont="1"/>
    <xf borderId="51" fillId="0" fontId="14" numFmtId="0" xfId="0" applyBorder="1" applyFont="1"/>
    <xf borderId="28" fillId="4" fontId="88" numFmtId="0" xfId="0" applyAlignment="1" applyBorder="1" applyFont="1">
      <alignment vertical="center"/>
    </xf>
    <xf borderId="28" fillId="6" fontId="57" numFmtId="0" xfId="0" applyAlignment="1" applyBorder="1" applyFont="1">
      <alignment vertical="center"/>
    </xf>
    <xf borderId="28" fillId="12" fontId="96" numFmtId="0" xfId="0" applyAlignment="1" applyBorder="1" applyFont="1">
      <alignment horizontal="center" vertical="center"/>
    </xf>
    <xf borderId="0" fillId="0" fontId="97" numFmtId="0" xfId="0" applyFont="1"/>
    <xf borderId="0" fillId="0" fontId="98" numFmtId="0" xfId="0" applyFont="1"/>
    <xf borderId="29" fillId="4" fontId="12" numFmtId="0" xfId="0" applyAlignment="1" applyBorder="1" applyFont="1">
      <alignment vertical="center"/>
    </xf>
    <xf borderId="42" fillId="0" fontId="99" numFmtId="0" xfId="0" applyAlignment="1" applyBorder="1" applyFont="1">
      <alignment horizontal="center"/>
    </xf>
    <xf borderId="37" fillId="0" fontId="99" numFmtId="0" xfId="0" applyAlignment="1" applyBorder="1" applyFont="1">
      <alignment horizontal="center"/>
    </xf>
    <xf borderId="37" fillId="0" fontId="100" numFmtId="0" xfId="0" applyAlignment="1" applyBorder="1" applyFont="1">
      <alignment horizontal="center"/>
    </xf>
    <xf borderId="0" fillId="0" fontId="101" numFmtId="0" xfId="0" applyAlignment="1" applyFont="1">
      <alignment horizontal="center"/>
    </xf>
    <xf borderId="0" fillId="0" fontId="102" numFmtId="0" xfId="0" applyAlignment="1" applyFont="1">
      <alignment horizontal="center"/>
    </xf>
    <xf borderId="0" fillId="0" fontId="103" numFmtId="0" xfId="0" applyAlignment="1" applyFont="1">
      <alignment horizontal="center"/>
    </xf>
    <xf borderId="35" fillId="0" fontId="103" numFmtId="0" xfId="0" applyAlignment="1" applyBorder="1" applyFont="1">
      <alignment horizontal="center"/>
    </xf>
    <xf borderId="35" fillId="0" fontId="101" numFmtId="0" xfId="0" applyAlignment="1" applyBorder="1" applyFont="1">
      <alignment horizontal="center"/>
    </xf>
    <xf borderId="35" fillId="0" fontId="12" numFmtId="0" xfId="0" applyBorder="1" applyFont="1"/>
    <xf borderId="35" fillId="0" fontId="104" numFmtId="0" xfId="0" applyBorder="1" applyFont="1"/>
    <xf borderId="66" fillId="5" fontId="100" numFmtId="0" xfId="0" applyAlignment="1" applyBorder="1" applyFont="1">
      <alignment horizontal="center"/>
    </xf>
    <xf borderId="67" fillId="5" fontId="49" numFmtId="0" xfId="0" applyAlignment="1" applyBorder="1" applyFont="1">
      <alignment horizontal="center" vertical="bottom"/>
    </xf>
    <xf borderId="68" fillId="0" fontId="105" numFmtId="0" xfId="0" applyAlignment="1" applyBorder="1" applyFont="1">
      <alignment horizontal="center" vertical="bottom"/>
    </xf>
    <xf borderId="69" fillId="5" fontId="49" numFmtId="0" xfId="0" applyAlignment="1" applyBorder="1" applyFont="1">
      <alignment horizontal="center" vertical="bottom"/>
    </xf>
    <xf borderId="39" fillId="5" fontId="49" numFmtId="0" xfId="0" applyAlignment="1" applyBorder="1" applyFont="1">
      <alignment horizontal="center" vertical="bottom"/>
    </xf>
    <xf borderId="42" fillId="0" fontId="105" numFmtId="0" xfId="0" applyAlignment="1" applyBorder="1" applyFont="1">
      <alignment horizontal="center" vertical="bottom"/>
    </xf>
    <xf borderId="40" fillId="5" fontId="49" numFmtId="0" xfId="0" applyAlignment="1" applyBorder="1" applyFont="1">
      <alignment horizontal="center" readingOrder="0" vertical="bottom"/>
    </xf>
    <xf borderId="39" fillId="5" fontId="50" numFmtId="0" xfId="0" applyAlignment="1" applyBorder="1" applyFont="1">
      <alignment horizontal="center" vertical="bottom"/>
    </xf>
    <xf borderId="42" fillId="0" fontId="106" numFmtId="0" xfId="0" applyAlignment="1" applyBorder="1" applyFont="1">
      <alignment horizontal="center" vertical="bottom"/>
    </xf>
    <xf borderId="40" fillId="5" fontId="50" numFmtId="0" xfId="0" applyAlignment="1" applyBorder="1" applyFont="1">
      <alignment horizontal="center" vertical="bottom"/>
    </xf>
    <xf borderId="40" fillId="5" fontId="49" numFmtId="0" xfId="0" applyAlignment="1" applyBorder="1" applyFont="1">
      <alignment horizontal="center" vertical="bottom"/>
    </xf>
    <xf borderId="42" fillId="0" fontId="50" numFmtId="0" xfId="0" applyAlignment="1" applyBorder="1" applyFont="1">
      <alignment vertical="bottom"/>
    </xf>
    <xf borderId="70" fillId="0" fontId="50" numFmtId="0" xfId="0" applyAlignment="1" applyBorder="1" applyFont="1">
      <alignment readingOrder="0" vertical="bottom"/>
    </xf>
    <xf borderId="42" fillId="0" fontId="107" numFmtId="0" xfId="0" applyAlignment="1" applyBorder="1" applyFont="1">
      <alignment horizontal="center" readingOrder="0" vertical="bottom"/>
    </xf>
    <xf borderId="40" fillId="0" fontId="107" numFmtId="0" xfId="0" applyAlignment="1" applyBorder="1" applyFont="1">
      <alignment horizontal="center" readingOrder="0" vertical="bottom"/>
    </xf>
    <xf borderId="71" fillId="0" fontId="50" numFmtId="0" xfId="0" applyAlignment="1" applyBorder="1" applyFont="1">
      <alignment readingOrder="0" vertical="bottom"/>
    </xf>
    <xf borderId="52" fillId="0" fontId="50" numFmtId="0" xfId="0" applyAlignment="1" applyBorder="1" applyFont="1">
      <alignment readingOrder="0" vertical="bottom"/>
    </xf>
    <xf borderId="0" fillId="0" fontId="50" numFmtId="0" xfId="0" applyAlignment="1" applyFont="1">
      <alignment readingOrder="0" vertical="bottom"/>
    </xf>
    <xf borderId="72" fillId="0" fontId="50" numFmtId="0" xfId="0" applyAlignment="1" applyBorder="1" applyFont="1">
      <alignment readingOrder="0" vertical="bottom"/>
    </xf>
    <xf borderId="73" fillId="0" fontId="50" numFmtId="0" xfId="0" applyAlignment="1" applyBorder="1" applyFont="1">
      <alignment readingOrder="0" vertical="bottom"/>
    </xf>
    <xf borderId="74" fillId="13" fontId="108" numFmtId="0" xfId="0" applyAlignment="1" applyBorder="1" applyFill="1" applyFont="1">
      <alignment horizontal="center" readingOrder="0" vertical="bottom"/>
    </xf>
    <xf borderId="75" fillId="0" fontId="107" numFmtId="0" xfId="0" applyAlignment="1" applyBorder="1" applyFont="1">
      <alignment horizontal="center" readingOrder="0" vertical="bottom"/>
    </xf>
    <xf borderId="76" fillId="13" fontId="108" numFmtId="0" xfId="0" applyAlignment="1" applyBorder="1" applyFont="1">
      <alignment horizontal="center" readingOrder="0" vertical="bottom"/>
    </xf>
    <xf borderId="77" fillId="0" fontId="50" numFmtId="0" xfId="0" applyAlignment="1" applyBorder="1" applyFont="1">
      <alignment vertical="bottom"/>
    </xf>
    <xf borderId="52" fillId="0" fontId="50" numFmtId="0" xfId="0" applyAlignment="1" applyBorder="1" applyFont="1">
      <alignment vertical="bottom"/>
    </xf>
    <xf borderId="0" fillId="0" fontId="50" numFmtId="0" xfId="0" applyAlignment="1" applyFont="1">
      <alignment vertical="bottom"/>
    </xf>
    <xf borderId="78" fillId="5" fontId="50" numFmtId="0" xfId="0" applyAlignment="1" applyBorder="1" applyFont="1">
      <alignment vertical="bottom"/>
    </xf>
    <xf borderId="42" fillId="5" fontId="107" numFmtId="0" xfId="0" applyAlignment="1" applyBorder="1" applyFont="1">
      <alignment horizontal="center" readingOrder="0" vertical="bottom"/>
    </xf>
    <xf borderId="42" fillId="5" fontId="106" numFmtId="0" xfId="0" applyAlignment="1" applyBorder="1" applyFont="1">
      <alignment horizontal="center" vertical="bottom"/>
    </xf>
    <xf borderId="79" fillId="5" fontId="50" numFmtId="0" xfId="0" applyAlignment="1" applyBorder="1" applyFont="1">
      <alignment vertical="bottom"/>
    </xf>
  </cellXfs>
  <cellStyles count="1">
    <cellStyle xfId="0" name="Normal" builtinId="0"/>
  </cellStyles>
  <dxfs count="5">
    <dxf>
      <font>
        <color rgb="FF3366FF"/>
      </font>
      <fill>
        <patternFill patternType="solid">
          <fgColor rgb="FFC0C0C0"/>
          <bgColor rgb="FFC0C0C0"/>
        </patternFill>
      </fill>
      <border/>
    </dxf>
    <dxf>
      <font>
        <color rgb="FF3366FF"/>
      </font>
      <fill>
        <patternFill patternType="none"/>
      </fill>
      <border/>
    </dxf>
    <dxf>
      <font/>
      <fill>
        <patternFill patternType="solid">
          <fgColor rgb="FFFFFFCC"/>
          <bgColor rgb="FFFFFFCC"/>
        </patternFill>
      </fill>
      <border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</border>
    </dxf>
    <dxf>
      <font>
        <color rgb="FF000000"/>
      </font>
      <fill>
        <patternFill patternType="none"/>
      </fill>
      <border>
        <left style="hair">
          <color rgb="FFFF9900"/>
        </left>
        <right style="hair">
          <color rgb="FFFF9900"/>
        </right>
        <top style="hair">
          <color rgb="FFFF9900"/>
        </top>
        <bottom style="hair">
          <color rgb="FFFF9900"/>
        </bottom>
      </border>
    </dxf>
    <dxf>
      <font>
        <color rgb="FFFF0000"/>
      </font>
      <fill>
        <patternFill patternType="none"/>
      </fill>
      <border>
        <left style="hair">
          <color rgb="FFFF9900"/>
        </left>
        <right style="hair">
          <color rgb="FFFF9900"/>
        </right>
        <top style="hair">
          <color rgb="FFFF9900"/>
        </top>
        <bottom style="hair">
          <color rgb="FFFF99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2</xdr:row>
      <xdr:rowOff>47625</xdr:rowOff>
    </xdr:from>
    <xdr:ext cx="4019550" cy="2181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3.25"/>
    <col customWidth="1" min="3" max="3" width="6.5"/>
    <col customWidth="1" min="4" max="4" width="9.13"/>
    <col customWidth="1" min="5" max="5" width="4.5"/>
    <col customWidth="1" min="6" max="6" width="9.13"/>
    <col customWidth="1" min="7" max="7" width="3.88"/>
    <col customWidth="1" min="8" max="8" width="11.5"/>
    <col customWidth="1" min="9" max="9" width="5.88"/>
    <col customWidth="1" min="10" max="10" width="14.5"/>
    <col customWidth="1" min="11" max="11" width="6.0"/>
    <col customWidth="1" min="12" max="12" width="25.13"/>
    <col customWidth="1" min="13" max="13" width="16.88"/>
    <col customWidth="1" min="14" max="26" width="9.13"/>
  </cols>
  <sheetData>
    <row r="1" ht="12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7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8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1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1"/>
      <c r="C5" s="12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4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5"/>
      <c r="C6" s="16"/>
      <c r="D6" s="17"/>
      <c r="E6" s="17"/>
      <c r="F6" s="17"/>
      <c r="G6" s="17"/>
      <c r="H6" s="17"/>
      <c r="I6" s="17"/>
      <c r="J6" s="17"/>
      <c r="K6" s="17"/>
      <c r="L6" s="17"/>
      <c r="M6" s="18"/>
      <c r="N6" s="1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1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20"/>
      <c r="C8" s="21" t="s">
        <v>3</v>
      </c>
      <c r="D8" s="13"/>
      <c r="E8" s="13"/>
      <c r="F8" s="13"/>
      <c r="G8" s="13"/>
      <c r="H8" s="13"/>
      <c r="I8" s="13"/>
      <c r="J8" s="13"/>
      <c r="K8" s="13"/>
      <c r="L8" s="13"/>
      <c r="M8" s="14"/>
      <c r="N8" s="1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.25" customHeight="1">
      <c r="A9" s="1"/>
      <c r="B9" s="6"/>
      <c r="C9" s="16"/>
      <c r="D9" s="17"/>
      <c r="E9" s="17"/>
      <c r="F9" s="17"/>
      <c r="G9" s="17"/>
      <c r="H9" s="17"/>
      <c r="I9" s="17"/>
      <c r="J9" s="17"/>
      <c r="K9" s="17"/>
      <c r="L9" s="17"/>
      <c r="M9" s="18"/>
      <c r="N9" s="1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22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7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0"/>
      <c r="C11" s="23"/>
      <c r="D11" s="9"/>
      <c r="E11" s="9"/>
      <c r="F11" s="9"/>
      <c r="G11" s="9"/>
      <c r="H11" s="9"/>
      <c r="I11" s="9"/>
      <c r="J11" s="9"/>
      <c r="K11" s="9"/>
      <c r="L11" s="9"/>
      <c r="M11" s="10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24" t="s"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7"/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25" t="s">
        <v>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7"/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25" t="s">
        <v>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7"/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25" t="s">
        <v>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7"/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26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7"/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26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7"/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20"/>
      <c r="C18" s="21" t="s">
        <v>11</v>
      </c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.5" customHeight="1">
      <c r="A19" s="1"/>
      <c r="B19" s="20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26" t="s">
        <v>12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7"/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27"/>
      <c r="C21" s="21" t="s">
        <v>13</v>
      </c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8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7"/>
      <c r="C23" s="32" t="s">
        <v>14</v>
      </c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8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1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35" t="s">
        <v>15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38"/>
      <c r="C28" s="2"/>
      <c r="D28" s="2"/>
      <c r="E28" s="2"/>
      <c r="F28" s="2"/>
      <c r="G28" s="2"/>
      <c r="H28" s="2"/>
      <c r="I28" s="2"/>
      <c r="J28" s="2"/>
      <c r="K28" s="2"/>
      <c r="L28" s="2"/>
      <c r="M28" s="7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39" t="s">
        <v>16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7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7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40" t="s">
        <v>17</v>
      </c>
      <c r="C31" s="2"/>
      <c r="D31" s="2"/>
      <c r="E31" s="2"/>
      <c r="F31" s="2"/>
      <c r="G31" s="2"/>
      <c r="H31" s="2"/>
      <c r="I31" s="41">
        <v>1.0</v>
      </c>
      <c r="J31" s="2"/>
      <c r="K31" s="2"/>
      <c r="L31" s="2"/>
      <c r="M31" s="7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6" t="s">
        <v>18</v>
      </c>
      <c r="C32" s="2"/>
      <c r="D32" s="2"/>
      <c r="E32" s="2"/>
      <c r="F32" s="2"/>
      <c r="G32" s="2"/>
      <c r="H32" s="2"/>
      <c r="I32" s="41"/>
      <c r="J32" s="42"/>
      <c r="K32" s="2"/>
      <c r="L32" s="2"/>
      <c r="M32" s="7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6"/>
      <c r="C33" s="2"/>
      <c r="D33" s="2"/>
      <c r="E33" s="2"/>
      <c r="F33" s="2"/>
      <c r="G33" s="2"/>
      <c r="H33" s="2"/>
      <c r="I33" s="41"/>
      <c r="J33" s="2"/>
      <c r="K33" s="2"/>
      <c r="L33" s="2"/>
      <c r="M33" s="7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40" t="s">
        <v>19</v>
      </c>
      <c r="C34" s="2"/>
      <c r="D34" s="2"/>
      <c r="E34" s="2"/>
      <c r="F34" s="2"/>
      <c r="G34" s="2"/>
      <c r="H34" s="2"/>
      <c r="I34" s="41">
        <v>2.0</v>
      </c>
      <c r="J34" s="2"/>
      <c r="K34" s="2"/>
      <c r="L34" s="2"/>
      <c r="M34" s="7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6" t="s">
        <v>20</v>
      </c>
      <c r="C35" s="2"/>
      <c r="D35" s="2"/>
      <c r="E35" s="2"/>
      <c r="F35" s="2"/>
      <c r="G35" s="2"/>
      <c r="H35" s="2"/>
      <c r="I35" s="41"/>
      <c r="J35" s="2"/>
      <c r="K35" s="43"/>
      <c r="L35" s="2"/>
      <c r="M35" s="7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6"/>
      <c r="C36" s="2"/>
      <c r="D36" s="2"/>
      <c r="E36" s="2"/>
      <c r="F36" s="2"/>
      <c r="G36" s="2"/>
      <c r="H36" s="2"/>
      <c r="I36" s="41"/>
      <c r="J36" s="2"/>
      <c r="K36" s="43"/>
      <c r="L36" s="2"/>
      <c r="M36" s="7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40" t="s">
        <v>21</v>
      </c>
      <c r="C37" s="2"/>
      <c r="D37" s="2"/>
      <c r="E37" s="2"/>
      <c r="F37" s="2"/>
      <c r="G37" s="2"/>
      <c r="H37" s="2"/>
      <c r="I37" s="41">
        <v>3.0</v>
      </c>
      <c r="J37" s="2"/>
      <c r="K37" s="43"/>
      <c r="L37" s="2"/>
      <c r="M37" s="7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6" t="s">
        <v>22</v>
      </c>
      <c r="C38" s="2"/>
      <c r="D38" s="2"/>
      <c r="E38" s="2"/>
      <c r="F38" s="2"/>
      <c r="G38" s="2"/>
      <c r="H38" s="2"/>
      <c r="I38" s="41"/>
      <c r="J38" s="2"/>
      <c r="K38" s="2"/>
      <c r="L38" s="2"/>
      <c r="M38" s="7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6"/>
      <c r="C39" s="2"/>
      <c r="D39" s="2"/>
      <c r="E39" s="2"/>
      <c r="F39" s="2"/>
      <c r="G39" s="2"/>
      <c r="H39" s="2"/>
      <c r="I39" s="41"/>
      <c r="J39" s="2"/>
      <c r="K39" s="2"/>
      <c r="L39" s="2"/>
      <c r="M39" s="7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40" t="s">
        <v>23</v>
      </c>
      <c r="C40" s="2"/>
      <c r="D40" s="2"/>
      <c r="E40" s="2"/>
      <c r="F40" s="2"/>
      <c r="G40" s="2"/>
      <c r="H40" s="2"/>
      <c r="I40" s="41"/>
      <c r="J40" s="2"/>
      <c r="K40" s="2"/>
      <c r="L40" s="2"/>
      <c r="M40" s="7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6" t="s">
        <v>24</v>
      </c>
      <c r="C41" s="2"/>
      <c r="D41" s="2"/>
      <c r="E41" s="2"/>
      <c r="F41" s="2"/>
      <c r="G41" s="2"/>
      <c r="H41" s="2"/>
      <c r="I41" s="44"/>
      <c r="J41" s="2"/>
      <c r="K41" s="2"/>
      <c r="L41" s="2"/>
      <c r="M41" s="7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6"/>
      <c r="C42" s="2"/>
      <c r="D42" s="2"/>
      <c r="E42" s="2"/>
      <c r="F42" s="2"/>
      <c r="G42" s="2"/>
      <c r="H42" s="2"/>
      <c r="I42" s="44"/>
      <c r="J42" s="2"/>
      <c r="K42" s="2"/>
      <c r="L42" s="2"/>
      <c r="M42" s="7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40" t="s">
        <v>25</v>
      </c>
      <c r="C43" s="2"/>
      <c r="D43" s="2"/>
      <c r="E43" s="2"/>
      <c r="F43" s="2"/>
      <c r="G43" s="2"/>
      <c r="H43" s="2"/>
      <c r="I43" s="41">
        <v>5.0</v>
      </c>
      <c r="J43" s="2"/>
      <c r="K43" s="2"/>
      <c r="L43" s="2"/>
      <c r="M43" s="7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6" t="s">
        <v>26</v>
      </c>
      <c r="C44" s="2"/>
      <c r="D44" s="2"/>
      <c r="E44" s="2"/>
      <c r="F44" s="2"/>
      <c r="G44" s="2"/>
      <c r="H44" s="2"/>
      <c r="I44" s="44"/>
      <c r="J44" s="2"/>
      <c r="K44" s="2"/>
      <c r="L44" s="2"/>
      <c r="M44" s="7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6"/>
      <c r="C45" s="2"/>
      <c r="D45" s="2"/>
      <c r="E45" s="2"/>
      <c r="F45" s="2"/>
      <c r="G45" s="2"/>
      <c r="H45" s="2"/>
      <c r="I45" s="44"/>
      <c r="J45" s="2"/>
      <c r="K45" s="2"/>
      <c r="L45" s="2"/>
      <c r="M45" s="7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40" t="s">
        <v>27</v>
      </c>
      <c r="C46" s="2"/>
      <c r="D46" s="2"/>
      <c r="E46" s="2"/>
      <c r="F46" s="2"/>
      <c r="G46" s="2"/>
      <c r="H46" s="2"/>
      <c r="I46" s="41"/>
      <c r="J46" s="2"/>
      <c r="K46" s="2"/>
      <c r="L46" s="2"/>
      <c r="M46" s="7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6" t="s">
        <v>28</v>
      </c>
      <c r="C47" s="2"/>
      <c r="D47" s="2"/>
      <c r="E47" s="2"/>
      <c r="F47" s="2"/>
      <c r="G47" s="2"/>
      <c r="H47" s="2"/>
      <c r="I47" s="44"/>
      <c r="J47" s="2"/>
      <c r="K47" s="2"/>
      <c r="L47" s="2"/>
      <c r="M47" s="7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6"/>
      <c r="C48" s="2"/>
      <c r="D48" s="2"/>
      <c r="E48" s="2"/>
      <c r="F48" s="2"/>
      <c r="G48" s="2"/>
      <c r="H48" s="2"/>
      <c r="I48" s="44"/>
      <c r="J48" s="45"/>
      <c r="K48" s="2"/>
      <c r="L48" s="2"/>
      <c r="M48" s="7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7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39" t="s">
        <v>29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7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7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46" t="s">
        <v>30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7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7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40" t="s">
        <v>31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7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6" t="s">
        <v>32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7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7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40" t="s">
        <v>33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7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40" t="s">
        <v>34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7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40" t="s">
        <v>35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7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40" t="s">
        <v>36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7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40" t="s">
        <v>37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7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7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39" t="s">
        <v>38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7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7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40" t="s">
        <v>39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7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40" t="s">
        <v>40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7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7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39" t="s">
        <v>41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7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7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40" t="s">
        <v>42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7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6" t="s">
        <v>43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7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47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9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35" t="s">
        <v>44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7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7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6" t="s">
        <v>45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7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6" t="s">
        <v>46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7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47" t="s">
        <v>47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9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18:M19"/>
    <mergeCell ref="C21:M22"/>
    <mergeCell ref="C23:M24"/>
    <mergeCell ref="B2:M2"/>
    <mergeCell ref="B4:M4"/>
    <mergeCell ref="B5:B6"/>
    <mergeCell ref="C5:M6"/>
    <mergeCell ref="B7:M7"/>
    <mergeCell ref="C8:M9"/>
    <mergeCell ref="C11:M11"/>
  </mergeCells>
  <printOptions/>
  <pageMargins bottom="0.787401575" footer="0.0" header="0.0" left="0.511811024" right="0.511811024" top="0.7874015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0"/>
    <col customWidth="1" min="6" max="6" width="2.75"/>
    <col customWidth="1" min="7" max="7" width="3.0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346" width="9.13"/>
  </cols>
  <sheetData>
    <row r="1" ht="12.75" customHeight="1">
      <c r="A1" s="50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22.5" customHeight="1">
      <c r="A2" s="59" t="s">
        <v>49</v>
      </c>
      <c r="B2" s="60"/>
      <c r="C2" s="61"/>
      <c r="D2" s="62"/>
      <c r="E2" s="62"/>
      <c r="F2" s="62"/>
      <c r="G2" s="62"/>
      <c r="H2" s="62"/>
      <c r="I2" s="61"/>
      <c r="J2" s="63"/>
      <c r="K2" s="64"/>
      <c r="L2" s="65"/>
      <c r="M2" s="66"/>
      <c r="N2" s="66"/>
      <c r="O2" s="66"/>
      <c r="P2" s="66"/>
      <c r="Q2" s="66"/>
      <c r="R2" s="66"/>
      <c r="S2" s="67"/>
      <c r="T2" s="68"/>
      <c r="U2" s="52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1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3</v>
      </c>
      <c r="LS3" s="71">
        <f>E20+E22+G25</f>
        <v>1</v>
      </c>
      <c r="LT3" s="71">
        <f>G20+G22+E25</f>
        <v>7</v>
      </c>
      <c r="LU3" s="71">
        <f t="shared" ref="LU3:LU6" si="1">LS3-LT3</f>
        <v>-6</v>
      </c>
      <c r="LV3" s="70">
        <f t="shared" ref="LV3:LV6" si="2">LN3</f>
        <v>0</v>
      </c>
      <c r="LW3" s="70">
        <f t="shared" ref="LW3:LW6" si="3">LU3/10</f>
        <v>-0.6</v>
      </c>
      <c r="LX3" s="70">
        <f t="shared" ref="LX3:LX6" si="4">LS3/100</f>
        <v>0.01</v>
      </c>
      <c r="LY3" s="70">
        <f t="shared" ref="LY3:LY6" si="5">SUM(LV3:LX3)</f>
        <v>-0.59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-0.59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12.75" customHeight="1">
      <c r="A4" s="51"/>
      <c r="B4" s="51"/>
      <c r="C4" s="52"/>
      <c r="D4" s="53"/>
      <c r="E4" s="53"/>
      <c r="F4" s="53"/>
      <c r="G4" s="53"/>
      <c r="H4" s="53"/>
      <c r="I4" s="52"/>
      <c r="J4" s="54"/>
      <c r="K4" s="55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4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2</v>
      </c>
      <c r="LQ4" s="71">
        <f>IF(OR(G20="",E20=""),0,IF(G20=E20,1,0))+IF(OR(G23="",E23=""),0,IF(G23=E23,1,0))+IF(OR(E25="",G25=""),0,IF(E25=G25,1,0))</f>
        <v>1</v>
      </c>
      <c r="LR4" s="71">
        <f>IF(OR(G20="",E20=""),0,IF(G20&lt;E20,1,0))+IF(OR(G23="",E23=""),0,IF(G23&lt;E23,1,0))+IF(OR(E25="",G25=""),0,IF(E25&lt;G25,1,0))</f>
        <v>0</v>
      </c>
      <c r="LS4" s="71">
        <f>G20+G23+E25</f>
        <v>5</v>
      </c>
      <c r="LT4" s="71">
        <f>E20+E23+G25</f>
        <v>1</v>
      </c>
      <c r="LU4" s="71">
        <f t="shared" si="1"/>
        <v>4</v>
      </c>
      <c r="LV4" s="70">
        <f t="shared" si="2"/>
        <v>4</v>
      </c>
      <c r="LW4" s="70">
        <f t="shared" si="3"/>
        <v>0.4</v>
      </c>
      <c r="LX4" s="70">
        <f t="shared" si="4"/>
        <v>0.05</v>
      </c>
      <c r="LY4" s="70">
        <f t="shared" si="5"/>
        <v>4.45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4.45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51"/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6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1</v>
      </c>
      <c r="LS5" s="71">
        <f>E21+G22+G24</f>
        <v>5</v>
      </c>
      <c r="LT5" s="71">
        <f>G21+E22+E24</f>
        <v>4</v>
      </c>
      <c r="LU5" s="71">
        <f t="shared" si="1"/>
        <v>1</v>
      </c>
      <c r="LV5" s="70">
        <f t="shared" si="2"/>
        <v>6</v>
      </c>
      <c r="LW5" s="70">
        <f t="shared" si="3"/>
        <v>0.1</v>
      </c>
      <c r="LX5" s="70">
        <f t="shared" si="4"/>
        <v>0.05</v>
      </c>
      <c r="LY5" s="70">
        <f t="shared" si="5"/>
        <v>6.15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6.15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12.75" customHeight="1">
      <c r="A6" s="51"/>
      <c r="B6" s="51"/>
      <c r="C6" s="52"/>
      <c r="D6" s="53"/>
      <c r="E6" s="53"/>
      <c r="F6" s="53"/>
      <c r="G6" s="53"/>
      <c r="H6" s="53"/>
      <c r="I6" s="52"/>
      <c r="J6" s="54"/>
      <c r="K6" s="55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7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2</v>
      </c>
      <c r="LQ6" s="71">
        <f>IF(OR(G21="",E21=""),0,IF(G21=E21,1,0))+IF(OR(E23="",G23=""),0,IF(E23=G23,1,0))+IF(OR(E25="",G25=""),0,IF(E25=G25,1,0))</f>
        <v>1</v>
      </c>
      <c r="LR6" s="71">
        <f>IF(OR(G21="",E21=""),0,IF(G21&lt;E21,1,0))+IF(OR(E23="",G23=""),0,IF(E23&lt;G23,1,0))+IF(OR(E25="",G25=""),0,IF(E25&lt;G25,1,0))</f>
        <v>0</v>
      </c>
      <c r="LS6" s="71">
        <f>G21+E23+E25</f>
        <v>5</v>
      </c>
      <c r="LT6" s="71">
        <f>E21+G23+G25</f>
        <v>1</v>
      </c>
      <c r="LU6" s="71">
        <f t="shared" si="1"/>
        <v>4</v>
      </c>
      <c r="LV6" s="70">
        <f t="shared" si="2"/>
        <v>7</v>
      </c>
      <c r="LW6" s="70">
        <f t="shared" si="3"/>
        <v>0.4</v>
      </c>
      <c r="LX6" s="70">
        <f t="shared" si="4"/>
        <v>0.05</v>
      </c>
      <c r="LY6" s="70">
        <f t="shared" si="5"/>
        <v>7.45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7.45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12.75" customHeight="1">
      <c r="A7" s="51"/>
      <c r="B7" s="51"/>
      <c r="C7" s="52"/>
      <c r="D7" s="53"/>
      <c r="E7" s="53"/>
      <c r="F7" s="53"/>
      <c r="G7" s="53"/>
      <c r="H7" s="53"/>
      <c r="I7" s="52"/>
      <c r="J7" s="54"/>
      <c r="K7" s="55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12.75" customHeight="1">
      <c r="A9" s="51"/>
      <c r="B9" s="51"/>
      <c r="C9" s="52"/>
      <c r="D9" s="53"/>
      <c r="E9" s="53"/>
      <c r="F9" s="53"/>
      <c r="G9" s="53"/>
      <c r="H9" s="53"/>
      <c r="I9" s="52"/>
      <c r="J9" s="54"/>
      <c r="K9" s="55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12.75" customHeight="1">
      <c r="A11" s="51"/>
      <c r="B11" s="51"/>
      <c r="C11" s="52"/>
      <c r="D11" s="53"/>
      <c r="E11" s="53"/>
      <c r="F11" s="53"/>
      <c r="G11" s="53"/>
      <c r="H11" s="53"/>
      <c r="I11" s="52"/>
      <c r="J11" s="54"/>
      <c r="K11" s="55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7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2</v>
      </c>
      <c r="LQ11" s="71">
        <f>IF(OR(E28="",G28=""),0,IF(E28=G28,1,0))+IF(OR(E31="",G31=""),0,IF(E31=G31,1,0))+IF(OR(G32="",E32=""),0,IF(G32=E32,1,0))</f>
        <v>1</v>
      </c>
      <c r="LR11" s="71">
        <f>IF(OR(E28="",G28=""),0,IF(E28&lt;G28,1,0))+IF(OR(E31="",G31=""),0,IF(E31&lt;G31,1,0))+IF(OR(G32="",E32=""),0,IF(G32&lt;E32,1,0))</f>
        <v>0</v>
      </c>
      <c r="LS11" s="71">
        <f>E28+E31+G32</f>
        <v>9</v>
      </c>
      <c r="LT11" s="71">
        <f>G28+G31+E32</f>
        <v>2</v>
      </c>
      <c r="LU11" s="71">
        <f t="shared" ref="LU11:LU14" si="10">LS11-LT11</f>
        <v>7</v>
      </c>
      <c r="LV11" s="70">
        <f t="shared" ref="LV11:LV14" si="11">LN11</f>
        <v>7</v>
      </c>
      <c r="LW11" s="70">
        <f t="shared" ref="LW11:LW14" si="12">LU11/10</f>
        <v>0.7</v>
      </c>
      <c r="LX11" s="70">
        <f t="shared" ref="LX11:LX14" si="13">LS11/100</f>
        <v>0.09</v>
      </c>
      <c r="LY11" s="70">
        <f t="shared" ref="LY11:LY14" si="14">SUM(LV11:LX11)</f>
        <v>7.79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7.79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12.75" customHeight="1">
      <c r="A12" s="51"/>
      <c r="B12" s="51"/>
      <c r="C12" s="52"/>
      <c r="D12" s="53"/>
      <c r="E12" s="53"/>
      <c r="F12" s="53"/>
      <c r="G12" s="53"/>
      <c r="H12" s="53"/>
      <c r="I12" s="52"/>
      <c r="J12" s="54"/>
      <c r="K12" s="55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3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1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2</v>
      </c>
      <c r="LS12" s="71">
        <f>G28+G30+E33</f>
        <v>4</v>
      </c>
      <c r="LT12" s="71">
        <f>E28+E30+G33</f>
        <v>7</v>
      </c>
      <c r="LU12" s="71">
        <f t="shared" si="10"/>
        <v>-3</v>
      </c>
      <c r="LV12" s="70">
        <f t="shared" si="11"/>
        <v>3</v>
      </c>
      <c r="LW12" s="70">
        <f t="shared" si="12"/>
        <v>-0.3</v>
      </c>
      <c r="LX12" s="70">
        <f t="shared" si="13"/>
        <v>0.04</v>
      </c>
      <c r="LY12" s="70">
        <f t="shared" si="14"/>
        <v>2.74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2.74</v>
      </c>
      <c r="MD12" s="70">
        <f>RANK($MC$12,$MC$11:$MC$14,0)</f>
        <v>3</v>
      </c>
      <c r="ME12" s="70">
        <f>IF(OR(AND(MD11=MD12,MD11=MD13,MD11=MD14),AND(MD12=MD11,MD12=MD13),AND(MD12=MD11,MD12=MD14),MD12=MD11),MD12+1,MD12)</f>
        <v>3</v>
      </c>
      <c r="MF12" s="70">
        <v>2.0</v>
      </c>
      <c r="MG12" s="70">
        <f t="shared" si="16"/>
        <v>3</v>
      </c>
      <c r="MH12" s="70" t="str">
        <f t="shared" si="17"/>
        <v>Estados Unidos</v>
      </c>
    </row>
    <row r="13" ht="12.75" customHeight="1">
      <c r="A13" s="51"/>
      <c r="B13" s="51"/>
      <c r="C13" s="52"/>
      <c r="D13" s="53"/>
      <c r="E13" s="53"/>
      <c r="F13" s="53"/>
      <c r="G13" s="53"/>
      <c r="H13" s="53"/>
      <c r="I13" s="52"/>
      <c r="J13" s="54"/>
      <c r="K13" s="55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5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2</v>
      </c>
      <c r="LR13" s="71">
        <f>IF(OR(E29="",G29=""),0,IF(E29&lt;G29,1,0))+IF(OR(G31="",E31=""),0,IF(G31&lt;E31,1,0))+IF(OR(G33="",E33=""),0,IF(G33&lt;E33,1,0))</f>
        <v>0</v>
      </c>
      <c r="LS13" s="71">
        <f>E29+G31+G33</f>
        <v>2</v>
      </c>
      <c r="LT13" s="71">
        <f>G29+E31+E33</f>
        <v>1</v>
      </c>
      <c r="LU13" s="71">
        <f t="shared" si="10"/>
        <v>1</v>
      </c>
      <c r="LV13" s="70">
        <f t="shared" si="11"/>
        <v>5</v>
      </c>
      <c r="LW13" s="70">
        <f t="shared" si="12"/>
        <v>0.1</v>
      </c>
      <c r="LX13" s="70">
        <f t="shared" si="13"/>
        <v>0.02</v>
      </c>
      <c r="LY13" s="70">
        <f t="shared" si="14"/>
        <v>5.12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5.12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2</v>
      </c>
      <c r="MF13" s="70">
        <v>3.0</v>
      </c>
      <c r="MG13" s="70">
        <f t="shared" si="16"/>
        <v>2</v>
      </c>
      <c r="MH13" s="70" t="str">
        <f t="shared" si="17"/>
        <v>Irã</v>
      </c>
    </row>
    <row r="14" ht="12.75" customHeight="1">
      <c r="A14" s="51"/>
      <c r="B14" s="51"/>
      <c r="C14" s="52"/>
      <c r="D14" s="53"/>
      <c r="E14" s="53"/>
      <c r="F14" s="53"/>
      <c r="G14" s="53"/>
      <c r="H14" s="53"/>
      <c r="I14" s="52"/>
      <c r="J14" s="54"/>
      <c r="K14" s="55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1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0</v>
      </c>
      <c r="LQ14" s="71">
        <f>IF(OR(G29="",E29=""),0,IF(G29=E29,1,0))+IF(OR(E30="",G30=""),0,IF(E30=G30,1,0))+IF(OR(E32="",G32=""),0,IF(E32=G32,1,0))</f>
        <v>1</v>
      </c>
      <c r="LR14" s="71">
        <f>IF(OR(G29="",E29=""),0,IF(G29&lt;E29,1,0))+IF(OR(E30="",G30=""),0,IF(E30&lt;G30,1,0))+IF(OR(E32="",G32=""),0,IF(E32&lt;G32,1,0))</f>
        <v>2</v>
      </c>
      <c r="LS14" s="71">
        <f>G29+E30+E32</f>
        <v>1</v>
      </c>
      <c r="LT14" s="71">
        <f>E29+G30+G32</f>
        <v>6</v>
      </c>
      <c r="LU14" s="71">
        <f t="shared" si="10"/>
        <v>-5</v>
      </c>
      <c r="LV14" s="70">
        <f t="shared" si="11"/>
        <v>1</v>
      </c>
      <c r="LW14" s="70">
        <f t="shared" si="12"/>
        <v>-0.5</v>
      </c>
      <c r="LX14" s="70">
        <f t="shared" si="13"/>
        <v>0.01</v>
      </c>
      <c r="LY14" s="70">
        <f t="shared" si="14"/>
        <v>0.51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0.51</v>
      </c>
      <c r="MD14" s="70">
        <f>RANK($MC$14,$MC$11:$MC$14,0)</f>
        <v>4</v>
      </c>
      <c r="ME14" s="70">
        <f>IF(AND(MD11=MD12,MD11=MD13,MD11=MD14),MD14+3,IF(OR(AND(MD14=MD13,MD14=MD12),AND(MD14=MD12,MD14=MD11)),MD14+2,IF(OR(MD14=MD13,MD14=MD12,MD14=MD11),MD14+1,MD14)))</f>
        <v>4</v>
      </c>
      <c r="MF14" s="70">
        <v>4.0</v>
      </c>
      <c r="MG14" s="70">
        <f t="shared" si="16"/>
        <v>4</v>
      </c>
      <c r="MH14" s="70" t="str">
        <f t="shared" si="17"/>
        <v>País de Gales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65"/>
      <c r="M17" s="66"/>
      <c r="N17" s="66"/>
      <c r="O17" s="66"/>
      <c r="P17" s="66"/>
      <c r="Q17" s="66"/>
      <c r="R17" s="66"/>
      <c r="S17" s="67"/>
      <c r="T17" s="68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6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0</v>
      </c>
      <c r="LR19" s="71">
        <f>IF(OR(E36="",G36=""),0,IF(E36&lt;G36,1,0))+IF(OR(E39="",G39=""),0,IF(E39&lt;G39,1,0))+IF(OR(G40="",E40=""),0,IF(G40&lt;E40,1,0))</f>
        <v>1</v>
      </c>
      <c r="LS19" s="71">
        <f>E36+E39+G40</f>
        <v>5</v>
      </c>
      <c r="LT19" s="71">
        <f>G36+G39+E40</f>
        <v>2</v>
      </c>
      <c r="LU19" s="71">
        <f t="shared" ref="LU19:LU22" si="18">LS19-LT19</f>
        <v>3</v>
      </c>
      <c r="LV19" s="70">
        <f t="shared" ref="LV19:LV22" si="19">LN19</f>
        <v>6</v>
      </c>
      <c r="LW19" s="70">
        <f t="shared" ref="LW19:LW22" si="20">LU19/10</f>
        <v>0.3</v>
      </c>
      <c r="LX19" s="70">
        <f t="shared" ref="LX19:LX22" si="21">LS19/100</f>
        <v>0.05</v>
      </c>
      <c r="LY19" s="70">
        <f t="shared" ref="LY19:LY22" si="22">SUM(LV19:LX19)</f>
        <v>6.35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6.35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0.0</v>
      </c>
      <c r="F20" s="93" t="s">
        <v>72</v>
      </c>
      <c r="G20" s="94">
        <v>2.0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3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1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2</v>
      </c>
      <c r="LS20" s="71">
        <f>G36+G38+E41</f>
        <v>3</v>
      </c>
      <c r="LT20" s="71">
        <f>E36+E38+G41</f>
        <v>5</v>
      </c>
      <c r="LU20" s="71">
        <f t="shared" si="18"/>
        <v>-2</v>
      </c>
      <c r="LV20" s="70">
        <f t="shared" si="19"/>
        <v>3</v>
      </c>
      <c r="LW20" s="70">
        <f t="shared" si="20"/>
        <v>-0.2</v>
      </c>
      <c r="LX20" s="70">
        <f t="shared" si="21"/>
        <v>0.03</v>
      </c>
      <c r="LY20" s="70">
        <f t="shared" si="22"/>
        <v>2.83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2.83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0.0</v>
      </c>
      <c r="F21" s="106" t="s">
        <v>72</v>
      </c>
      <c r="G21" s="107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4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1</v>
      </c>
      <c r="LS21" s="71">
        <f>E37+G39+G41</f>
        <v>2</v>
      </c>
      <c r="LT21" s="71">
        <f>G37+E39+E41</f>
        <v>3</v>
      </c>
      <c r="LU21" s="71">
        <f t="shared" si="18"/>
        <v>-1</v>
      </c>
      <c r="LV21" s="70">
        <f t="shared" si="19"/>
        <v>4</v>
      </c>
      <c r="LW21" s="70">
        <f t="shared" si="20"/>
        <v>-0.1</v>
      </c>
      <c r="LX21" s="70">
        <f t="shared" si="21"/>
        <v>0.02</v>
      </c>
      <c r="LY21" s="70">
        <f t="shared" si="22"/>
        <v>3.92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3.92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1.0</v>
      </c>
      <c r="F22" s="115" t="s">
        <v>72</v>
      </c>
      <c r="G22" s="116">
        <v>3.0</v>
      </c>
      <c r="H22" s="117"/>
      <c r="I22" s="96" t="s">
        <v>61</v>
      </c>
      <c r="J22" s="97" t="s">
        <v>76</v>
      </c>
      <c r="K22" s="109"/>
      <c r="L22" s="118" t="str">
        <f>'Resultado Oficial'!MH3</f>
        <v>Holanda</v>
      </c>
      <c r="M22" s="119">
        <f>VLOOKUP(L22,'Resultado Oficial'!$LM$3:$LU$6,2,FALSE)</f>
        <v>7</v>
      </c>
      <c r="N22" s="120">
        <f>VLOOKUP(L22,'Resultado Oficial'!$LM$3:$LU$6,3,FALSE)</f>
        <v>3</v>
      </c>
      <c r="O22" s="120">
        <f>VLOOKUP(L22,'Resultado Oficial'!$LM$3:$LU$6,4,FALSE)</f>
        <v>2</v>
      </c>
      <c r="P22" s="120">
        <f>VLOOKUP(L22,'Resultado Oficial'!$LM$3:$LU$6,5,FALSE)</f>
        <v>1</v>
      </c>
      <c r="Q22" s="120">
        <f>VLOOKUP(L22,'Resultado Oficial'!$LM$3:$LU$6,6,FALSE)</f>
        <v>0</v>
      </c>
      <c r="R22" s="120">
        <f>VLOOKUP(L22,'Resultado Oficial'!$LM$3:$LU$6,7,FALSE)</f>
        <v>5</v>
      </c>
      <c r="S22" s="120">
        <f>VLOOKUP(L22,'Resultado Oficial'!$LM$3:$LU$6,8,FALSE)</f>
        <v>1</v>
      </c>
      <c r="T22" s="121">
        <f>VLOOKUP(L22,'Resultado Oficial'!$LM$3:$LU$6,9,FALSE)</f>
        <v>4</v>
      </c>
      <c r="U22" s="52"/>
      <c r="V22" s="59" t="s">
        <v>78</v>
      </c>
      <c r="W22" s="122" t="str">
        <f>IF(SUM(N22:N25)&lt;&gt;12,"",L22)</f>
        <v>Holanda</v>
      </c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4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IF(OR(G37="",E37=""),0,IF(G37&gt;E37,1,0))+IF(OR(E38="",G38=""),0,IF(E38&gt;G38,1,0))+IF(OR(E40="",G40=""),0,IF(E40&gt;G40,1,0))</f>
        <v>1</v>
      </c>
      <c r="LQ22" s="71">
        <f>IF(OR(G37="",E37=""),0,IF(G37=E37,1,0))+IF(OR(E38="",G38=""),0,IF(E38=G38,1,0))+IF(OR(E40="",G40=""),0,IF(E40=G40,1,0))</f>
        <v>1</v>
      </c>
      <c r="LR22" s="71">
        <f>IF(OR(G37="",E37=""),0,IF(G37&lt;E37,1,0))+IF(OR(E38="",G38=""),0,IF(E38&lt;G38,1,0))+IF(OR(E40="",G40=""),0,IF(E40&lt;G40,1,0))</f>
        <v>1</v>
      </c>
      <c r="LS22" s="71">
        <f>G37+E38+E40</f>
        <v>2</v>
      </c>
      <c r="LT22" s="71">
        <f>E37+G38+G40</f>
        <v>2</v>
      </c>
      <c r="LU22" s="71">
        <f t="shared" si="18"/>
        <v>0</v>
      </c>
      <c r="LV22" s="70">
        <f t="shared" si="19"/>
        <v>4</v>
      </c>
      <c r="LW22" s="70">
        <f t="shared" si="20"/>
        <v>0</v>
      </c>
      <c r="LX22" s="70">
        <f t="shared" si="21"/>
        <v>0.02</v>
      </c>
      <c r="LY22" s="70">
        <f t="shared" si="22"/>
        <v>4.02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4.02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1.0</v>
      </c>
      <c r="F23" s="106" t="s">
        <v>72</v>
      </c>
      <c r="G23" s="107">
        <v>1.0</v>
      </c>
      <c r="H23" s="108"/>
      <c r="I23" s="96" t="s">
        <v>60</v>
      </c>
      <c r="J23" s="97" t="s">
        <v>80</v>
      </c>
      <c r="K23" s="109"/>
      <c r="L23" s="118" t="str">
        <f>'Resultado Oficial'!MH4</f>
        <v>Senegal</v>
      </c>
      <c r="M23" s="119">
        <f>VLOOKUP(L23,'Resultado Oficial'!$LM$3:$LU$6,2,FALSE)</f>
        <v>6</v>
      </c>
      <c r="N23" s="120">
        <f>VLOOKUP(L23,'Resultado Oficial'!$LM$3:$LU$6,3,FALSE)</f>
        <v>3</v>
      </c>
      <c r="O23" s="120">
        <f>VLOOKUP(L23,'Resultado Oficial'!$LM$3:$LU$6,4,FALSE)</f>
        <v>2</v>
      </c>
      <c r="P23" s="120">
        <f>VLOOKUP(L23,'Resultado Oficial'!$LM$3:$LU$6,5,FALSE)</f>
        <v>0</v>
      </c>
      <c r="Q23" s="120">
        <f>VLOOKUP(L23,'Resultado Oficial'!$LM$3:$LU$6,6,FALSE)</f>
        <v>1</v>
      </c>
      <c r="R23" s="120">
        <f>VLOOKUP(L23,'Resultado Oficial'!$LM$3:$LU$6,7,FALSE)</f>
        <v>5</v>
      </c>
      <c r="S23" s="120">
        <f>VLOOKUP(L23,'Resultado Oficial'!$LM$3:$LU$6,8,FALSE)</f>
        <v>4</v>
      </c>
      <c r="T23" s="121">
        <f>VLOOKUP(L23,'Resultado Oficial'!$LM$3:$LU$6,9,FALSE)</f>
        <v>1</v>
      </c>
      <c r="U23" s="52"/>
      <c r="V23" s="59" t="s">
        <v>81</v>
      </c>
      <c r="W23" s="122" t="str">
        <f>IF(SUM(N22:N25)&lt;&gt;12,"",L23)</f>
        <v>Senegal</v>
      </c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1.0</v>
      </c>
      <c r="F24" s="106" t="s">
        <v>72</v>
      </c>
      <c r="G24" s="107">
        <v>2.0</v>
      </c>
      <c r="H24" s="108"/>
      <c r="I24" s="96" t="s">
        <v>61</v>
      </c>
      <c r="J24" s="97" t="s">
        <v>80</v>
      </c>
      <c r="K24" s="109"/>
      <c r="L24" s="118" t="str">
        <f>'Resultado Oficial'!MH5</f>
        <v>Equador</v>
      </c>
      <c r="M24" s="119">
        <f>VLOOKUP(L24,'Resultado Oficial'!$LM$3:$LU$6,2,FALSE)</f>
        <v>4</v>
      </c>
      <c r="N24" s="120">
        <f>VLOOKUP(L24,'Resultado Oficial'!$LM$3:$LU$6,3,FALSE)</f>
        <v>3</v>
      </c>
      <c r="O24" s="120">
        <f>VLOOKUP(L24,'Resultado Oficial'!$LM$3:$LU$6,4,FALSE)</f>
        <v>2</v>
      </c>
      <c r="P24" s="120">
        <f>VLOOKUP(L24,'Resultado Oficial'!$LM$3:$LU$6,5,FALSE)</f>
        <v>1</v>
      </c>
      <c r="Q24" s="120">
        <f>VLOOKUP(L24,'Resultado Oficial'!$LM$3:$LU$6,6,FALSE)</f>
        <v>0</v>
      </c>
      <c r="R24" s="120">
        <f>VLOOKUP(L24,'Resultado Oficial'!$LM$3:$LU$6,7,FALSE)</f>
        <v>5</v>
      </c>
      <c r="S24" s="120">
        <f>VLOOKUP(L24,'Resultado Oficial'!$LM$3:$LU$6,8,FALSE)</f>
        <v>1</v>
      </c>
      <c r="T24" s="121">
        <f>VLOOKUP(L24,'Resultado Oficial'!$LM$3:$LU$6,9,FALSE)</f>
        <v>4</v>
      </c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2.0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'Resultado Oficial'!MH6</f>
        <v>Catar</v>
      </c>
      <c r="M25" s="125">
        <f>VLOOKUP(L25,'Resultado Oficial'!$LM$3:$LU$6,2,FALSE)</f>
        <v>0</v>
      </c>
      <c r="N25" s="126">
        <f>VLOOKUP(L25,'Resultado Oficial'!$LM$3:$LU$6,3,FALSE)</f>
        <v>3</v>
      </c>
      <c r="O25" s="126">
        <f>VLOOKUP(L25,'Resultado Oficial'!$LM$3:$LU$6,4,FALSE)</f>
        <v>0</v>
      </c>
      <c r="P25" s="126">
        <f>VLOOKUP(L25,'Resultado Oficial'!$LM$3:$LU$6,5,FALSE)</f>
        <v>0</v>
      </c>
      <c r="Q25" s="126">
        <f>VLOOKUP(L25,'Resultado Oficial'!$LM$3:$LU$6,6,FALSE)</f>
        <v>3</v>
      </c>
      <c r="R25" s="126">
        <f>VLOOKUP(L25,'Resultado Oficial'!$LM$3:$LU$6,7,FALSE)</f>
        <v>1</v>
      </c>
      <c r="S25" s="126">
        <f>VLOOKUP(L25,'Resultado Oficial'!$LM$3:$LU$6,8,FALSE)</f>
        <v>7</v>
      </c>
      <c r="T25" s="127">
        <f>VLOOKUP(L25,'Resultado Oficial'!$LM$3:$LU$6,9,FALSE)</f>
        <v>-6</v>
      </c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6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2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1</v>
      </c>
      <c r="LS27" s="71">
        <f>E45+E47+G49</f>
        <v>6</v>
      </c>
      <c r="LT27" s="71">
        <f>G45+G47+E49</f>
        <v>3</v>
      </c>
      <c r="LU27" s="71">
        <f t="shared" ref="LU27:LU30" si="26">LS27-LT27</f>
        <v>3</v>
      </c>
      <c r="LV27" s="70">
        <f t="shared" ref="LV27:LV30" si="27">LN27</f>
        <v>6</v>
      </c>
      <c r="LW27" s="70">
        <f t="shared" ref="LW27:LW30" si="28">LU27/10</f>
        <v>0.3</v>
      </c>
      <c r="LX27" s="70">
        <f t="shared" ref="LX27:LX30" si="29">LS27/100</f>
        <v>0.06</v>
      </c>
      <c r="LY27" s="70">
        <f t="shared" ref="LY27:LY30" si="30">SUM(LV27:LX27)</f>
        <v>6.36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1">SUM(LY27:MB27)</f>
        <v>6.36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2">MATCH(MF27,$ME$27:$ME$30,0)</f>
        <v>1</v>
      </c>
      <c r="MH27" s="70" t="str">
        <f t="shared" ref="MH27:MH30" si="33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41">
        <v>6.0</v>
      </c>
      <c r="F28" s="106" t="s">
        <v>72</v>
      </c>
      <c r="G28" s="107">
        <v>2.0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6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2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1</v>
      </c>
      <c r="LS28" s="71">
        <f>G45+G46+E48</f>
        <v>3</v>
      </c>
      <c r="LT28" s="71">
        <f>E45+E46+G48</f>
        <v>4</v>
      </c>
      <c r="LU28" s="71">
        <f t="shared" si="26"/>
        <v>-1</v>
      </c>
      <c r="LV28" s="70">
        <f t="shared" si="27"/>
        <v>6</v>
      </c>
      <c r="LW28" s="70">
        <f t="shared" si="28"/>
        <v>-0.1</v>
      </c>
      <c r="LX28" s="70">
        <f t="shared" si="29"/>
        <v>0.03</v>
      </c>
      <c r="LY28" s="70">
        <f t="shared" si="30"/>
        <v>5.93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1"/>
        <v>5.93</v>
      </c>
      <c r="MD28" s="70">
        <f>RANK($MC$28,$MC$27:$MC$30,0)</f>
        <v>2</v>
      </c>
      <c r="ME28" s="70">
        <f>IF(OR(AND(MD27=MD28,MD27=MD29,MD27=MD30),AND(MD28=MD27,MD28=MD29),AND(MD28=MD27,MD28=MD30),MD28=MD27),MD28+1,MD28)</f>
        <v>2</v>
      </c>
      <c r="MF28" s="70">
        <v>2.0</v>
      </c>
      <c r="MG28" s="70">
        <f t="shared" si="32"/>
        <v>2</v>
      </c>
      <c r="MH28" s="70" t="str">
        <f t="shared" si="33"/>
        <v>Austrália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41">
        <v>1.0</v>
      </c>
      <c r="F29" s="106" t="s">
        <v>72</v>
      </c>
      <c r="G29" s="107">
        <v>1.0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1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0</v>
      </c>
      <c r="LQ29" s="71">
        <f>IF(OR(E44="",G44=""),0,IF(E44=G44,1,0))+IF(OR(G47="",E47=""),0,IF(G47=E47,1,0))+IF(OR(G48="",E48=""),0,IF(G48=E48,1,0))</f>
        <v>1</v>
      </c>
      <c r="LR29" s="71">
        <f>IF(OR(E44="",G44=""),0,IF(E44&lt;G44,1,0))+IF(OR(G47="",E47=""),0,IF(G47&lt;E47,1,0))+IF(OR(G48="",E48=""),0,IF(G48&lt;E48,1,0))</f>
        <v>2</v>
      </c>
      <c r="LS29" s="71">
        <f>E44+G47+G48</f>
        <v>1</v>
      </c>
      <c r="LT29" s="71">
        <f>G44+E47+E48</f>
        <v>3</v>
      </c>
      <c r="LU29" s="71">
        <f t="shared" si="26"/>
        <v>-2</v>
      </c>
      <c r="LV29" s="70">
        <f t="shared" si="27"/>
        <v>1</v>
      </c>
      <c r="LW29" s="70">
        <f t="shared" si="28"/>
        <v>-0.2</v>
      </c>
      <c r="LX29" s="70">
        <f t="shared" si="29"/>
        <v>0.01</v>
      </c>
      <c r="LY29" s="70">
        <f t="shared" si="30"/>
        <v>0.81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1"/>
        <v>0.81</v>
      </c>
      <c r="MD29" s="70">
        <f>RANK($MC$29,$MC$27:$MC$30,0)</f>
        <v>4</v>
      </c>
      <c r="ME29" s="70">
        <f>IF(OR(AND(MD27=MD28,MD27=MD29,MD27=MD30),AND(MD29=MD27,MD29=MD28)),MD29+2,IF(OR(AND(MD29=MD28,MD29=MD30),MD29=MD27,MD29=MD28),MD29+1,MD29))</f>
        <v>4</v>
      </c>
      <c r="MF29" s="70">
        <v>3.0</v>
      </c>
      <c r="MG29" s="70">
        <f t="shared" si="32"/>
        <v>4</v>
      </c>
      <c r="MH29" s="70" t="str">
        <f t="shared" si="33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42">
        <v>0.0</v>
      </c>
      <c r="F30" s="115" t="s">
        <v>72</v>
      </c>
      <c r="G30" s="116">
        <v>2.0</v>
      </c>
      <c r="H30" s="117"/>
      <c r="I30" s="96" t="s">
        <v>65</v>
      </c>
      <c r="J30" s="97" t="s">
        <v>88</v>
      </c>
      <c r="K30" s="109"/>
      <c r="L30" s="118" t="str">
        <f>'Resultado Oficial'!MH11</f>
        <v>Inglaterra</v>
      </c>
      <c r="M30" s="119">
        <f>VLOOKUP(L30,'Resultado Oficial'!$LM$11:$LU$14,2,FALSE)</f>
        <v>7</v>
      </c>
      <c r="N30" s="120">
        <f>VLOOKUP(L30,'Resultado Oficial'!$LM$11:$LU$14,3,FALSE)</f>
        <v>3</v>
      </c>
      <c r="O30" s="120">
        <f>VLOOKUP(L30,'Resultado Oficial'!$LM$11:$LU$14,4,FALSE)</f>
        <v>2</v>
      </c>
      <c r="P30" s="120">
        <f>VLOOKUP(L30,'Resultado Oficial'!$LM$11:$LU$14,5,FALSE)</f>
        <v>1</v>
      </c>
      <c r="Q30" s="120">
        <f>VLOOKUP(L30,'Resultado Oficial'!$LM$11:$LU$14,6,FALSE)</f>
        <v>0</v>
      </c>
      <c r="R30" s="120">
        <f>VLOOKUP(L30,'Resultado Oficial'!$LM$11:$LU$14,7,FALSE)</f>
        <v>9</v>
      </c>
      <c r="S30" s="120">
        <f>VLOOKUP(L30,'Resultado Oficial'!$LM$11:$LU$14,8,FALSE)</f>
        <v>2</v>
      </c>
      <c r="T30" s="121">
        <f>VLOOKUP(L30,'Resultado Oficial'!$LM$11:$LU$14,9,FALSE)</f>
        <v>7</v>
      </c>
      <c r="U30" s="53"/>
      <c r="V30" s="59" t="s">
        <v>78</v>
      </c>
      <c r="W30" s="122" t="str">
        <f>IF(SUM(N30:N33)&lt;&gt;12,"",L30)</f>
        <v>Inglaterra</v>
      </c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IF(OR(G44="",E44=""),0,IF(LO30=0,0,IF(G44&gt;E44,3,IF(G44=E44,1,0)))+IF(OR(E46="",G46=""),0,IF(E46&gt;G46,3,IF(E46=G46,1,0)))+IF(OR(E49="",G49=""),0,IF(E49&gt;G49,3,IF(E49=G49,1,0))))</f>
        <v>4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1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1</v>
      </c>
      <c r="LS30" s="71">
        <f>G44+E46+E49</f>
        <v>1</v>
      </c>
      <c r="LT30" s="71">
        <f>E44+G46+G49</f>
        <v>1</v>
      </c>
      <c r="LU30" s="71">
        <f t="shared" si="26"/>
        <v>0</v>
      </c>
      <c r="LV30" s="70">
        <f t="shared" si="27"/>
        <v>4</v>
      </c>
      <c r="LW30" s="70">
        <f t="shared" si="28"/>
        <v>0</v>
      </c>
      <c r="LX30" s="70">
        <f t="shared" si="29"/>
        <v>0.01</v>
      </c>
      <c r="LY30" s="70">
        <f t="shared" si="30"/>
        <v>4.01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1"/>
        <v>4.01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2"/>
        <v>3</v>
      </c>
      <c r="MH30" s="70" t="str">
        <f t="shared" si="33"/>
        <v>Dinamarca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41">
        <v>0.0</v>
      </c>
      <c r="F31" s="106" t="s">
        <v>72</v>
      </c>
      <c r="G31" s="107">
        <v>0.0</v>
      </c>
      <c r="H31" s="108"/>
      <c r="I31" s="96" t="s">
        <v>66</v>
      </c>
      <c r="J31" s="97" t="s">
        <v>73</v>
      </c>
      <c r="K31" s="109"/>
      <c r="L31" s="118" t="str">
        <f>'Resultado Oficial'!MH12</f>
        <v>Estados Unidos</v>
      </c>
      <c r="M31" s="119">
        <f>VLOOKUP(L31,'Resultado Oficial'!$LM$11:$LU$14,2,FALSE)</f>
        <v>5</v>
      </c>
      <c r="N31" s="120">
        <f>VLOOKUP(L31,'Resultado Oficial'!$LM$11:$LU$14,3,FALSE)</f>
        <v>3</v>
      </c>
      <c r="O31" s="120">
        <f>VLOOKUP(L31,'Resultado Oficial'!$LM$11:$LU$14,4,FALSE)</f>
        <v>1</v>
      </c>
      <c r="P31" s="120">
        <f>VLOOKUP(L31,'Resultado Oficial'!$LM$11:$LU$14,5,FALSE)</f>
        <v>2</v>
      </c>
      <c r="Q31" s="120">
        <f>VLOOKUP(L31,'Resultado Oficial'!$LM$11:$LU$14,6,FALSE)</f>
        <v>0</v>
      </c>
      <c r="R31" s="120">
        <f>VLOOKUP(L31,'Resultado Oficial'!$LM$11:$LU$14,7,FALSE)</f>
        <v>2</v>
      </c>
      <c r="S31" s="120">
        <f>VLOOKUP(L31,'Resultado Oficial'!$LM$11:$LU$14,8,FALSE)</f>
        <v>1</v>
      </c>
      <c r="T31" s="121">
        <f>VLOOKUP(L31,'Resultado Oficial'!$LM$11:$LU$14,9,FALSE)</f>
        <v>1</v>
      </c>
      <c r="U31" s="53"/>
      <c r="V31" s="59" t="s">
        <v>81</v>
      </c>
      <c r="W31" s="122" t="str">
        <f>IF(SUM(N30:N33)&lt;&gt;12,"",L31)</f>
        <v>Estados Unidos</v>
      </c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41">
        <v>0.0</v>
      </c>
      <c r="F32" s="106" t="s">
        <v>72</v>
      </c>
      <c r="G32" s="107">
        <v>3.0</v>
      </c>
      <c r="H32" s="108"/>
      <c r="I32" s="96" t="s">
        <v>64</v>
      </c>
      <c r="J32" s="97" t="s">
        <v>88</v>
      </c>
      <c r="K32" s="109"/>
      <c r="L32" s="118" t="str">
        <f>'Resultado Oficial'!MH13</f>
        <v>Irã</v>
      </c>
      <c r="M32" s="119">
        <f>VLOOKUP(L32,'Resultado Oficial'!$LM$11:$LU$14,2,FALSE)</f>
        <v>3</v>
      </c>
      <c r="N32" s="120">
        <f>VLOOKUP(L32,'Resultado Oficial'!$LM$11:$LU$14,3,FALSE)</f>
        <v>3</v>
      </c>
      <c r="O32" s="120">
        <f>VLOOKUP(L32,'Resultado Oficial'!$LM$11:$LU$14,4,FALSE)</f>
        <v>1</v>
      </c>
      <c r="P32" s="120">
        <f>VLOOKUP(L32,'Resultado Oficial'!$LM$11:$LU$14,5,FALSE)</f>
        <v>0</v>
      </c>
      <c r="Q32" s="120">
        <f>VLOOKUP(L32,'Resultado Oficial'!$LM$11:$LU$14,6,FALSE)</f>
        <v>2</v>
      </c>
      <c r="R32" s="120">
        <f>VLOOKUP(L32,'Resultado Oficial'!$LM$11:$LU$14,7,FALSE)</f>
        <v>4</v>
      </c>
      <c r="S32" s="120">
        <f>VLOOKUP(L32,'Resultado Oficial'!$LM$11:$LU$14,8,FALSE)</f>
        <v>7</v>
      </c>
      <c r="T32" s="121">
        <f>VLOOKUP(L32,'Resultado Oficial'!$LM$11:$LU$14,9,FALSE)</f>
        <v>-3</v>
      </c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41">
        <v>0.0</v>
      </c>
      <c r="F33" s="106" t="s">
        <v>72</v>
      </c>
      <c r="G33" s="107">
        <v>1.0</v>
      </c>
      <c r="H33" s="108"/>
      <c r="I33" s="96" t="s">
        <v>66</v>
      </c>
      <c r="J33" s="97" t="s">
        <v>76</v>
      </c>
      <c r="K33" s="123"/>
      <c r="L33" s="124" t="str">
        <f>'Resultado Oficial'!MH14</f>
        <v>País de Gales</v>
      </c>
      <c r="M33" s="125">
        <f>VLOOKUP(L33,'Resultado Oficial'!$LM$11:$LU$14,2,FALSE)</f>
        <v>1</v>
      </c>
      <c r="N33" s="126">
        <f>VLOOKUP(L33,'Resultado Oficial'!$LM$11:$LU$14,3,FALSE)</f>
        <v>3</v>
      </c>
      <c r="O33" s="126">
        <f>VLOOKUP(L33,'Resultado Oficial'!$LM$11:$LU$14,4,FALSE)</f>
        <v>0</v>
      </c>
      <c r="P33" s="126">
        <f>VLOOKUP(L33,'Resultado Oficial'!$LM$11:$LU$14,5,FALSE)</f>
        <v>1</v>
      </c>
      <c r="Q33" s="126">
        <f>VLOOKUP(L33,'Resultado Oficial'!$LM$11:$LU$14,6,FALSE)</f>
        <v>2</v>
      </c>
      <c r="R33" s="126">
        <f>VLOOKUP(L33,'Resultado Oficial'!$LM$11:$LU$14,7,FALSE)</f>
        <v>1</v>
      </c>
      <c r="S33" s="126">
        <f>VLOOKUP(L33,'Resultado Oficial'!$LM$11:$LU$14,8,FALSE)</f>
        <v>6</v>
      </c>
      <c r="T33" s="127">
        <f>VLOOKUP(L33,'Resultado Oficial'!$LM$11:$LU$14,9,FALSE)</f>
        <v>-5</v>
      </c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1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4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1</v>
      </c>
      <c r="LQ35" s="71">
        <f>IF(OR(E53="",G53=""),0,IF(E53=G53,1,0))+IF(OR(E55="",G55=""),0,IF(E55=G55,1,0))+IF(OR(G56="",E56=""),0,IF(G56=E56,1,0))</f>
        <v>1</v>
      </c>
      <c r="LR35" s="71">
        <f>IF(OR(E53="",G53=""),0,IF(E53&lt;G53,1,0))+IF(OR(E55="",G55=""),0,IF(E55&lt;G55,1,0))+IF(OR(G56="",E56=""),0,IF(G56&lt;E56,1,0))</f>
        <v>1</v>
      </c>
      <c r="LS35" s="71">
        <f>E53+E55+G56</f>
        <v>9</v>
      </c>
      <c r="LT35" s="71">
        <f>G53+G55+E56</f>
        <v>3</v>
      </c>
      <c r="LU35" s="71">
        <f t="shared" ref="LU35:LU38" si="34">LS35-LT35</f>
        <v>6</v>
      </c>
      <c r="LV35" s="70">
        <f t="shared" ref="LV35:LV38" si="35">LN35</f>
        <v>4</v>
      </c>
      <c r="LW35" s="70">
        <f t="shared" ref="LW35:LW38" si="36">LU35/10</f>
        <v>0.6</v>
      </c>
      <c r="LX35" s="70">
        <f t="shared" ref="LX35:LX38" si="37">LS35/100</f>
        <v>0.09</v>
      </c>
      <c r="LY35" s="70">
        <f t="shared" ref="LY35:LY38" si="38">SUM(LV35:LX35)</f>
        <v>4.69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39">SUM(LY35:MB35)</f>
        <v>4.69</v>
      </c>
      <c r="MD35" s="70">
        <f>RANK($MC$35,$MC$35:$MC$38,0)</f>
        <v>2</v>
      </c>
      <c r="ME35" s="70">
        <f>MD35</f>
        <v>2</v>
      </c>
      <c r="MF35" s="70">
        <v>1.0</v>
      </c>
      <c r="MG35" s="70">
        <f t="shared" ref="MG35:MG38" si="40">MATCH(MF35,$ME$35:$ME$38,0)</f>
        <v>4</v>
      </c>
      <c r="MH35" s="70" t="str">
        <f t="shared" ref="MH35:MH38" si="41">INDEX($LM$35:$LM$38,MG35)</f>
        <v>Japão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1.0</v>
      </c>
      <c r="F36" s="106" t="s">
        <v>72</v>
      </c>
      <c r="G36" s="107">
        <v>2.0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3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1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2</v>
      </c>
      <c r="LS36" s="71">
        <f>G53+G54+E57</f>
        <v>3</v>
      </c>
      <c r="LT36" s="71">
        <f>E53+E54+G57</f>
        <v>11</v>
      </c>
      <c r="LU36" s="71">
        <f t="shared" si="34"/>
        <v>-8</v>
      </c>
      <c r="LV36" s="70">
        <f t="shared" si="35"/>
        <v>3</v>
      </c>
      <c r="LW36" s="70">
        <f t="shared" si="36"/>
        <v>-0.8</v>
      </c>
      <c r="LX36" s="70">
        <f t="shared" si="37"/>
        <v>0.03</v>
      </c>
      <c r="LY36" s="70">
        <f t="shared" si="38"/>
        <v>2.23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39"/>
        <v>2.23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0"/>
        <v>1</v>
      </c>
      <c r="MH36" s="70" t="str">
        <f t="shared" si="41"/>
        <v>Espanha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0.0</v>
      </c>
      <c r="F37" s="106" t="s">
        <v>72</v>
      </c>
      <c r="G37" s="107">
        <v>0.0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4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1</v>
      </c>
      <c r="LQ37" s="71">
        <f>IF(OR(E52="",G52=""),0,IF(E52=G52,1,0))+IF(OR(G55="",E55=""),0,IF(G55=E55,1,0))+IF(OR(G57="",E57=""),0,IF(G57=E57,1,0))</f>
        <v>1</v>
      </c>
      <c r="LR37" s="71">
        <f>IF(OR(E52="",G52=""),0,IF(E52&lt;G52,1,0))+IF(OR(G55="",E55=""),0,IF(G55&lt;E55,1,0))+IF(OR(G57="",E57=""),0,IF(G57&lt;E57,1,0))</f>
        <v>1</v>
      </c>
      <c r="LS37" s="71">
        <f>E52+G55+G57</f>
        <v>6</v>
      </c>
      <c r="LT37" s="71">
        <f>G52+E55+E57</f>
        <v>5</v>
      </c>
      <c r="LU37" s="71">
        <f t="shared" si="34"/>
        <v>1</v>
      </c>
      <c r="LV37" s="70">
        <f t="shared" si="35"/>
        <v>4</v>
      </c>
      <c r="LW37" s="70">
        <f t="shared" si="36"/>
        <v>0.1</v>
      </c>
      <c r="LX37" s="70">
        <f t="shared" si="37"/>
        <v>0.06</v>
      </c>
      <c r="LY37" s="70">
        <f t="shared" si="38"/>
        <v>4.16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39"/>
        <v>4.16</v>
      </c>
      <c r="MD37" s="70">
        <f>RANK($MC$37,$MC$35:$MC$38,0)</f>
        <v>3</v>
      </c>
      <c r="ME37" s="70">
        <f>IF(OR(AND(MD35=MD36,MD35=MD37,MD35=MD38),AND(MD37=MD35,MD37=MD36)),MD37+2,IF(OR(AND(MD37=MD36,MD37=MD38),MD37=MD35,MD37=MD36),MD37+1,MD37))</f>
        <v>3</v>
      </c>
      <c r="MF37" s="70">
        <v>3.0</v>
      </c>
      <c r="MG37" s="70">
        <f t="shared" si="40"/>
        <v>3</v>
      </c>
      <c r="MH37" s="70" t="str">
        <f t="shared" si="41"/>
        <v>Alemanha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2.0</v>
      </c>
      <c r="F38" s="115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'Resultado Oficial'!MH19</f>
        <v>Argentina</v>
      </c>
      <c r="M38" s="119">
        <f>VLOOKUP(L38,'Resultado Oficial'!$LM$19:$LU$22,2,FALSE)</f>
        <v>6</v>
      </c>
      <c r="N38" s="120">
        <f>VLOOKUP(L38,'Resultado Oficial'!$LM$19:$LU$22,3,FALSE)</f>
        <v>3</v>
      </c>
      <c r="O38" s="120">
        <f>VLOOKUP(L38,'Resultado Oficial'!$LM$19:$LU$22,4,FALSE)</f>
        <v>2</v>
      </c>
      <c r="P38" s="120">
        <f>VLOOKUP(L38,'Resultado Oficial'!$LM$19:$LU$22,5,FALSE)</f>
        <v>0</v>
      </c>
      <c r="Q38" s="120">
        <f>VLOOKUP(L38,'Resultado Oficial'!$LM$19:$LU$22,6,FALSE)</f>
        <v>1</v>
      </c>
      <c r="R38" s="120">
        <f>VLOOKUP(L38,'Resultado Oficial'!$LM$19:$LU$22,7,FALSE)</f>
        <v>5</v>
      </c>
      <c r="S38" s="120">
        <f>VLOOKUP(L38,'Resultado Oficial'!$LM$19:$LU$22,8,FALSE)</f>
        <v>2</v>
      </c>
      <c r="T38" s="121">
        <f>VLOOKUP(L38,'Resultado Oficial'!$LM$19:$LU$22,9,FALSE)</f>
        <v>3</v>
      </c>
      <c r="U38" s="53"/>
      <c r="V38" s="59" t="s">
        <v>78</v>
      </c>
      <c r="W38" s="122" t="str">
        <f>IF(SUM(N38:N41)&lt;&gt;12,"",L38)</f>
        <v>Argentina</v>
      </c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IF(OR(G52="",E52=""),0,IF(LO38=0,0,IF(G52&gt;E52,3,IF(G52=E52,1,0)))+IF(OR(E54="",G54=""),0,IF(E54&gt;G54,3,IF(E54=G54,1,0)))+IF(OR(E56="",G56=""),0,IF(E56&gt;G56,3,IF(E56=G56,1,0))))</f>
        <v>6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2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1</v>
      </c>
      <c r="LS38" s="71">
        <f>G52+E54+E56</f>
        <v>4</v>
      </c>
      <c r="LT38" s="71">
        <f>E52+G54+G56</f>
        <v>3</v>
      </c>
      <c r="LU38" s="71">
        <f t="shared" si="34"/>
        <v>1</v>
      </c>
      <c r="LV38" s="70">
        <f t="shared" si="35"/>
        <v>6</v>
      </c>
      <c r="LW38" s="70">
        <f t="shared" si="36"/>
        <v>0.1</v>
      </c>
      <c r="LX38" s="70">
        <f t="shared" si="37"/>
        <v>0.04</v>
      </c>
      <c r="LY38" s="70">
        <f t="shared" si="38"/>
        <v>6.14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39"/>
        <v>6.14</v>
      </c>
      <c r="MD38" s="70">
        <f>RANK($MC$38,$MC$35:$MC$38,0)</f>
        <v>1</v>
      </c>
      <c r="ME38" s="70">
        <f>IF(AND(MD35=MD36,MD35=MD37,MD35=MD38),MD38+3,IF(OR(AND(MD38=MD37,MD38=MD36),AND(MD38=MD36,MD38=MD35)),MD38+2,IF(OR(MD38=MD37,MD38=MD36,MD38=MD35),MD38+1,MD38)))</f>
        <v>1</v>
      </c>
      <c r="MF38" s="70">
        <v>4.0</v>
      </c>
      <c r="MG38" s="70">
        <f t="shared" si="40"/>
        <v>2</v>
      </c>
      <c r="MH38" s="70" t="str">
        <f t="shared" si="41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2.0</v>
      </c>
      <c r="F39" s="106" t="s">
        <v>72</v>
      </c>
      <c r="G39" s="107">
        <v>0.0</v>
      </c>
      <c r="H39" s="108"/>
      <c r="I39" s="96" t="s">
        <v>77</v>
      </c>
      <c r="J39" s="97" t="s">
        <v>94</v>
      </c>
      <c r="K39" s="109"/>
      <c r="L39" s="118" t="str">
        <f>'Resultado Oficial'!MH20</f>
        <v>Polônia</v>
      </c>
      <c r="M39" s="119">
        <f>VLOOKUP(L39,'Resultado Oficial'!$LM$19:$LU$22,2,FALSE)</f>
        <v>4</v>
      </c>
      <c r="N39" s="120">
        <f>VLOOKUP(L39,'Resultado Oficial'!$LM$19:$LU$22,3,FALSE)</f>
        <v>3</v>
      </c>
      <c r="O39" s="120">
        <f>VLOOKUP(L39,'Resultado Oficial'!$LM$19:$LU$22,4,FALSE)</f>
        <v>1</v>
      </c>
      <c r="P39" s="120">
        <f>VLOOKUP(L39,'Resultado Oficial'!$LM$19:$LU$22,5,FALSE)</f>
        <v>1</v>
      </c>
      <c r="Q39" s="120">
        <f>VLOOKUP(L39,'Resultado Oficial'!$LM$19:$LU$22,6,FALSE)</f>
        <v>1</v>
      </c>
      <c r="R39" s="120">
        <f>VLOOKUP(L39,'Resultado Oficial'!$LM$19:$LU$22,7,FALSE)</f>
        <v>2</v>
      </c>
      <c r="S39" s="120">
        <f>VLOOKUP(L39,'Resultado Oficial'!$LM$19:$LU$22,8,FALSE)</f>
        <v>2</v>
      </c>
      <c r="T39" s="121">
        <f>VLOOKUP(L39,'Resultado Oficial'!$LM$19:$LU$22,9,FALSE)</f>
        <v>0</v>
      </c>
      <c r="U39" s="53"/>
      <c r="V39" s="59" t="s">
        <v>81</v>
      </c>
      <c r="W39" s="122" t="str">
        <f>IF(SUM(N38:N41)&lt;&gt;12,"",L39)</f>
        <v>Polônia</v>
      </c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0.0</v>
      </c>
      <c r="F40" s="106" t="s">
        <v>72</v>
      </c>
      <c r="G40" s="107">
        <v>2.0</v>
      </c>
      <c r="H40" s="108"/>
      <c r="I40" s="96" t="s">
        <v>71</v>
      </c>
      <c r="J40" s="97" t="s">
        <v>97</v>
      </c>
      <c r="K40" s="109"/>
      <c r="L40" s="118" t="str">
        <f>'Resultado Oficial'!MH21</f>
        <v>México</v>
      </c>
      <c r="M40" s="119">
        <f>VLOOKUP(L40,'Resultado Oficial'!$LM$19:$LU$22,2,FALSE)</f>
        <v>4</v>
      </c>
      <c r="N40" s="120">
        <f>VLOOKUP(L40,'Resultado Oficial'!$LM$19:$LU$22,3,FALSE)</f>
        <v>3</v>
      </c>
      <c r="O40" s="120">
        <f>VLOOKUP(L40,'Resultado Oficial'!$LM$19:$LU$22,4,FALSE)</f>
        <v>1</v>
      </c>
      <c r="P40" s="120">
        <f>VLOOKUP(L40,'Resultado Oficial'!$LM$19:$LU$22,5,FALSE)</f>
        <v>1</v>
      </c>
      <c r="Q40" s="120">
        <f>VLOOKUP(L40,'Resultado Oficial'!$LM$19:$LU$22,6,FALSE)</f>
        <v>1</v>
      </c>
      <c r="R40" s="120">
        <f>VLOOKUP(L40,'Resultado Oficial'!$LM$19:$LU$22,7,FALSE)</f>
        <v>2</v>
      </c>
      <c r="S40" s="120">
        <f>VLOOKUP(L40,'Resultado Oficial'!$LM$19:$LU$22,8,FALSE)</f>
        <v>3</v>
      </c>
      <c r="T40" s="121">
        <f>VLOOKUP(L40,'Resultado Oficial'!$LM$19:$LU$22,9,FALSE)</f>
        <v>-1</v>
      </c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1.0</v>
      </c>
      <c r="F41" s="106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'Resultado Oficial'!MH22</f>
        <v>Arábia Saudita</v>
      </c>
      <c r="M41" s="125">
        <f>VLOOKUP(L41,'Resultado Oficial'!$LM$19:$LU$22,2,FALSE)</f>
        <v>3</v>
      </c>
      <c r="N41" s="126">
        <f>VLOOKUP(L41,'Resultado Oficial'!$LM$19:$LU$22,3,FALSE)</f>
        <v>3</v>
      </c>
      <c r="O41" s="126">
        <f>VLOOKUP(L41,'Resultado Oficial'!$LM$19:$LU$22,4,FALSE)</f>
        <v>1</v>
      </c>
      <c r="P41" s="126">
        <f>VLOOKUP(L41,'Resultado Oficial'!$LM$19:$LU$22,5,FALSE)</f>
        <v>0</v>
      </c>
      <c r="Q41" s="126">
        <f>VLOOKUP(L41,'Resultado Oficial'!$LM$19:$LU$22,6,FALSE)</f>
        <v>2</v>
      </c>
      <c r="R41" s="126">
        <f>VLOOKUP(L41,'Resultado Oficial'!$LM$19:$LU$22,7,FALSE)</f>
        <v>3</v>
      </c>
      <c r="S41" s="126">
        <f>VLOOKUP(L41,'Resultado Oficial'!$LM$19:$LU$22,8,FALSE)</f>
        <v>5</v>
      </c>
      <c r="T41" s="127">
        <f>VLOOKUP(L41,'Resultado Oficial'!$LM$19:$LU$22,9,FALSE)</f>
        <v>-2</v>
      </c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4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1</v>
      </c>
      <c r="LQ43" s="71">
        <f>IF(OR(E61="",G61=""),0,IF(E61=G61,1,0))+IF(OR(E62="",G62=""),0,IF(E62=G62,1,0))+IF(OR(G64="",E64=""),0,IF(G64=E64,1,0))</f>
        <v>1</v>
      </c>
      <c r="LR43" s="71">
        <f>IF(OR(E61="",G61=""),0,IF(E61&lt;G61,1,0))+IF(OR(E62="",G62=""),0,IF(E62&lt;G62,1,0))+IF(OR(G64="",E64=""),0,IF(G64&lt;E64,1,0))</f>
        <v>1</v>
      </c>
      <c r="LS43" s="71">
        <f>E61+E62+G64</f>
        <v>1</v>
      </c>
      <c r="LT43" s="71">
        <f>G61+G62+E64</f>
        <v>2</v>
      </c>
      <c r="LU43" s="71">
        <f t="shared" ref="LU43:LU46" si="42">LS43-LT43</f>
        <v>-1</v>
      </c>
      <c r="LV43" s="70">
        <f t="shared" ref="LV43:LV46" si="43">LN43</f>
        <v>4</v>
      </c>
      <c r="LW43" s="70">
        <f t="shared" ref="LW43:LW46" si="44">LU43/10</f>
        <v>-0.1</v>
      </c>
      <c r="LX43" s="70">
        <f t="shared" ref="LX43:LX46" si="45">LS43/100</f>
        <v>0.01</v>
      </c>
      <c r="LY43" s="70">
        <f t="shared" ref="LY43:LY46" si="46">SUM(LV43:LX43)</f>
        <v>3.91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47">SUM(LY43:MB43)</f>
        <v>3.91</v>
      </c>
      <c r="MD43" s="70">
        <f>RANK($MC$43,$MC$43:$MC$46,0)</f>
        <v>3</v>
      </c>
      <c r="ME43" s="70">
        <f>MD43</f>
        <v>3</v>
      </c>
      <c r="MF43" s="70">
        <v>1.0</v>
      </c>
      <c r="MG43" s="70">
        <f t="shared" ref="MG43:MG46" si="48">MATCH(MF43,$ME$43:$ME$46,0)</f>
        <v>3</v>
      </c>
      <c r="MH43" s="70" t="str">
        <f t="shared" ref="MH43:MH46" si="49">INDEX($LM$43:$LM$46,MG43)</f>
        <v>Marrocos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0.0</v>
      </c>
      <c r="F44" s="106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0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0</v>
      </c>
      <c r="LR44" s="71">
        <f>IF(OR(G61="",E61=""),0,IF(G61&lt;E61,1,0))+IF(OR(G63="",E63=""),0,IF(G63&lt;E63,1,0))+IF(OR(E65="",G65=""),0,IF(E65&lt;G65,1,0))</f>
        <v>3</v>
      </c>
      <c r="LS44" s="71">
        <f>G61+G63+E65</f>
        <v>2</v>
      </c>
      <c r="LT44" s="71">
        <f>E61+E63+G65</f>
        <v>7</v>
      </c>
      <c r="LU44" s="71">
        <f t="shared" si="42"/>
        <v>-5</v>
      </c>
      <c r="LV44" s="70">
        <f t="shared" si="43"/>
        <v>0</v>
      </c>
      <c r="LW44" s="70">
        <f t="shared" si="44"/>
        <v>-0.5</v>
      </c>
      <c r="LX44" s="70">
        <f t="shared" si="45"/>
        <v>0.02</v>
      </c>
      <c r="LY44" s="70">
        <f t="shared" si="46"/>
        <v>-0.48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47"/>
        <v>-0.48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48"/>
        <v>4</v>
      </c>
      <c r="MH44" s="70" t="str">
        <f t="shared" si="49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4.0</v>
      </c>
      <c r="F45" s="106" t="s">
        <v>72</v>
      </c>
      <c r="G45" s="107">
        <v>1.0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7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2</v>
      </c>
      <c r="LQ45" s="71">
        <f>IF(OR(E60="",G60=""),0,IF(E60=G60,1,0))+IF(OR(G62="",E62=""),0,IF(G62=E62,1,0))+IF(OR(G65="",E65=""),0,IF(G65=E65,1,0))</f>
        <v>1</v>
      </c>
      <c r="LR45" s="71">
        <f>IF(OR(E60="",G60=""),0,IF(E60&lt;G60,1,0))+IF(OR(G62="",E62=""),0,IF(G62&lt;E62,1,0))+IF(OR(G65="",E65=""),0,IF(G65&lt;E65,1,0))</f>
        <v>0</v>
      </c>
      <c r="LS45" s="71">
        <f>E60+G62+G65</f>
        <v>4</v>
      </c>
      <c r="LT45" s="71">
        <f>G60+E62+E65</f>
        <v>1</v>
      </c>
      <c r="LU45" s="71">
        <f t="shared" si="42"/>
        <v>3</v>
      </c>
      <c r="LV45" s="70">
        <f t="shared" si="43"/>
        <v>7</v>
      </c>
      <c r="LW45" s="70">
        <f t="shared" si="44"/>
        <v>0.3</v>
      </c>
      <c r="LX45" s="70">
        <f t="shared" si="45"/>
        <v>0.04</v>
      </c>
      <c r="LY45" s="70">
        <f t="shared" si="46"/>
        <v>7.34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47"/>
        <v>7.34</v>
      </c>
      <c r="MD45" s="70">
        <f>RANK($MC$45,$MC$43:$MC$46,0)</f>
        <v>1</v>
      </c>
      <c r="ME45" s="70">
        <f>IF(OR(AND(MD43=MD44,MD43=MD45,MD43=MD46),AND(MD45=MD43,MD45=MD44)),MD45+2,IF(OR(AND(MD45=MD44,MD45=MD46),MD45=MD43,MD45=MD44),MD45+1,MD45))</f>
        <v>1</v>
      </c>
      <c r="MF45" s="70">
        <v>3.0</v>
      </c>
      <c r="MG45" s="70">
        <f t="shared" si="48"/>
        <v>1</v>
      </c>
      <c r="MH45" s="70" t="str">
        <f t="shared" si="49"/>
        <v>Bélgica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0.0</v>
      </c>
      <c r="F46" s="115" t="s">
        <v>72</v>
      </c>
      <c r="G46" s="116">
        <v>1.0</v>
      </c>
      <c r="H46" s="117"/>
      <c r="I46" s="96" t="s">
        <v>87</v>
      </c>
      <c r="J46" s="97" t="s">
        <v>106</v>
      </c>
      <c r="K46" s="109"/>
      <c r="L46" s="118" t="str">
        <f>'Resultado Oficial'!MH27</f>
        <v>França</v>
      </c>
      <c r="M46" s="119">
        <f>VLOOKUP(L46,'Resultado Oficial'!$LM$27:$LU$30,2,FALSE)</f>
        <v>6</v>
      </c>
      <c r="N46" s="120">
        <f>VLOOKUP(L46,'Resultado Oficial'!$LM$27:$LU$30,3,FALSE)</f>
        <v>3</v>
      </c>
      <c r="O46" s="120">
        <f>VLOOKUP(L46,'Resultado Oficial'!$LM$27:$LU$30,4,FALSE)</f>
        <v>2</v>
      </c>
      <c r="P46" s="120">
        <f>VLOOKUP(L46,'Resultado Oficial'!$LM$27:$LU$30,5,FALSE)</f>
        <v>0</v>
      </c>
      <c r="Q46" s="120">
        <f>VLOOKUP(L46,'Resultado Oficial'!$LM$27:$LU$30,6,FALSE)</f>
        <v>1</v>
      </c>
      <c r="R46" s="120">
        <f>VLOOKUP(L46,'Resultado Oficial'!$LM$27:$LU$30,7,FALSE)</f>
        <v>6</v>
      </c>
      <c r="S46" s="120">
        <f>VLOOKUP(L46,'Resultado Oficial'!$LM$27:$LU$30,8,FALSE)</f>
        <v>3</v>
      </c>
      <c r="T46" s="121">
        <f>VLOOKUP(L46,'Resultado Oficial'!$LM$27:$LU$30,9,FALSE)</f>
        <v>3</v>
      </c>
      <c r="U46" s="53"/>
      <c r="V46" s="59" t="s">
        <v>78</v>
      </c>
      <c r="W46" s="122" t="str">
        <f>IF(SUM(N46:N49)&lt;&gt;12,"",L46)</f>
        <v>França</v>
      </c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5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1</v>
      </c>
      <c r="LQ46" s="71">
        <f>IF(OR(G60="",E60=""),0,IF(G60=E60,1,0))+IF(OR(E63="",G63=""),0,IF(E63=G63,1,0))+IF(OR(E64="",G64=""),0,IF(E64=G64,1,0))</f>
        <v>2</v>
      </c>
      <c r="LR46" s="71">
        <f>IF(OR(G60="",E60=""),0,IF(G60&lt;E60,1,0))+IF(OR(E63="",G63=""),0,IF(E63&lt;G63,1,0))+IF(OR(E64="",G64=""),0,IF(E64&lt;G64,1,0))</f>
        <v>0</v>
      </c>
      <c r="LS46" s="71">
        <f>G60+E63+E64</f>
        <v>4</v>
      </c>
      <c r="LT46" s="71">
        <f>E60+G63+G64</f>
        <v>1</v>
      </c>
      <c r="LU46" s="71">
        <f t="shared" si="42"/>
        <v>3</v>
      </c>
      <c r="LV46" s="70">
        <f t="shared" si="43"/>
        <v>5</v>
      </c>
      <c r="LW46" s="70">
        <f t="shared" si="44"/>
        <v>0.3</v>
      </c>
      <c r="LX46" s="70">
        <f t="shared" si="45"/>
        <v>0.04</v>
      </c>
      <c r="LY46" s="70">
        <f t="shared" si="46"/>
        <v>5.34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47"/>
        <v>5.34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48"/>
        <v>2</v>
      </c>
      <c r="MH46" s="70" t="str">
        <f t="shared" si="49"/>
        <v>Canadá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2.0</v>
      </c>
      <c r="F47" s="106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'Resultado Oficial'!MH28</f>
        <v>Austrália</v>
      </c>
      <c r="M47" s="119">
        <f>VLOOKUP(L47,'Resultado Oficial'!$LM$27:$LU$30,2,FALSE)</f>
        <v>6</v>
      </c>
      <c r="N47" s="120">
        <f>VLOOKUP(L47,'Resultado Oficial'!$LM$27:$LU$30,3,FALSE)</f>
        <v>3</v>
      </c>
      <c r="O47" s="120">
        <f>VLOOKUP(L47,'Resultado Oficial'!$LM$27:$LU$30,4,FALSE)</f>
        <v>2</v>
      </c>
      <c r="P47" s="120">
        <f>VLOOKUP(L47,'Resultado Oficial'!$LM$27:$LU$30,5,FALSE)</f>
        <v>0</v>
      </c>
      <c r="Q47" s="120">
        <f>VLOOKUP(L47,'Resultado Oficial'!$LM$27:$LU$30,6,FALSE)</f>
        <v>1</v>
      </c>
      <c r="R47" s="120">
        <f>VLOOKUP(L47,'Resultado Oficial'!$LM$27:$LU$30,7,FALSE)</f>
        <v>3</v>
      </c>
      <c r="S47" s="120">
        <f>VLOOKUP(L47,'Resultado Oficial'!$LM$27:$LU$30,8,FALSE)</f>
        <v>4</v>
      </c>
      <c r="T47" s="121">
        <f>VLOOKUP(L47,'Resultado Oficial'!$LM$27:$LU$30,9,FALSE)</f>
        <v>-1</v>
      </c>
      <c r="U47" s="53"/>
      <c r="V47" s="59" t="s">
        <v>81</v>
      </c>
      <c r="W47" s="122" t="str">
        <f>IF(SUM(N46:N49)&lt;&gt;12,"",L47)</f>
        <v>Austrália</v>
      </c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1.0</v>
      </c>
      <c r="F48" s="106" t="s">
        <v>72</v>
      </c>
      <c r="G48" s="107">
        <v>0.0</v>
      </c>
      <c r="H48" s="108"/>
      <c r="I48" s="96" t="s">
        <v>89</v>
      </c>
      <c r="J48" s="97" t="s">
        <v>106</v>
      </c>
      <c r="K48" s="109"/>
      <c r="L48" s="118" t="str">
        <f>'Resultado Oficial'!MH29</f>
        <v>Tunísia</v>
      </c>
      <c r="M48" s="119">
        <f>VLOOKUP(L48,'Resultado Oficial'!$LM$27:$LU$30,2,FALSE)</f>
        <v>4</v>
      </c>
      <c r="N48" s="120">
        <f>VLOOKUP(L48,'Resultado Oficial'!$LM$27:$LU$30,3,FALSE)</f>
        <v>3</v>
      </c>
      <c r="O48" s="120">
        <f>VLOOKUP(L48,'Resultado Oficial'!$LM$27:$LU$30,4,FALSE)</f>
        <v>1</v>
      </c>
      <c r="P48" s="120">
        <f>VLOOKUP(L48,'Resultado Oficial'!$LM$27:$LU$30,5,FALSE)</f>
        <v>1</v>
      </c>
      <c r="Q48" s="120">
        <f>VLOOKUP(L48,'Resultado Oficial'!$LM$27:$LU$30,6,FALSE)</f>
        <v>1</v>
      </c>
      <c r="R48" s="120">
        <f>VLOOKUP(L48,'Resultado Oficial'!$LM$27:$LU$30,7,FALSE)</f>
        <v>1</v>
      </c>
      <c r="S48" s="120">
        <f>VLOOKUP(L48,'Resultado Oficial'!$LM$27:$LU$30,8,FALSE)</f>
        <v>1</v>
      </c>
      <c r="T48" s="121">
        <f>VLOOKUP(L48,'Resultado Oficial'!$LM$27:$LU$30,9,FALSE)</f>
        <v>0</v>
      </c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1.0</v>
      </c>
      <c r="F49" s="106" t="s">
        <v>72</v>
      </c>
      <c r="G49" s="107">
        <v>0.0</v>
      </c>
      <c r="H49" s="108"/>
      <c r="I49" s="96" t="s">
        <v>85</v>
      </c>
      <c r="J49" s="97" t="s">
        <v>99</v>
      </c>
      <c r="K49" s="123"/>
      <c r="L49" s="124" t="str">
        <f>'Resultado Oficial'!MH30</f>
        <v>Dinamarca</v>
      </c>
      <c r="M49" s="125">
        <f>VLOOKUP(L49,'Resultado Oficial'!$LM$27:$LU$30,2,FALSE)</f>
        <v>1</v>
      </c>
      <c r="N49" s="126">
        <f>VLOOKUP(L49,'Resultado Oficial'!$LM$27:$LU$30,3,FALSE)</f>
        <v>3</v>
      </c>
      <c r="O49" s="126">
        <f>VLOOKUP(L49,'Resultado Oficial'!$LM$27:$LU$30,4,FALSE)</f>
        <v>0</v>
      </c>
      <c r="P49" s="126">
        <f>VLOOKUP(L49,'Resultado Oficial'!$LM$27:$LU$30,5,FALSE)</f>
        <v>1</v>
      </c>
      <c r="Q49" s="126">
        <f>VLOOKUP(L49,'Resultado Oficial'!$LM$27:$LU$30,6,FALSE)</f>
        <v>2</v>
      </c>
      <c r="R49" s="126">
        <f>VLOOKUP(L49,'Resultado Oficial'!$LM$27:$LU$30,7,FALSE)</f>
        <v>1</v>
      </c>
      <c r="S49" s="126">
        <f>VLOOKUP(L49,'Resultado Oficial'!$LM$27:$LU$30,8,FALSE)</f>
        <v>3</v>
      </c>
      <c r="T49" s="127">
        <f>VLOOKUP(L49,'Resultado Oficial'!$LM$27:$LU$30,9,FALSE)</f>
        <v>-2</v>
      </c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6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2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1</v>
      </c>
      <c r="LS51" s="71">
        <f>E69+E71+G73</f>
        <v>3</v>
      </c>
      <c r="LT51" s="71">
        <f>G69+G71+E73</f>
        <v>1</v>
      </c>
      <c r="LU51" s="71">
        <f t="shared" ref="LU51:LU54" si="50">LS51-LT51</f>
        <v>2</v>
      </c>
      <c r="LV51" s="70">
        <f t="shared" ref="LV51:LV54" si="51">LN51</f>
        <v>6</v>
      </c>
      <c r="LW51" s="70">
        <f t="shared" ref="LW51:LW54" si="52">LU51/10</f>
        <v>0.2</v>
      </c>
      <c r="LX51" s="70">
        <f t="shared" ref="LX51:LX54" si="53">LS51/100</f>
        <v>0.03</v>
      </c>
      <c r="LY51" s="70">
        <f t="shared" ref="LY51:LY54" si="54">SUM(LV51:LX51)</f>
        <v>6.23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5">SUM(LY51:MB51)</f>
        <v>6.23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56">MATCH(MF51,$ME$51:$ME$54,0)</f>
        <v>1</v>
      </c>
      <c r="MH51" s="70" t="str">
        <f t="shared" ref="MH51:MH54" si="57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1.0</v>
      </c>
      <c r="F52" s="106" t="s">
        <v>72</v>
      </c>
      <c r="G52" s="107">
        <v>2.0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1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0</v>
      </c>
      <c r="LQ52" s="71">
        <f>IF(OR(G69="",E69=""),0,IF(G69=E69,1,0))+IF(OR(G70="",E70=""),0,IF(G70=E70,1,0))+IF(OR(E72="",G72=""),0,IF(E72=G72,1,0))</f>
        <v>1</v>
      </c>
      <c r="LR52" s="71">
        <f>IF(OR(G69="",E69=""),0,IF(G69&lt;E69,1,0))+IF(OR(G70="",E70=""),0,IF(G70&lt;E70,1,0))+IF(OR(E72="",G72=""),0,IF(E72&lt;G72,1,0))</f>
        <v>2</v>
      </c>
      <c r="LS52" s="71">
        <f>G69+G70+E72</f>
        <v>5</v>
      </c>
      <c r="LT52" s="71">
        <f>E69+E70+G72</f>
        <v>8</v>
      </c>
      <c r="LU52" s="71">
        <f t="shared" si="50"/>
        <v>-3</v>
      </c>
      <c r="LV52" s="70">
        <f t="shared" si="51"/>
        <v>1</v>
      </c>
      <c r="LW52" s="70">
        <f t="shared" si="52"/>
        <v>-0.3</v>
      </c>
      <c r="LX52" s="70">
        <f t="shared" si="53"/>
        <v>0.05</v>
      </c>
      <c r="LY52" s="70">
        <f t="shared" si="54"/>
        <v>0.75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5"/>
        <v>0.75</v>
      </c>
      <c r="MD52" s="70">
        <f>RANK($MC$52,$MC$51:$MC$54,0)</f>
        <v>4</v>
      </c>
      <c r="ME52" s="70">
        <f>IF(OR(AND(MD51=MD52,MD51=MD53,MD51=MD54),AND(MD52=MD51,MD52=MD53),AND(MD52=MD51,MD52=MD54),MD52=MD51),MD52+1,MD52)</f>
        <v>4</v>
      </c>
      <c r="MF52" s="70">
        <v>2.0</v>
      </c>
      <c r="MG52" s="70">
        <f t="shared" si="56"/>
        <v>3</v>
      </c>
      <c r="MH52" s="70" t="str">
        <f t="shared" si="57"/>
        <v>Suiça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7.0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6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2</v>
      </c>
      <c r="LQ53" s="71">
        <f>IF(OR(E68="",G68=""),0,IF(E68=G68,1,0))+IF(OR(G71="",E71=""),0,IF(G71=E71,1,0))+IF(OR(G72="",E72=""),0,IF(G72=E72,1,0))</f>
        <v>0</v>
      </c>
      <c r="LR53" s="71">
        <f>IF(OR(E68="",G68=""),0,IF(E68&lt;G68,1,0))+IF(OR(G71="",E71=""),0,IF(G71&lt;E71,1,0))+IF(OR(G72="",E72=""),0,IF(G72&lt;E72,1,0))</f>
        <v>1</v>
      </c>
      <c r="LS53" s="71">
        <f>E68+G71+G72</f>
        <v>4</v>
      </c>
      <c r="LT53" s="71">
        <f>G68+E71+E72</f>
        <v>3</v>
      </c>
      <c r="LU53" s="71">
        <f t="shared" si="50"/>
        <v>1</v>
      </c>
      <c r="LV53" s="70">
        <f t="shared" si="51"/>
        <v>6</v>
      </c>
      <c r="LW53" s="70">
        <f t="shared" si="52"/>
        <v>0.1</v>
      </c>
      <c r="LX53" s="70">
        <f t="shared" si="53"/>
        <v>0.04</v>
      </c>
      <c r="LY53" s="70">
        <f t="shared" si="54"/>
        <v>6.14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5"/>
        <v>6.14</v>
      </c>
      <c r="MD53" s="70">
        <f>RANK($MC$53,$MC$51:$MC$54,0)</f>
        <v>2</v>
      </c>
      <c r="ME53" s="70">
        <f>IF(OR(AND(MD51=MD52,MD51=MD53,MD51=MD54),AND(MD53=MD51,MD53=MD52)),MD53+2,IF(OR(AND(MD53=MD52,MD53=MD54),MD53=MD51,MD53=MD52),MD53+1,MD53))</f>
        <v>2</v>
      </c>
      <c r="MF53" s="70">
        <v>3.0</v>
      </c>
      <c r="MG53" s="70">
        <f t="shared" si="56"/>
        <v>4</v>
      </c>
      <c r="MH53" s="70" t="str">
        <f t="shared" si="57"/>
        <v>Camarões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0.0</v>
      </c>
      <c r="F54" s="115" t="s">
        <v>72</v>
      </c>
      <c r="G54" s="116">
        <v>1.0</v>
      </c>
      <c r="H54" s="117"/>
      <c r="I54" s="96" t="s">
        <v>96</v>
      </c>
      <c r="J54" s="97" t="s">
        <v>115</v>
      </c>
      <c r="K54" s="109"/>
      <c r="L54" s="118" t="str">
        <f>'Resultado Oficial'!MH35</f>
        <v>Japão</v>
      </c>
      <c r="M54" s="119">
        <f>VLOOKUP(L54,'Resultado Oficial'!$LM$35:$LU$38,2,FALSE)</f>
        <v>6</v>
      </c>
      <c r="N54" s="120">
        <f>VLOOKUP(L54,'Resultado Oficial'!$LM$35:$LU$38,3,FALSE)</f>
        <v>3</v>
      </c>
      <c r="O54" s="120">
        <f>VLOOKUP(L54,'Resultado Oficial'!$LM$35:$LU$38,4,FALSE)</f>
        <v>2</v>
      </c>
      <c r="P54" s="120">
        <f>VLOOKUP(L54,'Resultado Oficial'!$LM$35:$LU$38,5,FALSE)</f>
        <v>0</v>
      </c>
      <c r="Q54" s="120">
        <f>VLOOKUP(L54,'Resultado Oficial'!$LM$35:$LU$38,6,FALSE)</f>
        <v>1</v>
      </c>
      <c r="R54" s="120">
        <f>VLOOKUP(L54,'Resultado Oficial'!$LM$35:$LU$38,7,FALSE)</f>
        <v>4</v>
      </c>
      <c r="S54" s="120">
        <f>VLOOKUP(L54,'Resultado Oficial'!$LM$35:$LU$38,8,FALSE)</f>
        <v>3</v>
      </c>
      <c r="T54" s="121">
        <f>VLOOKUP(L54,'Resultado Oficial'!$LM$35:$LU$38,9,FALSE)</f>
        <v>1</v>
      </c>
      <c r="U54" s="53"/>
      <c r="V54" s="59" t="s">
        <v>78</v>
      </c>
      <c r="W54" s="122" t="str">
        <f>IF(SUM(N54:N57)&lt;&gt;12,"",L54)</f>
        <v>Japão</v>
      </c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IF(OR(G68="",E68=""),0,IF(LO54=0,0,IF(G68&gt;E68,3,IF(G68=E68,1,0)))+IF(OR(E70="",G70=""),0,IF(E70&gt;G70,3,IF(E70=G70,1,0)))+IF(OR(E73="",G73=""),0,IF(E73&gt;G73,3,IF(E73=G73,1,0))))</f>
        <v>4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1</v>
      </c>
      <c r="LQ54" s="71">
        <f>IF(OR(G68="",E68=""),0,IF(G68=E68,1,0))+IF(OR(E70="",G70=""),0,IF(E70=G70,1,0))+IF(OR(E73="",G73=""),0,IF(E73=G73,1,0))</f>
        <v>1</v>
      </c>
      <c r="LR54" s="71">
        <f>IF(OR(G68="",E68=""),0,IF(G68&lt;E68,1,0))+IF(OR(E70="",G70=""),0,IF(E70&lt;G70,1,0))+IF(OR(E73="",G73=""),0,IF(E73&lt;G73,1,0))</f>
        <v>1</v>
      </c>
      <c r="LS54" s="71">
        <f>G68+E70+E73</f>
        <v>4</v>
      </c>
      <c r="LT54" s="71">
        <f>E68+G70+G73</f>
        <v>4</v>
      </c>
      <c r="LU54" s="71">
        <f t="shared" si="50"/>
        <v>0</v>
      </c>
      <c r="LV54" s="70">
        <f t="shared" si="51"/>
        <v>4</v>
      </c>
      <c r="LW54" s="70">
        <f t="shared" si="52"/>
        <v>0</v>
      </c>
      <c r="LX54" s="70">
        <f t="shared" si="53"/>
        <v>0.04</v>
      </c>
      <c r="LY54" s="70">
        <f t="shared" si="54"/>
        <v>4.04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5"/>
        <v>4.04</v>
      </c>
      <c r="MD54" s="70">
        <f>RANK($MC$54,$MC$51:$MC$54,0)</f>
        <v>3</v>
      </c>
      <c r="ME54" s="70">
        <f>IF(AND(MD51=MD52,MD51=MD53,MD51=MD54),MD54+3,IF(OR(AND(MD54=MD53,MD54=MD52),AND(MD54=MD52,MD54=MD51)),MD54+2,IF(OR(MD54=MD53,MD54=MD52,MD54=MD51),MD54+1,MD54)))</f>
        <v>3</v>
      </c>
      <c r="MF54" s="70">
        <v>4.0</v>
      </c>
      <c r="MG54" s="70">
        <f t="shared" si="56"/>
        <v>2</v>
      </c>
      <c r="MH54" s="70" t="str">
        <f t="shared" si="57"/>
        <v>Sérvia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1.0</v>
      </c>
      <c r="F55" s="106" t="s">
        <v>72</v>
      </c>
      <c r="G55" s="107">
        <v>1.0</v>
      </c>
      <c r="H55" s="108"/>
      <c r="I55" s="96" t="s">
        <v>98</v>
      </c>
      <c r="J55" s="97" t="s">
        <v>73</v>
      </c>
      <c r="K55" s="109"/>
      <c r="L55" s="118" t="str">
        <f>'Resultado Oficial'!MH36</f>
        <v>Espanha</v>
      </c>
      <c r="M55" s="119">
        <f>VLOOKUP(L55,'Resultado Oficial'!$LM$35:$LU$38,2,FALSE)</f>
        <v>4</v>
      </c>
      <c r="N55" s="120">
        <f>VLOOKUP(L55,'Resultado Oficial'!$LM$35:$LU$38,3,FALSE)</f>
        <v>3</v>
      </c>
      <c r="O55" s="120">
        <f>VLOOKUP(L55,'Resultado Oficial'!$LM$35:$LU$38,4,FALSE)</f>
        <v>1</v>
      </c>
      <c r="P55" s="120">
        <f>VLOOKUP(L55,'Resultado Oficial'!$LM$35:$LU$38,5,FALSE)</f>
        <v>1</v>
      </c>
      <c r="Q55" s="120">
        <f>VLOOKUP(L55,'Resultado Oficial'!$LM$35:$LU$38,6,FALSE)</f>
        <v>1</v>
      </c>
      <c r="R55" s="120">
        <f>VLOOKUP(L55,'Resultado Oficial'!$LM$35:$LU$38,7,FALSE)</f>
        <v>9</v>
      </c>
      <c r="S55" s="120">
        <f>VLOOKUP(L55,'Resultado Oficial'!$LM$35:$LU$38,8,FALSE)</f>
        <v>3</v>
      </c>
      <c r="T55" s="121">
        <f>VLOOKUP(L55,'Resultado Oficial'!$LM$35:$LU$38,9,FALSE)</f>
        <v>6</v>
      </c>
      <c r="U55" s="53"/>
      <c r="V55" s="59" t="s">
        <v>81</v>
      </c>
      <c r="W55" s="122" t="str">
        <f>IF(SUM(N54:N57)&lt;&gt;12,"",L55)</f>
        <v>Espanha</v>
      </c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2.0</v>
      </c>
      <c r="F56" s="106" t="s">
        <v>72</v>
      </c>
      <c r="G56" s="107">
        <v>1.0</v>
      </c>
      <c r="H56" s="108"/>
      <c r="I56" s="96" t="s">
        <v>93</v>
      </c>
      <c r="J56" s="97" t="s">
        <v>80</v>
      </c>
      <c r="K56" s="109"/>
      <c r="L56" s="118" t="str">
        <f>'Resultado Oficial'!MH37</f>
        <v>Alemanha</v>
      </c>
      <c r="M56" s="119">
        <f>VLOOKUP(L56,'Resultado Oficial'!$LM$35:$LU$38,2,FALSE)</f>
        <v>4</v>
      </c>
      <c r="N56" s="120">
        <f>VLOOKUP(L56,'Resultado Oficial'!$LM$35:$LU$38,3,FALSE)</f>
        <v>3</v>
      </c>
      <c r="O56" s="120">
        <f>VLOOKUP(L56,'Resultado Oficial'!$LM$35:$LU$38,4,FALSE)</f>
        <v>1</v>
      </c>
      <c r="P56" s="120">
        <f>VLOOKUP(L56,'Resultado Oficial'!$LM$35:$LU$38,5,FALSE)</f>
        <v>1</v>
      </c>
      <c r="Q56" s="120">
        <f>VLOOKUP(L56,'Resultado Oficial'!$LM$35:$LU$38,6,FALSE)</f>
        <v>1</v>
      </c>
      <c r="R56" s="120">
        <f>VLOOKUP(L56,'Resultado Oficial'!$LM$35:$LU$38,7,FALSE)</f>
        <v>6</v>
      </c>
      <c r="S56" s="120">
        <f>VLOOKUP(L56,'Resultado Oficial'!$LM$35:$LU$38,8,FALSE)</f>
        <v>5</v>
      </c>
      <c r="T56" s="121">
        <f>VLOOKUP(L56,'Resultado Oficial'!$LM$35:$LU$38,9,FALSE)</f>
        <v>1</v>
      </c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2.0</v>
      </c>
      <c r="F57" s="106" t="s">
        <v>72</v>
      </c>
      <c r="G57" s="107">
        <v>4.0</v>
      </c>
      <c r="H57" s="108"/>
      <c r="I57" s="96" t="s">
        <v>98</v>
      </c>
      <c r="J57" s="97" t="s">
        <v>73</v>
      </c>
      <c r="K57" s="123"/>
      <c r="L57" s="124" t="str">
        <f>'Resultado Oficial'!MH38</f>
        <v>Costa Rica</v>
      </c>
      <c r="M57" s="125">
        <f>VLOOKUP(L57,'Resultado Oficial'!$LM$35:$LU$38,2,FALSE)</f>
        <v>3</v>
      </c>
      <c r="N57" s="126">
        <f>VLOOKUP(L57,'Resultado Oficial'!$LM$35:$LU$38,3,FALSE)</f>
        <v>3</v>
      </c>
      <c r="O57" s="126">
        <f>VLOOKUP(L57,'Resultado Oficial'!$LM$35:$LU$38,4,FALSE)</f>
        <v>1</v>
      </c>
      <c r="P57" s="126">
        <f>VLOOKUP(L57,'Resultado Oficial'!$LM$35:$LU$38,5,FALSE)</f>
        <v>0</v>
      </c>
      <c r="Q57" s="126">
        <f>VLOOKUP(L57,'Resultado Oficial'!$LM$35:$LU$38,6,FALSE)</f>
        <v>2</v>
      </c>
      <c r="R57" s="126">
        <f>VLOOKUP(L57,'Resultado Oficial'!$LM$35:$LU$38,7,FALSE)</f>
        <v>3</v>
      </c>
      <c r="S57" s="126">
        <f>VLOOKUP(L57,'Resultado Oficial'!$LM$35:$LU$38,8,FALSE)</f>
        <v>11</v>
      </c>
      <c r="T57" s="127">
        <f>VLOOKUP(L57,'Resultado Oficial'!$LM$35:$LU$38,9,FALSE)</f>
        <v>-8</v>
      </c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6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0</v>
      </c>
      <c r="LR59" s="71">
        <f>IF(OR(E77="",G77=""),0,IF(E77&lt;G77,1,0))+IF(OR(E79="",G79=""),0,IF(E79&lt;G79,1,0))+IF(OR(G81="",E81=""),0,IF(G81&lt;E81,1,0))</f>
        <v>1</v>
      </c>
      <c r="LS59" s="71">
        <f>E77+E79+G81</f>
        <v>6</v>
      </c>
      <c r="LT59" s="71">
        <f>G77+G79+E81</f>
        <v>4</v>
      </c>
      <c r="LU59" s="71">
        <f t="shared" ref="LU59:LU62" si="58">LS59-LT59</f>
        <v>2</v>
      </c>
      <c r="LV59" s="70">
        <f t="shared" ref="LV59:LV62" si="59">LN59</f>
        <v>6</v>
      </c>
      <c r="LW59" s="70">
        <f t="shared" ref="LW59:LW62" si="60">LU59/10</f>
        <v>0.2</v>
      </c>
      <c r="LX59" s="70">
        <f t="shared" ref="LX59:LX62" si="61">LS59/100</f>
        <v>0.06</v>
      </c>
      <c r="LY59" s="70">
        <f t="shared" ref="LY59:LY62" si="62">SUM(LV59:LX59)</f>
        <v>6.26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3">SUM(LY59:MB59)</f>
        <v>6.26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4">MATCH(MF59,$ME$59:$ME$62,0)</f>
        <v>1</v>
      </c>
      <c r="MH59" s="70" t="str">
        <f t="shared" ref="MH59:MH62" si="65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0.0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3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1</v>
      </c>
      <c r="LQ60" s="71">
        <f>IF(OR(G77="",E77=""),0,IF(G77=E77,1,0))+IF(OR(G78="",E78=""),0,IF(G78=E78,1,0))+IF(OR(E80="",G80=""),0,IF(E80=G80,1,0))</f>
        <v>0</v>
      </c>
      <c r="LR60" s="71">
        <f>IF(OR(G77="",E77=""),0,IF(G77&lt;E77,1,0))+IF(OR(G78="",E78=""),0,IF(G78&lt;E78,1,0))+IF(OR(E80="",G80=""),0,IF(E80&lt;G80,1,0))</f>
        <v>2</v>
      </c>
      <c r="LS60" s="71">
        <f>G77+G78+E80</f>
        <v>5</v>
      </c>
      <c r="LT60" s="71">
        <f>E77+E78+G80</f>
        <v>7</v>
      </c>
      <c r="LU60" s="71">
        <f t="shared" si="58"/>
        <v>-2</v>
      </c>
      <c r="LV60" s="70">
        <f t="shared" si="59"/>
        <v>3</v>
      </c>
      <c r="LW60" s="70">
        <f t="shared" si="60"/>
        <v>-0.2</v>
      </c>
      <c r="LX60" s="70">
        <f t="shared" si="61"/>
        <v>0.05</v>
      </c>
      <c r="LY60" s="70">
        <f t="shared" si="62"/>
        <v>2.85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3"/>
        <v>2.85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4"/>
        <v>4</v>
      </c>
      <c r="MH60" s="70" t="str">
        <f t="shared" si="65"/>
        <v>Coréia do Sul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1.0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4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1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1</v>
      </c>
      <c r="LS61" s="71">
        <f>E76+G79+G80</f>
        <v>2</v>
      </c>
      <c r="LT61" s="71">
        <f>G76+E79+E80</f>
        <v>2</v>
      </c>
      <c r="LU61" s="71">
        <f t="shared" si="58"/>
        <v>0</v>
      </c>
      <c r="LV61" s="70">
        <f t="shared" si="59"/>
        <v>4</v>
      </c>
      <c r="LW61" s="70">
        <f t="shared" si="60"/>
        <v>0</v>
      </c>
      <c r="LX61" s="70">
        <f t="shared" si="61"/>
        <v>0.02</v>
      </c>
      <c r="LY61" s="70">
        <f t="shared" si="62"/>
        <v>4.02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3"/>
        <v>4.02</v>
      </c>
      <c r="MD61" s="70">
        <f>RANK($MC$61,$MC$59:$MC$62,0)</f>
        <v>3</v>
      </c>
      <c r="ME61" s="70">
        <f>IF(OR(AND(MD59=MD60,MD59=MD61,MD59=MD62),AND(MD61=MD59,MD61=MD60)),MD61+2,IF(OR(AND(MD61=MD60,MD61=MD62),MD61=MD59,MD61=MD60),MD61+1,MD61))</f>
        <v>3</v>
      </c>
      <c r="MF61" s="70">
        <v>3.0</v>
      </c>
      <c r="MG61" s="70">
        <f t="shared" si="64"/>
        <v>3</v>
      </c>
      <c r="MH61" s="70" t="str">
        <f t="shared" si="65"/>
        <v>Uruguai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0.0</v>
      </c>
      <c r="F62" s="115" t="s">
        <v>72</v>
      </c>
      <c r="G62" s="116">
        <v>2.0</v>
      </c>
      <c r="H62" s="117"/>
      <c r="I62" s="96" t="s">
        <v>107</v>
      </c>
      <c r="J62" s="97" t="s">
        <v>76</v>
      </c>
      <c r="K62" s="109"/>
      <c r="L62" s="118" t="str">
        <f>'Resultado Oficial'!MH43</f>
        <v>Marrocos</v>
      </c>
      <c r="M62" s="119">
        <f>VLOOKUP(L62,'Resultado Oficial'!$LM$43:$LU$46,2,FALSE)</f>
        <v>7</v>
      </c>
      <c r="N62" s="120">
        <f>VLOOKUP(L62,'Resultado Oficial'!$LM$43:$LU$46,3,FALSE)</f>
        <v>3</v>
      </c>
      <c r="O62" s="120">
        <f>VLOOKUP(L62,'Resultado Oficial'!$LM$43:$LU$46,4,FALSE)</f>
        <v>2</v>
      </c>
      <c r="P62" s="120">
        <f>VLOOKUP(L62,'Resultado Oficial'!$LM$43:$LU$46,5,FALSE)</f>
        <v>1</v>
      </c>
      <c r="Q62" s="120">
        <f>VLOOKUP(L62,'Resultado Oficial'!$LM$43:$LU$46,6,FALSE)</f>
        <v>0</v>
      </c>
      <c r="R62" s="120">
        <f>VLOOKUP(L62,'Resultado Oficial'!$LM$43:$LU$46,7,FALSE)</f>
        <v>4</v>
      </c>
      <c r="S62" s="120">
        <f>VLOOKUP(L62,'Resultado Oficial'!$LM$43:$LU$46,8,FALSE)</f>
        <v>1</v>
      </c>
      <c r="T62" s="121">
        <f>VLOOKUP(L62,'Resultado Oficial'!$LM$43:$LU$46,9,FALSE)</f>
        <v>3</v>
      </c>
      <c r="U62" s="53"/>
      <c r="V62" s="59" t="s">
        <v>78</v>
      </c>
      <c r="W62" s="122" t="str">
        <f>IF(SUM(N62:N65)&lt;&gt;12,"",L62)</f>
        <v>Marrocos</v>
      </c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IF(OR(G76="",E76=""),0,IF(LO62=0,0,IF(G76&gt;E76,3,IF(G76=E76,1,0)))+IF(OR(E78="",G78=""),0,IF(E78&gt;G78,3,IF(E78=G78,1,0)))+IF(OR(E81="",G81=""),0,IF(E81&gt;G81,3,IF(E81=G81,1,0))))</f>
        <v>4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1</v>
      </c>
      <c r="LQ62" s="71">
        <f>IF(OR(G76="",E76=""),0,IF(G76=E76,1,0))+IF(OR(E78="",G78=""),0,IF(E78=G78,1,0))+IF(OR(E81="",G81=""),0,IF(E81=G81,1,0))</f>
        <v>1</v>
      </c>
      <c r="LR62" s="71">
        <f>IF(OR(G76="",E76=""),0,IF(G76&lt;E76,1,0))+IF(OR(E78="",G78=""),0,IF(E78&lt;G78,1,0))+IF(OR(E81="",G81=""),0,IF(E81&lt;G81,1,0))</f>
        <v>1</v>
      </c>
      <c r="LS62" s="71">
        <f>G76+E78+E81</f>
        <v>4</v>
      </c>
      <c r="LT62" s="71">
        <f>E76+G78+G81</f>
        <v>4</v>
      </c>
      <c r="LU62" s="71">
        <f t="shared" si="58"/>
        <v>0</v>
      </c>
      <c r="LV62" s="70">
        <f t="shared" si="59"/>
        <v>4</v>
      </c>
      <c r="LW62" s="70">
        <f t="shared" si="60"/>
        <v>0</v>
      </c>
      <c r="LX62" s="70">
        <f t="shared" si="61"/>
        <v>0.04</v>
      </c>
      <c r="LY62" s="70">
        <f t="shared" si="62"/>
        <v>4.04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3"/>
        <v>4.04</v>
      </c>
      <c r="MD62" s="70">
        <f>RANK($MC$62,$MC$59:$MC$62,0)</f>
        <v>2</v>
      </c>
      <c r="ME62" s="70">
        <f>IF(AND(MD59=MD60,MD59=MD61,MD59=MD62),MD62+3,IF(OR(AND(MD62=MD61,MD62=MD60),AND(MD62=MD60,MD62=MD59)),MD62+2,IF(OR(MD62=MD61,MD62=MD60,MD62=MD59),MD62+1,MD62)))</f>
        <v>2</v>
      </c>
      <c r="MF62" s="70">
        <v>4.0</v>
      </c>
      <c r="MG62" s="70">
        <f t="shared" si="64"/>
        <v>2</v>
      </c>
      <c r="MH62" s="70" t="str">
        <f t="shared" si="65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4.0</v>
      </c>
      <c r="F63" s="106" t="s">
        <v>72</v>
      </c>
      <c r="G63" s="107">
        <v>1.0</v>
      </c>
      <c r="H63" s="108"/>
      <c r="I63" s="96" t="s">
        <v>105</v>
      </c>
      <c r="J63" s="97" t="s">
        <v>80</v>
      </c>
      <c r="K63" s="109"/>
      <c r="L63" s="118" t="str">
        <f>'Resultado Oficial'!MH44</f>
        <v>Croácia</v>
      </c>
      <c r="M63" s="119">
        <f>VLOOKUP(L63,'Resultado Oficial'!$LM$43:$LU$46,2,FALSE)</f>
        <v>5</v>
      </c>
      <c r="N63" s="120">
        <f>VLOOKUP(L63,'Resultado Oficial'!$LM$43:$LU$46,3,FALSE)</f>
        <v>3</v>
      </c>
      <c r="O63" s="120">
        <f>VLOOKUP(L63,'Resultado Oficial'!$LM$43:$LU$46,4,FALSE)</f>
        <v>1</v>
      </c>
      <c r="P63" s="120">
        <f>VLOOKUP(L63,'Resultado Oficial'!$LM$43:$LU$46,5,FALSE)</f>
        <v>2</v>
      </c>
      <c r="Q63" s="120">
        <f>VLOOKUP(L63,'Resultado Oficial'!$LM$43:$LU$46,6,FALSE)</f>
        <v>0</v>
      </c>
      <c r="R63" s="120">
        <f>VLOOKUP(L63,'Resultado Oficial'!$LM$43:$LU$46,7,FALSE)</f>
        <v>4</v>
      </c>
      <c r="S63" s="120">
        <f>VLOOKUP(L63,'Resultado Oficial'!$LM$43:$LU$46,8,FALSE)</f>
        <v>1</v>
      </c>
      <c r="T63" s="121">
        <f>VLOOKUP(L63,'Resultado Oficial'!$LM$43:$LU$46,9,FALSE)</f>
        <v>3</v>
      </c>
      <c r="U63" s="53"/>
      <c r="V63" s="59" t="s">
        <v>81</v>
      </c>
      <c r="W63" s="122" t="str">
        <f>IF(SUM(N62:N65)&lt;&gt;12,"",L63)</f>
        <v>Croácia</v>
      </c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0.0</v>
      </c>
      <c r="F64" s="106" t="s">
        <v>72</v>
      </c>
      <c r="G64" s="107">
        <v>0.0</v>
      </c>
      <c r="H64" s="108"/>
      <c r="I64" s="96" t="s">
        <v>103</v>
      </c>
      <c r="J64" s="97" t="s">
        <v>88</v>
      </c>
      <c r="K64" s="109"/>
      <c r="L64" s="118" t="str">
        <f>'Resultado Oficial'!MH45</f>
        <v>Bélgica</v>
      </c>
      <c r="M64" s="119">
        <f>VLOOKUP(L64,'Resultado Oficial'!$LM$43:$LU$46,2,FALSE)</f>
        <v>4</v>
      </c>
      <c r="N64" s="120">
        <f>VLOOKUP(L64,'Resultado Oficial'!$LM$43:$LU$46,3,FALSE)</f>
        <v>3</v>
      </c>
      <c r="O64" s="120">
        <f>VLOOKUP(L64,'Resultado Oficial'!$LM$43:$LU$46,4,FALSE)</f>
        <v>1</v>
      </c>
      <c r="P64" s="120">
        <f>VLOOKUP(L64,'Resultado Oficial'!$LM$43:$LU$46,5,FALSE)</f>
        <v>1</v>
      </c>
      <c r="Q64" s="120">
        <f>VLOOKUP(L64,'Resultado Oficial'!$LM$43:$LU$46,6,FALSE)</f>
        <v>1</v>
      </c>
      <c r="R64" s="120">
        <f>VLOOKUP(L64,'Resultado Oficial'!$LM$43:$LU$46,7,FALSE)</f>
        <v>1</v>
      </c>
      <c r="S64" s="120">
        <f>VLOOKUP(L64,'Resultado Oficial'!$LM$43:$LU$46,8,FALSE)</f>
        <v>2</v>
      </c>
      <c r="T64" s="121">
        <f>VLOOKUP(L64,'Resultado Oficial'!$LM$43:$LU$46,9,FALSE)</f>
        <v>-1</v>
      </c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1.0</v>
      </c>
      <c r="F65" s="106" t="s">
        <v>72</v>
      </c>
      <c r="G65" s="107">
        <v>2.0</v>
      </c>
      <c r="H65" s="108"/>
      <c r="I65" s="96" t="s">
        <v>107</v>
      </c>
      <c r="J65" s="97" t="s">
        <v>76</v>
      </c>
      <c r="K65" s="123"/>
      <c r="L65" s="124" t="str">
        <f>'Resultado Oficial'!MH46</f>
        <v>Canadá</v>
      </c>
      <c r="M65" s="125">
        <f>VLOOKUP(L65,'Resultado Oficial'!$LM$43:$LU$46,2,FALSE)</f>
        <v>0</v>
      </c>
      <c r="N65" s="126">
        <f>VLOOKUP(L65,'Resultado Oficial'!$LM$43:$LU$46,3,FALSE)</f>
        <v>3</v>
      </c>
      <c r="O65" s="126">
        <f>VLOOKUP(L65,'Resultado Oficial'!$LM$43:$LU$46,4,FALSE)</f>
        <v>0</v>
      </c>
      <c r="P65" s="126">
        <f>VLOOKUP(L65,'Resultado Oficial'!$LM$43:$LU$46,5,FALSE)</f>
        <v>0</v>
      </c>
      <c r="Q65" s="126">
        <f>VLOOKUP(L65,'Resultado Oficial'!$LM$43:$LU$46,6,FALSE)</f>
        <v>3</v>
      </c>
      <c r="R65" s="126">
        <f>VLOOKUP(L65,'Resultado Oficial'!$LM$43:$LU$46,7,FALSE)</f>
        <v>2</v>
      </c>
      <c r="S65" s="126">
        <f>VLOOKUP(L65,'Resultado Oficial'!$LM$43:$LU$46,8,FALSE)</f>
        <v>7</v>
      </c>
      <c r="T65" s="127">
        <f>VLOOKUP(L65,'Resultado Oficial'!$LM$43:$LU$46,9,FALSE)</f>
        <v>-5</v>
      </c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1.0</v>
      </c>
      <c r="F68" s="106" t="s">
        <v>72</v>
      </c>
      <c r="G68" s="107">
        <v>0.0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106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3.0</v>
      </c>
      <c r="F70" s="115" t="s">
        <v>72</v>
      </c>
      <c r="G70" s="116">
        <v>3.0</v>
      </c>
      <c r="H70" s="117"/>
      <c r="I70" s="96" t="s">
        <v>113</v>
      </c>
      <c r="J70" s="97" t="s">
        <v>106</v>
      </c>
      <c r="K70" s="109"/>
      <c r="L70" s="118" t="str">
        <f>'Resultado Oficial'!MH51</f>
        <v>Brasil</v>
      </c>
      <c r="M70" s="119">
        <f>VLOOKUP(L70,'Resultado Oficial'!$LM$51:$LU$54,2,FALSE)</f>
        <v>6</v>
      </c>
      <c r="N70" s="120">
        <f>VLOOKUP(L70,'Resultado Oficial'!$LM$51:$LU$54,3,FALSE)</f>
        <v>3</v>
      </c>
      <c r="O70" s="120">
        <f>VLOOKUP(L70,'Resultado Oficial'!$LM$51:$LU$54,4,FALSE)</f>
        <v>2</v>
      </c>
      <c r="P70" s="120">
        <f>VLOOKUP(L70,'Resultado Oficial'!$LM$51:$LU$54,5,FALSE)</f>
        <v>0</v>
      </c>
      <c r="Q70" s="120">
        <f>VLOOKUP(L70,'Resultado Oficial'!$LM$51:$LU$54,6,FALSE)</f>
        <v>1</v>
      </c>
      <c r="R70" s="120">
        <f>VLOOKUP(L70,'Resultado Oficial'!$LM$51:$LU$54,7,FALSE)</f>
        <v>3</v>
      </c>
      <c r="S70" s="120">
        <f>VLOOKUP(L70,'Resultado Oficial'!$LM$51:$LU$54,8,FALSE)</f>
        <v>1</v>
      </c>
      <c r="T70" s="121">
        <f>VLOOKUP(L70,'Resultado Oficial'!$LM$51:$LU$54,9,FALSE)</f>
        <v>2</v>
      </c>
      <c r="U70" s="53"/>
      <c r="V70" s="59" t="s">
        <v>78</v>
      </c>
      <c r="W70" s="122" t="str">
        <f>IF(SUM(N70:N73)&lt;&gt;12,"",L70)</f>
        <v>Brasil</v>
      </c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1.0</v>
      </c>
      <c r="F71" s="106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'Resultado Oficial'!MH52</f>
        <v>Suiça</v>
      </c>
      <c r="M71" s="119">
        <f>VLOOKUP(L71,'Resultado Oficial'!$LM$51:$LU$54,2,FALSE)</f>
        <v>6</v>
      </c>
      <c r="N71" s="120">
        <f>VLOOKUP(L71,'Resultado Oficial'!$LM$51:$LU$54,3,FALSE)</f>
        <v>3</v>
      </c>
      <c r="O71" s="120">
        <f>VLOOKUP(L71,'Resultado Oficial'!$LM$51:$LU$54,4,FALSE)</f>
        <v>2</v>
      </c>
      <c r="P71" s="120">
        <f>VLOOKUP(L71,'Resultado Oficial'!$LM$51:$LU$54,5,FALSE)</f>
        <v>0</v>
      </c>
      <c r="Q71" s="120">
        <f>VLOOKUP(L71,'Resultado Oficial'!$LM$51:$LU$54,6,FALSE)</f>
        <v>1</v>
      </c>
      <c r="R71" s="120">
        <f>VLOOKUP(L71,'Resultado Oficial'!$LM$51:$LU$54,7,FALSE)</f>
        <v>4</v>
      </c>
      <c r="S71" s="120">
        <f>VLOOKUP(L71,'Resultado Oficial'!$LM$51:$LU$54,8,FALSE)</f>
        <v>3</v>
      </c>
      <c r="T71" s="121">
        <f>VLOOKUP(L71,'Resultado Oficial'!$LM$51:$LU$54,9,FALSE)</f>
        <v>1</v>
      </c>
      <c r="U71" s="53"/>
      <c r="V71" s="59" t="s">
        <v>81</v>
      </c>
      <c r="W71" s="122" t="str">
        <f>IF(SUM(N70:N73)&lt;&gt;12,"",L71)</f>
        <v>Suiça</v>
      </c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2.0</v>
      </c>
      <c r="F72" s="106" t="s">
        <v>72</v>
      </c>
      <c r="G72" s="107">
        <v>3.0</v>
      </c>
      <c r="H72" s="108"/>
      <c r="I72" s="96" t="s">
        <v>114</v>
      </c>
      <c r="J72" s="97" t="s">
        <v>97</v>
      </c>
      <c r="K72" s="109"/>
      <c r="L72" s="118" t="str">
        <f>'Resultado Oficial'!MH53</f>
        <v>Camarões</v>
      </c>
      <c r="M72" s="119">
        <f>VLOOKUP(L72,'Resultado Oficial'!$LM$51:$LU$54,2,FALSE)</f>
        <v>4</v>
      </c>
      <c r="N72" s="120">
        <f>VLOOKUP(L72,'Resultado Oficial'!$LM$51:$LU$54,3,FALSE)</f>
        <v>3</v>
      </c>
      <c r="O72" s="120">
        <f>VLOOKUP(L72,'Resultado Oficial'!$LM$51:$LU$54,4,FALSE)</f>
        <v>1</v>
      </c>
      <c r="P72" s="120">
        <f>VLOOKUP(L72,'Resultado Oficial'!$LM$51:$LU$54,5,FALSE)</f>
        <v>1</v>
      </c>
      <c r="Q72" s="120">
        <f>VLOOKUP(L72,'Resultado Oficial'!$LM$51:$LU$54,6,FALSE)</f>
        <v>1</v>
      </c>
      <c r="R72" s="120">
        <f>VLOOKUP(L72,'Resultado Oficial'!$LM$51:$LU$54,7,FALSE)</f>
        <v>4</v>
      </c>
      <c r="S72" s="120">
        <f>VLOOKUP(L72,'Resultado Oficial'!$LM$51:$LU$54,8,FALSE)</f>
        <v>4</v>
      </c>
      <c r="T72" s="121">
        <f>VLOOKUP(L72,'Resultado Oficial'!$LM$51:$LU$54,9,FALSE)</f>
        <v>0</v>
      </c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1.0</v>
      </c>
      <c r="F73" s="106" t="s">
        <v>72</v>
      </c>
      <c r="G73" s="107">
        <v>0.0</v>
      </c>
      <c r="H73" s="108"/>
      <c r="I73" s="96" t="s">
        <v>111</v>
      </c>
      <c r="J73" s="97" t="s">
        <v>94</v>
      </c>
      <c r="K73" s="123"/>
      <c r="L73" s="124" t="str">
        <f>'Resultado Oficial'!MH54</f>
        <v>Sérvia</v>
      </c>
      <c r="M73" s="125">
        <f>VLOOKUP(L73,'Resultado Oficial'!$LM$51:$LU$54,2,FALSE)</f>
        <v>1</v>
      </c>
      <c r="N73" s="126">
        <f>VLOOKUP(L73,'Resultado Oficial'!$LM$51:$LU$54,3,FALSE)</f>
        <v>3</v>
      </c>
      <c r="O73" s="126">
        <f>VLOOKUP(L73,'Resultado Oficial'!$LM$51:$LU$54,4,FALSE)</f>
        <v>0</v>
      </c>
      <c r="P73" s="126">
        <f>VLOOKUP(L73,'Resultado Oficial'!$LM$51:$LU$54,5,FALSE)</f>
        <v>1</v>
      </c>
      <c r="Q73" s="126">
        <f>VLOOKUP(L73,'Resultado Oficial'!$LM$51:$LU$54,6,FALSE)</f>
        <v>2</v>
      </c>
      <c r="R73" s="126">
        <f>VLOOKUP(L73,'Resultado Oficial'!$LM$51:$LU$54,7,FALSE)</f>
        <v>5</v>
      </c>
      <c r="S73" s="126">
        <f>VLOOKUP(L73,'Resultado Oficial'!$LM$51:$LU$54,8,FALSE)</f>
        <v>8</v>
      </c>
      <c r="T73" s="127">
        <f>VLOOKUP(L73,'Resultado Oficial'!$LM$51:$LU$54,9,FALSE)</f>
        <v>-3</v>
      </c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0.0</v>
      </c>
      <c r="F76" s="106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3.0</v>
      </c>
      <c r="F77" s="106" t="s">
        <v>72</v>
      </c>
      <c r="G77" s="107">
        <v>2.0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2.0</v>
      </c>
      <c r="F78" s="115" t="s">
        <v>72</v>
      </c>
      <c r="G78" s="116">
        <v>3.0</v>
      </c>
      <c r="H78" s="117"/>
      <c r="I78" s="96" t="s">
        <v>121</v>
      </c>
      <c r="J78" s="97" t="s">
        <v>99</v>
      </c>
      <c r="K78" s="109"/>
      <c r="L78" s="118" t="str">
        <f>'Resultado Oficial'!MH59</f>
        <v>Portugal</v>
      </c>
      <c r="M78" s="119">
        <f>VLOOKUP(L78,'Resultado Oficial'!$LM$59:$LU$62,2,FALSE)</f>
        <v>6</v>
      </c>
      <c r="N78" s="120">
        <f>VLOOKUP(L78,'Resultado Oficial'!$LM$59:$LU$62,3,FALSE)</f>
        <v>3</v>
      </c>
      <c r="O78" s="120">
        <f>VLOOKUP(L78,'Resultado Oficial'!$LM$59:$LU$62,4,FALSE)</f>
        <v>2</v>
      </c>
      <c r="P78" s="120">
        <f>VLOOKUP(L78,'Resultado Oficial'!$LM$59:$LU$62,5,FALSE)</f>
        <v>0</v>
      </c>
      <c r="Q78" s="120">
        <f>VLOOKUP(L78,'Resultado Oficial'!$LM$59:$LU$62,6,FALSE)</f>
        <v>1</v>
      </c>
      <c r="R78" s="120">
        <f>VLOOKUP(L78,'Resultado Oficial'!$LM$59:$LU$62,7,FALSE)</f>
        <v>6</v>
      </c>
      <c r="S78" s="120">
        <f>VLOOKUP(L78,'Resultado Oficial'!$LM$59:$LU$62,8,FALSE)</f>
        <v>4</v>
      </c>
      <c r="T78" s="121">
        <f>VLOOKUP(L78,'Resultado Oficial'!$LM$59:$LU$62,9,FALSE)</f>
        <v>2</v>
      </c>
      <c r="U78" s="53"/>
      <c r="V78" s="59" t="s">
        <v>78</v>
      </c>
      <c r="W78" s="122" t="str">
        <f>IF(SUM(N78:N81)&lt;&gt;12,"",L78)</f>
        <v>Portugal</v>
      </c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2.0</v>
      </c>
      <c r="F79" s="106" t="s">
        <v>72</v>
      </c>
      <c r="G79" s="107">
        <v>0.0</v>
      </c>
      <c r="H79" s="108"/>
      <c r="I79" s="96" t="s">
        <v>122</v>
      </c>
      <c r="J79" s="97" t="s">
        <v>94</v>
      </c>
      <c r="K79" s="109"/>
      <c r="L79" s="118" t="str">
        <f>'Resultado Oficial'!MH60</f>
        <v>Coréia do Sul</v>
      </c>
      <c r="M79" s="119">
        <f>VLOOKUP(L79,'Resultado Oficial'!$LM$59:$LU$62,2,FALSE)</f>
        <v>4</v>
      </c>
      <c r="N79" s="120">
        <f>VLOOKUP(L79,'Resultado Oficial'!$LM$59:$LU$62,3,FALSE)</f>
        <v>3</v>
      </c>
      <c r="O79" s="120">
        <f>VLOOKUP(L79,'Resultado Oficial'!$LM$59:$LU$62,4,FALSE)</f>
        <v>1</v>
      </c>
      <c r="P79" s="120">
        <f>VLOOKUP(L79,'Resultado Oficial'!$LM$59:$LU$62,5,FALSE)</f>
        <v>1</v>
      </c>
      <c r="Q79" s="120">
        <f>VLOOKUP(L79,'Resultado Oficial'!$LM$59:$LU$62,6,FALSE)</f>
        <v>1</v>
      </c>
      <c r="R79" s="120">
        <f>VLOOKUP(L79,'Resultado Oficial'!$LM$59:$LU$62,7,FALSE)</f>
        <v>4</v>
      </c>
      <c r="S79" s="120">
        <f>VLOOKUP(L79,'Resultado Oficial'!$LM$59:$LU$62,8,FALSE)</f>
        <v>4</v>
      </c>
      <c r="T79" s="121">
        <f>VLOOKUP(L79,'Resultado Oficial'!$LM$59:$LU$62,9,FALSE)</f>
        <v>0</v>
      </c>
      <c r="U79" s="53"/>
      <c r="V79" s="59" t="s">
        <v>81</v>
      </c>
      <c r="W79" s="122" t="str">
        <f>IF(SUM(N78:N81)&lt;&gt;12,"",L79)</f>
        <v>Coréia do Sul</v>
      </c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0.0</v>
      </c>
      <c r="F80" s="106" t="s">
        <v>72</v>
      </c>
      <c r="G80" s="107">
        <v>2.0</v>
      </c>
      <c r="H80" s="108"/>
      <c r="I80" s="96" t="s">
        <v>122</v>
      </c>
      <c r="J80" s="97" t="s">
        <v>106</v>
      </c>
      <c r="K80" s="109"/>
      <c r="L80" s="118" t="str">
        <f>'Resultado Oficial'!MH61</f>
        <v>Uruguai</v>
      </c>
      <c r="M80" s="119">
        <f>VLOOKUP(L80,'Resultado Oficial'!$LM$59:$LU$62,2,FALSE)</f>
        <v>4</v>
      </c>
      <c r="N80" s="120">
        <f>VLOOKUP(L80,'Resultado Oficial'!$LM$59:$LU$62,3,FALSE)</f>
        <v>3</v>
      </c>
      <c r="O80" s="120">
        <f>VLOOKUP(L80,'Resultado Oficial'!$LM$59:$LU$62,4,FALSE)</f>
        <v>1</v>
      </c>
      <c r="P80" s="120">
        <f>VLOOKUP(L80,'Resultado Oficial'!$LM$59:$LU$62,5,FALSE)</f>
        <v>1</v>
      </c>
      <c r="Q80" s="120">
        <f>VLOOKUP(L80,'Resultado Oficial'!$LM$59:$LU$62,6,FALSE)</f>
        <v>1</v>
      </c>
      <c r="R80" s="120">
        <f>VLOOKUP(L80,'Resultado Oficial'!$LM$59:$LU$62,7,FALSE)</f>
        <v>2</v>
      </c>
      <c r="S80" s="120">
        <f>VLOOKUP(L80,'Resultado Oficial'!$LM$59:$LU$62,8,FALSE)</f>
        <v>2</v>
      </c>
      <c r="T80" s="121">
        <f>VLOOKUP(L80,'Resultado Oficial'!$LM$59:$LU$62,9,FALSE)</f>
        <v>0</v>
      </c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2.0</v>
      </c>
      <c r="F81" s="106" t="s">
        <v>72</v>
      </c>
      <c r="G81" s="107">
        <v>1.0</v>
      </c>
      <c r="H81" s="108"/>
      <c r="I81" s="96" t="s">
        <v>119</v>
      </c>
      <c r="J81" s="97" t="s">
        <v>99</v>
      </c>
      <c r="K81" s="123"/>
      <c r="L81" s="124" t="str">
        <f>'Resultado Oficial'!MH62</f>
        <v>Gana</v>
      </c>
      <c r="M81" s="125">
        <f>VLOOKUP(L81,'Resultado Oficial'!$LM$59:$LU$62,2,FALSE)</f>
        <v>3</v>
      </c>
      <c r="N81" s="126">
        <f>VLOOKUP(L81,'Resultado Oficial'!$LM$59:$LU$62,3,FALSE)</f>
        <v>3</v>
      </c>
      <c r="O81" s="126">
        <f>VLOOKUP(L81,'Resultado Oficial'!$LM$59:$LU$62,4,FALSE)</f>
        <v>1</v>
      </c>
      <c r="P81" s="126">
        <f>VLOOKUP(L81,'Resultado Oficial'!$LM$59:$LU$62,5,FALSE)</f>
        <v>0</v>
      </c>
      <c r="Q81" s="126">
        <f>VLOOKUP(L81,'Resultado Oficial'!$LM$59:$LU$62,6,FALSE)</f>
        <v>2</v>
      </c>
      <c r="R81" s="126">
        <f>VLOOKUP(L81,'Resultado Oficial'!$LM$59:$LU$62,7,FALSE)</f>
        <v>5</v>
      </c>
      <c r="S81" s="126">
        <f>VLOOKUP(L81,'Resultado Oficial'!$LM$59:$LU$62,8,FALSE)</f>
        <v>7</v>
      </c>
      <c r="T81" s="127">
        <f>VLOOKUP(L81,'Resultado Oficial'!$LM$59:$LU$62,9,FALSE)</f>
        <v>-2</v>
      </c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44898.0</v>
      </c>
      <c r="B85" s="156">
        <v>0.5</v>
      </c>
      <c r="C85" s="157" t="str">
        <f>IF(N22=3,L22,"1º do grupo A")</f>
        <v>Holanda</v>
      </c>
      <c r="D85" s="158"/>
      <c r="E85" s="105">
        <v>3.0</v>
      </c>
      <c r="F85" s="115" t="s">
        <v>72</v>
      </c>
      <c r="G85" s="107">
        <v>1.0</v>
      </c>
      <c r="H85" s="158"/>
      <c r="I85" s="157" t="str">
        <f>IF(N31=3,L31,"2º do grupo B")</f>
        <v>Estados Unidos</v>
      </c>
      <c r="J85" s="159" t="s">
        <v>80</v>
      </c>
      <c r="K85" s="160">
        <v>49.0</v>
      </c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44898.0</v>
      </c>
      <c r="B86" s="156">
        <v>0.6666666666666666</v>
      </c>
      <c r="C86" s="157" t="str">
        <f>IF(N38=3,L38,"1º do grupo C")</f>
        <v>Argentina</v>
      </c>
      <c r="D86" s="158"/>
      <c r="E86" s="105">
        <v>2.0</v>
      </c>
      <c r="F86" s="115" t="s">
        <v>72</v>
      </c>
      <c r="G86" s="107">
        <v>1.0</v>
      </c>
      <c r="H86" s="158"/>
      <c r="I86" s="157" t="str">
        <f>IF(N47=3,L47,"2º do grupo D")</f>
        <v>Austrália</v>
      </c>
      <c r="J86" s="159" t="s">
        <v>115</v>
      </c>
      <c r="K86" s="160">
        <v>50.0</v>
      </c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61">
        <v>44899.0</v>
      </c>
      <c r="B87" s="156">
        <v>0.5</v>
      </c>
      <c r="C87" s="157" t="str">
        <f>IF(N30=3,L30,"1º do grupo B")</f>
        <v>Inglaterra</v>
      </c>
      <c r="D87" s="158"/>
      <c r="E87" s="105">
        <v>3.0</v>
      </c>
      <c r="F87" s="115" t="s">
        <v>72</v>
      </c>
      <c r="G87" s="107">
        <v>0.0</v>
      </c>
      <c r="H87" s="158"/>
      <c r="I87" s="157" t="str">
        <f>IF(N23=3,L23,"2º do grupo A")</f>
        <v>Senegal</v>
      </c>
      <c r="J87" s="159" t="s">
        <v>106</v>
      </c>
      <c r="K87" s="160">
        <v>51.0</v>
      </c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61">
        <v>44899.0</v>
      </c>
      <c r="B88" s="156">
        <v>0.6666666666666666</v>
      </c>
      <c r="C88" s="157" t="str">
        <f>IF(N46=3,L46,"1º do grupo D")</f>
        <v>França</v>
      </c>
      <c r="D88" s="158"/>
      <c r="E88" s="105">
        <v>3.0</v>
      </c>
      <c r="F88" s="115" t="s">
        <v>72</v>
      </c>
      <c r="G88" s="107">
        <v>1.0</v>
      </c>
      <c r="H88" s="158"/>
      <c r="I88" s="157" t="str">
        <f>IF(N39=3,L39,"2º do grupo C")</f>
        <v>Polônia</v>
      </c>
      <c r="J88" s="159" t="s">
        <v>131</v>
      </c>
      <c r="K88" s="160">
        <v>52.0</v>
      </c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61">
        <v>44900.0</v>
      </c>
      <c r="B89" s="156">
        <v>0.6666666666666666</v>
      </c>
      <c r="C89" s="157" t="str">
        <f>IF(N54=3,L54,"1º do grupo E")</f>
        <v>Japão</v>
      </c>
      <c r="D89" s="162">
        <v>1.0</v>
      </c>
      <c r="E89" s="105">
        <v>1.0</v>
      </c>
      <c r="F89" s="115" t="s">
        <v>72</v>
      </c>
      <c r="G89" s="107">
        <v>1.0</v>
      </c>
      <c r="H89" s="162">
        <v>3.0</v>
      </c>
      <c r="I89" s="157" t="str">
        <f>IF(N63=3,L63,"2º do grupo F")</f>
        <v>Croácia</v>
      </c>
      <c r="J89" s="159" t="s">
        <v>73</v>
      </c>
      <c r="K89" s="160">
        <v>53.0</v>
      </c>
      <c r="L89" s="163"/>
      <c r="M89" s="164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61">
        <v>44900.0</v>
      </c>
      <c r="B90" s="156">
        <v>0.5</v>
      </c>
      <c r="C90" s="157" t="str">
        <f>IF(N70=3,L70,"1º do grupo G")</f>
        <v>Brasil</v>
      </c>
      <c r="D90" s="158"/>
      <c r="E90" s="105">
        <v>4.0</v>
      </c>
      <c r="F90" s="115" t="s">
        <v>72</v>
      </c>
      <c r="G90" s="107">
        <v>1.0</v>
      </c>
      <c r="H90" s="158"/>
      <c r="I90" s="165" t="str">
        <f>IF(N78=3,L79,"2º do grupo H")</f>
        <v>Coréia do Sul</v>
      </c>
      <c r="J90" s="159" t="s">
        <v>76</v>
      </c>
      <c r="K90" s="160">
        <v>54.0</v>
      </c>
      <c r="L90" s="166" t="str">
        <f>IF(N79=3,L79,"2º do grupo H")</f>
        <v>Coréia do Sul</v>
      </c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44901.0</v>
      </c>
      <c r="B91" s="156">
        <v>0.5</v>
      </c>
      <c r="C91" s="157" t="str">
        <f>IF(N62=3,L62,"1º do grupo F")</f>
        <v>Marrocos</v>
      </c>
      <c r="D91" s="162">
        <v>3.0</v>
      </c>
      <c r="E91" s="105">
        <v>0.0</v>
      </c>
      <c r="F91" s="115" t="s">
        <v>72</v>
      </c>
      <c r="G91" s="107">
        <v>0.0</v>
      </c>
      <c r="H91" s="162">
        <v>0.0</v>
      </c>
      <c r="I91" s="157" t="str">
        <f>IF(N55=3,L55,"2º do grupo E")</f>
        <v>Espanha</v>
      </c>
      <c r="J91" s="159" t="s">
        <v>132</v>
      </c>
      <c r="K91" s="160">
        <v>55.0</v>
      </c>
      <c r="L91" s="168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44901.0</v>
      </c>
      <c r="B92" s="156">
        <v>0.6666666666666666</v>
      </c>
      <c r="C92" s="157" t="str">
        <f>IF(N78=3,L78,"1º do grupo H")</f>
        <v>Portugal</v>
      </c>
      <c r="D92" s="158"/>
      <c r="E92" s="105">
        <v>6.0</v>
      </c>
      <c r="F92" s="115" t="s">
        <v>72</v>
      </c>
      <c r="G92" s="107">
        <v>1.0</v>
      </c>
      <c r="H92" s="158"/>
      <c r="I92" s="157" t="str">
        <f>IF(N71=3,L71,"2º do grupo G")</f>
        <v>Suiça</v>
      </c>
      <c r="J92" s="159" t="s">
        <v>94</v>
      </c>
      <c r="K92" s="160">
        <v>56.0</v>
      </c>
      <c r="L92" s="169"/>
      <c r="M92" s="164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44904.0</v>
      </c>
      <c r="B95" s="156">
        <v>0.6666666666666666</v>
      </c>
      <c r="C95" s="157" t="str">
        <f>IF(OR(E85="",G85="",AND(E85=G85,OR(D85="",H85=""))),"Vencedor do 49",IF(E85=G85,IF(D85&gt;H85,C85,I85),IF(E85&gt;G85,C85,I85)))</f>
        <v>Holanda</v>
      </c>
      <c r="D95" s="162">
        <v>3.0</v>
      </c>
      <c r="E95" s="105">
        <v>2.0</v>
      </c>
      <c r="F95" s="115" t="s">
        <v>72</v>
      </c>
      <c r="G95" s="107">
        <v>2.0</v>
      </c>
      <c r="H95" s="162">
        <v>4.0</v>
      </c>
      <c r="I95" s="157" t="str">
        <f>IF(OR(G86="",E86="",AND(G86=E86,OR(H86="",D86=""))),"Vencedor do 50",IF(G86=E86,IF(H86&gt;D86,I86,C86),IF(G86&gt;E86,I86,C86)))</f>
        <v>Argentina</v>
      </c>
      <c r="J95" s="159" t="s">
        <v>94</v>
      </c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Argentina</v>
      </c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44904.0</v>
      </c>
      <c r="B96" s="156">
        <v>0.5</v>
      </c>
      <c r="C96" s="157" t="str">
        <f>IF(OR(E89="",G89="",AND(E89=G89,OR(D89="",H89=""))),"Vencedor do 51",IF(E89=G89,IF(D89&gt;H89,C89,I89),IF(E89&gt;G89,C89,I89)))</f>
        <v>Croácia</v>
      </c>
      <c r="D96" s="162">
        <v>4.0</v>
      </c>
      <c r="E96" s="105">
        <v>1.0</v>
      </c>
      <c r="F96" s="115" t="s">
        <v>72</v>
      </c>
      <c r="G96" s="107">
        <v>1.0</v>
      </c>
      <c r="H96" s="162">
        <v>2.0</v>
      </c>
      <c r="I96" s="157" t="str">
        <f>IF(OR(G90="",E90="",AND(G90=E90,OR(H90="",D90=""))),"Vencedor do 52",IF(G90=E90,IF(H90&gt;D90,I90,C90),IF(G90&gt;E90,I90,C90)))</f>
        <v>Brasil</v>
      </c>
      <c r="J96" s="159" t="s">
        <v>132</v>
      </c>
      <c r="K96" s="58">
        <v>58.0</v>
      </c>
      <c r="L96" s="58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44905.0</v>
      </c>
      <c r="B97" s="156">
        <v>0.6666666666666666</v>
      </c>
      <c r="C97" s="157" t="str">
        <f>IF(OR(E87="",G87="",AND(E87=G87,OR(D87="",H87=""))),"Vencedor do 53",IF(E87=G87,IF(D87&gt;H87,C87,I87),IF(E87&gt;G87,C87,I87)))</f>
        <v>Inglaterra</v>
      </c>
      <c r="D97" s="158"/>
      <c r="E97" s="105">
        <v>0.0</v>
      </c>
      <c r="F97" s="115" t="s">
        <v>72</v>
      </c>
      <c r="G97" s="107">
        <v>1.0</v>
      </c>
      <c r="H97" s="158"/>
      <c r="I97" s="157" t="str">
        <f>IF(OR(G88="",E88="",AND(G88=E88,OR(H88="",D88=""))),"Vencedor do 54",IF(G88=E88,IF(H88&gt;D88,I88,C88),IF(G88&gt;E88,I88,C88)))</f>
        <v>França</v>
      </c>
      <c r="J97" s="159" t="s">
        <v>73</v>
      </c>
      <c r="K97" s="58">
        <v>59.0</v>
      </c>
      <c r="L97" s="183"/>
      <c r="M97" s="184" t="str">
        <f>IF(M95="","  ","A Seleção campeã da Copa do Mundo, de 2022")</f>
        <v>A Seleção campeã da Copa do Mundo, de 2022</v>
      </c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44905.0</v>
      </c>
      <c r="B98" s="156">
        <v>0.5</v>
      </c>
      <c r="C98" s="157" t="str">
        <f>IF(OR(E91="",G91="",AND(E91=G91,OR(D91="",H91=""))),"Vencedor do 55",IF(E91=G91,IF(D91&gt;H91,C91,I91),IF(E91&gt;G91,C91,I91)))</f>
        <v>Marrocos</v>
      </c>
      <c r="D98" s="158"/>
      <c r="E98" s="105">
        <v>1.0</v>
      </c>
      <c r="F98" s="115" t="s">
        <v>72</v>
      </c>
      <c r="G98" s="107">
        <v>0.0</v>
      </c>
      <c r="H98" s="158"/>
      <c r="I98" s="157" t="str">
        <f>IF(OR(G92="",E92="",AND(G92=E92,OR(H92="",D92=""))),"Vencedor do 56",IF(G92=E92,IF(H92&gt;D92,I92,C92),IF(G92&gt;E92,I92,C92)))</f>
        <v>Portugal</v>
      </c>
      <c r="J98" s="159" t="s">
        <v>76</v>
      </c>
      <c r="K98" s="58">
        <v>60.0</v>
      </c>
      <c r="L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44908.0</v>
      </c>
      <c r="B101" s="156">
        <v>0.6666666666666666</v>
      </c>
      <c r="C101" s="157" t="str">
        <f>IF(OR(E95="",G95="",AND(E95=G95,OR(D95="",H95=""))),"Vencedor do 57",IF(E95=G95,IF(D95&gt;H95,C95,I95),IF(E95&gt;G95,C95,I95)))</f>
        <v>Argentina</v>
      </c>
      <c r="D101" s="158"/>
      <c r="E101" s="105">
        <v>3.0</v>
      </c>
      <c r="F101" s="115" t="s">
        <v>72</v>
      </c>
      <c r="G101" s="107">
        <v>0.0</v>
      </c>
      <c r="H101" s="158"/>
      <c r="I101" s="157" t="str">
        <f>IF(OR(G96="",E96="",AND(G96=E96,OR(H96="",D96=""))),"Vencedor do 58",IF(G96=E96,IF(H96&gt;D96,I96,C96),IF(G96&gt;E96,I96,C96)))</f>
        <v>Croácia</v>
      </c>
      <c r="J101" s="159" t="s">
        <v>94</v>
      </c>
      <c r="K101" s="58">
        <v>61.0</v>
      </c>
      <c r="L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44909.0</v>
      </c>
      <c r="B102" s="156">
        <v>0.6666666666666666</v>
      </c>
      <c r="C102" s="157" t="str">
        <f>IF(OR(E97="",G97="",AND(E97=G97,OR(D97="",H97=""))),"Vencedor do 59",IF(E97=G97,IF(D97&gt;H97,C97,I97),IF(E97&gt;G97,C97,I97)))</f>
        <v>França</v>
      </c>
      <c r="D102" s="158"/>
      <c r="E102" s="105">
        <v>2.0</v>
      </c>
      <c r="F102" s="115" t="s">
        <v>72</v>
      </c>
      <c r="G102" s="107">
        <v>0.0</v>
      </c>
      <c r="H102" s="158"/>
      <c r="I102" s="157" t="str">
        <f>IF(OR(G98="",E98="",AND(G98=E98,OR(H98="",D98=""))),"Vencedor do 60",IF(G98=E98,IF(H98&gt;D98,I98,C98),IF(G98&gt;E98,I98,C98)))</f>
        <v>Marrocos</v>
      </c>
      <c r="J102" s="159" t="s">
        <v>73</v>
      </c>
      <c r="K102" s="58">
        <v>62.0</v>
      </c>
      <c r="L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44912.0</v>
      </c>
      <c r="B105" s="156">
        <v>0.5</v>
      </c>
      <c r="C105" s="183" t="str">
        <f>IF(OR(E101="",G101="",AND(E101=G101,OR(D101="",H101="")))," ",IF(E101=G101,IF(D101&lt;H101,C101,I101),IF(E101&lt;G101,C101,I101)))</f>
        <v>Croácia</v>
      </c>
      <c r="D105" s="158"/>
      <c r="E105" s="105">
        <v>2.0</v>
      </c>
      <c r="F105" s="115" t="s">
        <v>72</v>
      </c>
      <c r="G105" s="107">
        <v>1.0</v>
      </c>
      <c r="H105" s="158"/>
      <c r="I105" s="183" t="str">
        <f>IF(OR(G102="",E102="",AND(G102=E102,OR(H102="",D102=""))),"    ",IF(G102=E102,IF(H102&lt;D102,I102,C102),IF(G102&lt;E102,I102,C102)))</f>
        <v>Marrocos</v>
      </c>
      <c r="J105" s="159" t="s">
        <v>80</v>
      </c>
      <c r="K105" s="58">
        <v>63.0</v>
      </c>
      <c r="L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155">
        <v>44913.0</v>
      </c>
      <c r="B108" s="156">
        <v>0.5</v>
      </c>
      <c r="C108" s="201" t="str">
        <f>IF(OR(E101="",G101="",AND(E101=G101,OR(D101="",H101=""))),"  ",IF(E101=G101,IF(D101&gt;H101,C101,I101),IF(E101&gt;G101,C101,I101)))</f>
        <v>Argentina</v>
      </c>
      <c r="D108" s="162">
        <v>4.0</v>
      </c>
      <c r="E108" s="105">
        <v>3.0</v>
      </c>
      <c r="F108" s="115" t="s">
        <v>72</v>
      </c>
      <c r="G108" s="107">
        <v>3.0</v>
      </c>
      <c r="H108" s="162">
        <v>2.0</v>
      </c>
      <c r="I108" s="202" t="str">
        <f>IF(OR(G102="",E102="",AND(G102=E102,OR(H102="",D102=""))),"  ",IF(G102=E102,IF(H102&gt;D102,I102,C102),IF(G102&gt;E102,I102,C102)))</f>
        <v>França</v>
      </c>
      <c r="J108" s="203" t="s">
        <v>94</v>
      </c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04" t="s">
        <v>137</v>
      </c>
      <c r="B111" s="79"/>
      <c r="C111" s="205"/>
      <c r="D111" s="206" t="str">
        <f>IF(OR(C108="",I108="",E108="",G108="",AND(SUM(D108:E108)=SUM(G108:H108))),"",IF(SUM(D108:E108)&gt;SUM(G108:H108),C108,I108))</f>
        <v>Argentina</v>
      </c>
      <c r="E111" s="66"/>
      <c r="F111" s="66"/>
      <c r="G111" s="66"/>
      <c r="H111" s="66"/>
      <c r="I111" s="66"/>
      <c r="J111" s="67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04" t="s">
        <v>138</v>
      </c>
      <c r="B112" s="79"/>
      <c r="C112" s="205"/>
      <c r="D112" s="206" t="str">
        <f>IF(OR(C108="",I108="",E108="",G108="",AND(SUM(D108:E108)=SUM(G108:H108))),"",IF(SUM(D108:E108)&gt;SUM(G108:H108),I108,C108))</f>
        <v>França</v>
      </c>
      <c r="E112" s="66"/>
      <c r="F112" s="66"/>
      <c r="G112" s="66"/>
      <c r="H112" s="66"/>
      <c r="I112" s="66"/>
      <c r="J112" s="67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204" t="s">
        <v>139</v>
      </c>
      <c r="B113" s="79"/>
      <c r="C113" s="205"/>
      <c r="D113" s="206" t="str">
        <f>IF(OR(C105="",I105="",E105="",G105="",AND(SUM(D105:E105)=SUM(G105:H105))),"",IF(SUM(D105:E105)&gt;SUM(G105:H105),C105,I105))</f>
        <v>Croácia</v>
      </c>
      <c r="E113" s="66"/>
      <c r="F113" s="66"/>
      <c r="G113" s="66"/>
      <c r="H113" s="66"/>
      <c r="I113" s="66"/>
      <c r="J113" s="67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204" t="s">
        <v>140</v>
      </c>
      <c r="B114" s="79"/>
      <c r="C114" s="205"/>
      <c r="D114" s="206" t="str">
        <f>IF(OR(C105="",I105="",E105="",G105="",AND(SUM(D105:E105)=SUM(G105:H105))),"",IF(SUM(D105:E105)&gt;SUM(G105:H105),I105,C105))</f>
        <v>Marrocos</v>
      </c>
      <c r="E114" s="66"/>
      <c r="F114" s="66"/>
      <c r="G114" s="66"/>
      <c r="H114" s="66"/>
      <c r="I114" s="66"/>
      <c r="J114" s="67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207" t="s">
        <v>141</v>
      </c>
      <c r="B117" s="79"/>
      <c r="C117" s="205"/>
      <c r="D117" s="208" t="s">
        <v>142</v>
      </c>
      <c r="E117" s="66"/>
      <c r="F117" s="66"/>
      <c r="G117" s="66"/>
      <c r="H117" s="66"/>
      <c r="I117" s="66"/>
      <c r="J117" s="67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E35:G35"/>
    <mergeCell ref="E43:G43"/>
    <mergeCell ref="E51:G51"/>
    <mergeCell ref="E59:G59"/>
    <mergeCell ref="E67:G67"/>
    <mergeCell ref="E75:G75"/>
    <mergeCell ref="E84:G84"/>
    <mergeCell ref="L2:S2"/>
    <mergeCell ref="L17:S17"/>
    <mergeCell ref="E19:G19"/>
    <mergeCell ref="L20:T20"/>
    <mergeCell ref="E27:G27"/>
    <mergeCell ref="L28:T28"/>
    <mergeCell ref="L36:T36"/>
    <mergeCell ref="L44:T44"/>
    <mergeCell ref="L52:T52"/>
    <mergeCell ref="L60:T60"/>
    <mergeCell ref="L68:T68"/>
    <mergeCell ref="L76:T76"/>
    <mergeCell ref="L84:T88"/>
    <mergeCell ref="M89:T89"/>
    <mergeCell ref="A112:C112"/>
    <mergeCell ref="A113:C113"/>
    <mergeCell ref="D113:J113"/>
    <mergeCell ref="A114:C114"/>
    <mergeCell ref="D114:J114"/>
    <mergeCell ref="A117:C117"/>
    <mergeCell ref="D117:J117"/>
    <mergeCell ref="L91:T91"/>
    <mergeCell ref="M92:T92"/>
    <mergeCell ref="M95:S96"/>
    <mergeCell ref="M97:S105"/>
    <mergeCell ref="A111:C111"/>
    <mergeCell ref="D111:J111"/>
    <mergeCell ref="D112:J11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3" max="3" width="6.13"/>
    <col customWidth="1" min="8" max="8" width="13.88"/>
  </cols>
  <sheetData>
    <row r="1">
      <c r="A1" s="210" t="s">
        <v>143</v>
      </c>
      <c r="B1" s="210" t="s">
        <v>144</v>
      </c>
      <c r="C1" s="210" t="s">
        <v>145</v>
      </c>
      <c r="D1" s="211"/>
      <c r="E1" s="211" t="s">
        <v>144</v>
      </c>
      <c r="F1" s="211" t="s">
        <v>146</v>
      </c>
      <c r="K1" s="212" t="s">
        <v>147</v>
      </c>
      <c r="L1" s="213">
        <f>(COUNTA(F:F)-1)*100</f>
        <v>1000</v>
      </c>
    </row>
    <row r="2">
      <c r="A2" s="210">
        <f t="shared" ref="A2:A11" si="1">IF(C2=C1,A1,ROW(C2)-1)</f>
        <v>1</v>
      </c>
      <c r="B2" s="210" t="s">
        <v>148</v>
      </c>
      <c r="C2" s="210">
        <f>Lopes!$L$7</f>
        <v>259</v>
      </c>
      <c r="D2" s="211">
        <f t="shared" ref="D2:D6" si="2">IF(C2=C1,D1,ROW(C2)-1)</f>
        <v>1</v>
      </c>
      <c r="E2" s="211" t="s">
        <v>149</v>
      </c>
      <c r="F2" s="211" t="s">
        <v>150</v>
      </c>
      <c r="K2" s="214"/>
      <c r="L2" s="214"/>
    </row>
    <row r="3">
      <c r="A3" s="210">
        <f t="shared" si="1"/>
        <v>2</v>
      </c>
      <c r="B3" s="210" t="s">
        <v>151</v>
      </c>
      <c r="C3" s="210">
        <f>Rodrigo!$L$7</f>
        <v>215</v>
      </c>
      <c r="D3" s="211">
        <f t="shared" si="2"/>
        <v>2</v>
      </c>
      <c r="E3" s="211" t="s">
        <v>152</v>
      </c>
      <c r="F3" s="211" t="s">
        <v>150</v>
      </c>
      <c r="K3" s="214"/>
      <c r="L3" s="214"/>
    </row>
    <row r="4">
      <c r="A4" s="210">
        <f t="shared" si="1"/>
        <v>3</v>
      </c>
      <c r="B4" s="210" t="s">
        <v>153</v>
      </c>
      <c r="C4" s="210">
        <f>Mothci!$L$7</f>
        <v>209</v>
      </c>
      <c r="D4" s="211">
        <f t="shared" si="2"/>
        <v>3</v>
      </c>
      <c r="E4" s="211" t="s">
        <v>151</v>
      </c>
      <c r="F4" s="211" t="s">
        <v>154</v>
      </c>
      <c r="K4" s="214"/>
      <c r="L4" s="214"/>
    </row>
    <row r="5">
      <c r="A5" s="210">
        <f t="shared" si="1"/>
        <v>3</v>
      </c>
      <c r="B5" s="210" t="s">
        <v>152</v>
      </c>
      <c r="C5" s="210">
        <f>'Gogó'!$L$7</f>
        <v>209</v>
      </c>
      <c r="D5" s="211">
        <f t="shared" si="2"/>
        <v>3</v>
      </c>
      <c r="E5" s="211" t="s">
        <v>153</v>
      </c>
      <c r="F5" s="211" t="s">
        <v>154</v>
      </c>
      <c r="K5" s="215" t="s">
        <v>155</v>
      </c>
      <c r="L5" s="216">
        <f>M5*$L$1*0.01</f>
        <v>700</v>
      </c>
      <c r="M5" s="211">
        <v>70.0</v>
      </c>
    </row>
    <row r="6">
      <c r="A6" s="210">
        <f t="shared" si="1"/>
        <v>5</v>
      </c>
      <c r="B6" s="210" t="s">
        <v>156</v>
      </c>
      <c r="C6" s="210">
        <f>Danilo!$L$7</f>
        <v>203</v>
      </c>
      <c r="D6" s="211">
        <f t="shared" si="2"/>
        <v>5</v>
      </c>
      <c r="E6" s="211" t="s">
        <v>157</v>
      </c>
      <c r="F6" s="211" t="s">
        <v>158</v>
      </c>
      <c r="G6" s="217">
        <f>ROW()</f>
        <v>6</v>
      </c>
    </row>
    <row r="7">
      <c r="A7" s="210">
        <f t="shared" si="1"/>
        <v>6</v>
      </c>
      <c r="B7" s="210" t="s">
        <v>159</v>
      </c>
      <c r="C7" s="210">
        <f>Epocler!$L$7</f>
        <v>191</v>
      </c>
      <c r="D7" s="211">
        <f>IF($C$2=$C$1,$A6,ROW($C$2)-1)</f>
        <v>1</v>
      </c>
      <c r="E7" s="211" t="s">
        <v>160</v>
      </c>
      <c r="F7" s="211" t="s">
        <v>154</v>
      </c>
      <c r="K7" s="215" t="s">
        <v>161</v>
      </c>
      <c r="L7" s="216">
        <f>M7*$L$1*0.01</f>
        <v>100</v>
      </c>
      <c r="M7" s="211">
        <v>10.0</v>
      </c>
    </row>
    <row r="8">
      <c r="A8" s="210">
        <f t="shared" si="1"/>
        <v>7</v>
      </c>
      <c r="B8" s="210" t="s">
        <v>162</v>
      </c>
      <c r="C8" s="210">
        <f>'Zé Augusto'!$L$7</f>
        <v>178</v>
      </c>
      <c r="D8" s="211">
        <f t="shared" ref="D8:D11" si="3">IF(C8=C7,D7,ROW(C8)-1)</f>
        <v>7</v>
      </c>
      <c r="E8" s="211" t="s">
        <v>159</v>
      </c>
      <c r="F8" s="211" t="s">
        <v>154</v>
      </c>
    </row>
    <row r="9">
      <c r="A9" s="210">
        <f t="shared" si="1"/>
        <v>8</v>
      </c>
      <c r="B9" s="210" t="s">
        <v>157</v>
      </c>
      <c r="C9" s="210">
        <f>Bill!$L$7</f>
        <v>177</v>
      </c>
      <c r="D9" s="211">
        <f t="shared" si="3"/>
        <v>8</v>
      </c>
      <c r="E9" s="211" t="s">
        <v>162</v>
      </c>
      <c r="F9" s="211" t="s">
        <v>158</v>
      </c>
    </row>
    <row r="10">
      <c r="A10" s="210">
        <f t="shared" si="1"/>
        <v>9</v>
      </c>
      <c r="B10" s="210" t="s">
        <v>160</v>
      </c>
      <c r="C10" s="210">
        <f>Leo!$L$7</f>
        <v>171</v>
      </c>
      <c r="D10" s="211">
        <f t="shared" si="3"/>
        <v>9</v>
      </c>
      <c r="E10" s="211" t="s">
        <v>148</v>
      </c>
      <c r="F10" s="211" t="s">
        <v>154</v>
      </c>
      <c r="K10" s="215" t="s">
        <v>163</v>
      </c>
      <c r="L10" s="216">
        <f>M10*$L$1*0.01</f>
        <v>200</v>
      </c>
      <c r="M10" s="211">
        <v>20.0</v>
      </c>
    </row>
    <row r="11">
      <c r="A11" s="210">
        <f t="shared" si="1"/>
        <v>10</v>
      </c>
      <c r="B11" s="210" t="s">
        <v>149</v>
      </c>
      <c r="C11" s="210">
        <f>Marco!$L$7</f>
        <v>144</v>
      </c>
      <c r="D11" s="211">
        <f t="shared" si="3"/>
        <v>10</v>
      </c>
      <c r="E11" s="211" t="s">
        <v>156</v>
      </c>
      <c r="F11" s="211" t="s">
        <v>150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0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0</v>
      </c>
      <c r="LS3" s="71">
        <f>E20+E22+G25</f>
        <v>0</v>
      </c>
      <c r="LT3" s="71">
        <f>G20+G22+E25</f>
        <v>0</v>
      </c>
      <c r="LU3" s="71">
        <f t="shared" ref="LU3:LU6" si="1">LS3-LT3</f>
        <v>0</v>
      </c>
      <c r="LV3" s="70">
        <f t="shared" ref="LV3:LV6" si="2">LN3</f>
        <v>0</v>
      </c>
      <c r="LW3" s="70">
        <f t="shared" ref="LW3:LW6" si="3">LU3/10</f>
        <v>0</v>
      </c>
      <c r="LX3" s="70">
        <f t="shared" ref="LX3:LX6" si="4">LS3/100</f>
        <v>0</v>
      </c>
      <c r="LY3" s="70">
        <f t="shared" ref="LY3:LY6" si="5">SUM(LV3:LX3)</f>
        <v>0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0</v>
      </c>
      <c r="MD3" s="70">
        <f t="shared" ref="MD3:MD6" si="7">RANK(MC3,$MC$3:$MC$6,0)</f>
        <v>1</v>
      </c>
      <c r="ME3" s="70">
        <f>MD3</f>
        <v>1</v>
      </c>
      <c r="MF3" s="70">
        <v>1.0</v>
      </c>
      <c r="MG3" s="70">
        <f t="shared" ref="MG3:MG6" si="8">MATCH(MF3,$ME$3:$ME$6,0)</f>
        <v>1</v>
      </c>
      <c r="MH3" s="70" t="str">
        <f t="shared" ref="MH3:MH6" si="9">INDEX($LM$3:$LM$6,MG3)</f>
        <v>Catar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0</v>
      </c>
      <c r="LO4" s="71">
        <f>IF(AND(E20&lt;&gt;"",G20&lt;&gt;""),1,0)+IF(AND(E23&lt;&gt;"",G23&lt;&gt;""),1,0)+IF(AND(E25&lt;&gt;"",G25&lt;&gt;""),1,0)</f>
        <v>0</v>
      </c>
      <c r="LP4" s="71">
        <f>IF(OR(G20="",E20=""),0,IF(G20&gt;E20,1,0))+IF(OR(G23="",E23=""),0,IF(G23&gt;E23,1,0))+IF(OR(E25="",G25=""),0,IF(E25&gt;G25,1,0))</f>
        <v>0</v>
      </c>
      <c r="LQ4" s="71">
        <f>IF(OR(G20="",E20=""),0,IF(G20=E20,1,0))+IF(OR(G23="",E23=""),0,IF(G23=E23,1,0))+IF(OR(E25="",G25=""),0,IF(E25=G25,1,0))</f>
        <v>0</v>
      </c>
      <c r="LR4" s="71">
        <f>IF(OR(G20="",E20=""),0,IF(G20&lt;E20,1,0))+IF(OR(G23="",E23=""),0,IF(G23&lt;E23,1,0))+IF(OR(E25="",G25=""),0,IF(E25&lt;G25,1,0))</f>
        <v>0</v>
      </c>
      <c r="LS4" s="71">
        <f>G20+G23+E25</f>
        <v>0</v>
      </c>
      <c r="LT4" s="71">
        <f>E20+E23+G25</f>
        <v>0</v>
      </c>
      <c r="LU4" s="71">
        <f t="shared" si="1"/>
        <v>0</v>
      </c>
      <c r="LV4" s="70">
        <f t="shared" si="2"/>
        <v>0</v>
      </c>
      <c r="LW4" s="70">
        <f t="shared" si="3"/>
        <v>0</v>
      </c>
      <c r="LX4" s="70">
        <f t="shared" si="4"/>
        <v>0</v>
      </c>
      <c r="LY4" s="70">
        <f t="shared" si="5"/>
        <v>0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0</v>
      </c>
      <c r="MD4" s="70">
        <f t="shared" si="7"/>
        <v>1</v>
      </c>
      <c r="ME4" s="70">
        <f>IF(OR(AND(MD3=MD4,MD3=MD5,MD3=MD6),AND(MD4=MD3,MD4=MD5),AND(MD4=MD3,MD4=MD6),MD4=MD3),MD4+1,MD4)</f>
        <v>2</v>
      </c>
      <c r="MF4" s="70">
        <v>2.0</v>
      </c>
      <c r="MG4" s="70">
        <f t="shared" si="8"/>
        <v>2</v>
      </c>
      <c r="MH4" s="70" t="str">
        <f t="shared" si="9"/>
        <v>Equador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0</v>
      </c>
      <c r="LO5" s="71">
        <f>IF(AND(E21&lt;&gt;"",G21&lt;&gt;""),1,0)+IF(AND(E22&lt;&gt;"",G22&lt;&gt;""),1,0)+IF(AND(E24&lt;&gt;"",G24&lt;&gt;""),1,0)</f>
        <v>0</v>
      </c>
      <c r="LP5" s="71">
        <f>IF(OR(E21="",G21=""),0,IF(E21&gt;G21,1,0))+IF(OR(G22="",E22=""),0,IF(G22&gt;E22,1,0))+IF(OR(G24="",E24=""),0,IF(G24&gt;E24,1,0))</f>
        <v>0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0</v>
      </c>
      <c r="LS5" s="71">
        <f>E21+G22+G24</f>
        <v>0</v>
      </c>
      <c r="LT5" s="71">
        <f>G21+E22+E24</f>
        <v>0</v>
      </c>
      <c r="LU5" s="71">
        <f t="shared" si="1"/>
        <v>0</v>
      </c>
      <c r="LV5" s="70">
        <f t="shared" si="2"/>
        <v>0</v>
      </c>
      <c r="LW5" s="70">
        <f t="shared" si="3"/>
        <v>0</v>
      </c>
      <c r="LX5" s="70">
        <f t="shared" si="4"/>
        <v>0</v>
      </c>
      <c r="LY5" s="70">
        <f t="shared" si="5"/>
        <v>0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0</v>
      </c>
      <c r="MD5" s="70">
        <f t="shared" si="7"/>
        <v>1</v>
      </c>
      <c r="ME5" s="70">
        <f>IF(OR(AND(MD3=MD4,MD3=MD5,MD3=MD6),AND(MD5=MD3,MD5=MD4)),MD5+2,IF(OR(AND(MD5=MD4,MD5=MD6),MD5=MD3,MD5=MD4),MD5+1,MD5))</f>
        <v>3</v>
      </c>
      <c r="MF5" s="70">
        <v>3.0</v>
      </c>
      <c r="MG5" s="70">
        <f t="shared" si="8"/>
        <v>3</v>
      </c>
      <c r="MH5" s="70" t="str">
        <f t="shared" si="9"/>
        <v>Senegal</v>
      </c>
    </row>
    <row r="6" ht="22.5" customHeight="1">
      <c r="A6" s="222" t="s">
        <v>166</v>
      </c>
      <c r="B6" s="223"/>
      <c r="C6" s="223"/>
      <c r="D6" s="224"/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0</v>
      </c>
      <c r="LO6" s="71">
        <f>IF(AND(E21&lt;&gt;"",G21&lt;&gt;""),1,0)+IF(AND(E23&lt;&gt;"",G23&lt;&gt;""),1,0)+IF(AND(E25&lt;&gt;"",G25&lt;&gt;""),1,0)</f>
        <v>0</v>
      </c>
      <c r="LP6" s="71">
        <f>IF(OR(G21="",E21=""),0,IF(G21&gt;E21,1,0))+IF(OR(E23="",G23=""),0,IF(E23&gt;G23,1,0))+IF(OR(E25="",G25=""),0,IF(E25&gt;G25,1,0))</f>
        <v>0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0</v>
      </c>
      <c r="LT6" s="71">
        <f>E21+G23+G25</f>
        <v>0</v>
      </c>
      <c r="LU6" s="71">
        <f t="shared" si="1"/>
        <v>0</v>
      </c>
      <c r="LV6" s="70">
        <f t="shared" si="2"/>
        <v>0</v>
      </c>
      <c r="LW6" s="70">
        <f t="shared" si="3"/>
        <v>0</v>
      </c>
      <c r="LX6" s="70">
        <f t="shared" si="4"/>
        <v>0</v>
      </c>
      <c r="LY6" s="70">
        <f t="shared" si="5"/>
        <v>0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0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4</v>
      </c>
      <c r="MF6" s="70">
        <v>4.0</v>
      </c>
      <c r="MG6" s="70">
        <f t="shared" si="8"/>
        <v>4</v>
      </c>
      <c r="MH6" s="70" t="str">
        <f t="shared" si="9"/>
        <v>Holanda</v>
      </c>
    </row>
    <row r="7" ht="22.5" customHeight="1">
      <c r="A7" s="222" t="s">
        <v>167</v>
      </c>
      <c r="B7" s="223"/>
      <c r="C7" s="223"/>
      <c r="D7" s="228"/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0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6"/>
      <c r="E9" s="66"/>
      <c r="F9" s="66"/>
      <c r="G9" s="66"/>
      <c r="H9" s="66"/>
      <c r="I9" s="66"/>
      <c r="J9" s="67"/>
      <c r="K9" s="55"/>
      <c r="L9" s="234" t="str">
        <f>(IF(OR(D9="",'Resultado Oficial'!D117=""),"",IF(D9='Resultado Oficial'!D117,40,0)))</f>
        <v/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6"/>
      <c r="E11" s="66"/>
      <c r="F11" s="66"/>
      <c r="G11" s="66"/>
      <c r="H11" s="66"/>
      <c r="I11" s="66"/>
      <c r="J11" s="67"/>
      <c r="K11" s="55"/>
      <c r="L11" s="234" t="str">
        <f>IF(OR(D11="",'Resultado Oficial'!D111=""),"",IF(D11='Resultado Oficial'!D111,40,IF(D11='Resultado Oficial'!D112,20,IF(D11='Resultado Oficial'!D113,20,IF('Nome Palpiteiro'!D11='Resultado Oficial'!D114,20,0)))))</f>
        <v/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0</v>
      </c>
      <c r="LO11" s="71">
        <f>IF(AND(E28&lt;&gt;"",G28&lt;&gt;""),1,0)+IF(AND(E31&lt;&gt;"",G31&lt;&gt;""),1,0)+IF(AND(E32&lt;&gt;"",G32&lt;&gt;""),1,0)</f>
        <v>0</v>
      </c>
      <c r="LP11" s="71">
        <f>IF(OR(E28="",G28=""),0,IF(E28&gt;G28,1,0))+IF(OR(E31="",G31=""),0,IF(E31&gt;G31,1,0))+IF(OR(G32="",E32=""),0,IF(G32&gt;E32,1,0))</f>
        <v>0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0</v>
      </c>
      <c r="LT11" s="71">
        <f>G28+G31+E32</f>
        <v>0</v>
      </c>
      <c r="LU11" s="71">
        <f t="shared" ref="LU11:LU14" si="10">LS11-LT11</f>
        <v>0</v>
      </c>
      <c r="LV11" s="70">
        <f t="shared" ref="LV11:LV14" si="11">LN11</f>
        <v>0</v>
      </c>
      <c r="LW11" s="70">
        <f t="shared" ref="LW11:LW14" si="12">LU11/10</f>
        <v>0</v>
      </c>
      <c r="LX11" s="70">
        <f t="shared" ref="LX11:LX14" si="13">LS11/100</f>
        <v>0</v>
      </c>
      <c r="LY11" s="70">
        <f t="shared" ref="LY11:LY14" si="14">SUM(LV11:LX11)</f>
        <v>0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0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6"/>
      <c r="E12" s="66"/>
      <c r="F12" s="66"/>
      <c r="G12" s="66"/>
      <c r="H12" s="66"/>
      <c r="I12" s="66"/>
      <c r="J12" s="67"/>
      <c r="K12" s="55"/>
      <c r="L12" s="234" t="str">
        <f>IF(OR(D12="",'Resultado Oficial'!D112=""),"",IF(D12='Resultado Oficial'!D112,35,IF(D12='Resultado Oficial'!D111,20,IF(D12='Resultado Oficial'!D113,20,IF('Nome Palpiteiro'!D12='Resultado Oficial'!D114,20,0)))))</f>
        <v/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0</v>
      </c>
      <c r="LO12" s="71">
        <f>IF(AND(E28&lt;&gt;"",G28&lt;&gt;""),1,0)+IF(AND(E30&lt;&gt;"",G30&lt;&gt;""),1,0)+IF(AND(E33&lt;&gt;"",G33&lt;&gt;""),1,0)</f>
        <v>0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0</v>
      </c>
      <c r="LS12" s="71">
        <f>G28+G30+E33</f>
        <v>0</v>
      </c>
      <c r="LT12" s="71">
        <f>E28+E30+G33</f>
        <v>0</v>
      </c>
      <c r="LU12" s="71">
        <f t="shared" si="10"/>
        <v>0</v>
      </c>
      <c r="LV12" s="70">
        <f t="shared" si="11"/>
        <v>0</v>
      </c>
      <c r="LW12" s="70">
        <f t="shared" si="12"/>
        <v>0</v>
      </c>
      <c r="LX12" s="70">
        <f t="shared" si="13"/>
        <v>0</v>
      </c>
      <c r="LY12" s="70">
        <f t="shared" si="14"/>
        <v>0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0</v>
      </c>
      <c r="MD12" s="70">
        <f>RANK($MC$12,$MC$11:$MC$14,0)</f>
        <v>1</v>
      </c>
      <c r="ME12" s="70">
        <f>IF(OR(AND(MD11=MD12,MD11=MD13,MD11=MD14),AND(MD12=MD11,MD12=MD13),AND(MD12=MD11,MD12=MD14),MD12=MD11),MD12+1,MD12)</f>
        <v>2</v>
      </c>
      <c r="MF12" s="70">
        <v>2.0</v>
      </c>
      <c r="MG12" s="70">
        <f t="shared" si="16"/>
        <v>2</v>
      </c>
      <c r="MH12" s="70" t="str">
        <f t="shared" si="17"/>
        <v>Irã</v>
      </c>
    </row>
    <row r="13" ht="22.5" customHeight="1">
      <c r="A13" s="222" t="s">
        <v>139</v>
      </c>
      <c r="B13" s="223"/>
      <c r="C13" s="223"/>
      <c r="D13" s="206"/>
      <c r="E13" s="66"/>
      <c r="F13" s="66"/>
      <c r="G13" s="66"/>
      <c r="H13" s="66"/>
      <c r="I13" s="66"/>
      <c r="J13" s="67"/>
      <c r="K13" s="55"/>
      <c r="L13" s="234" t="str">
        <f>IF(OR(D13="",'Resultado Oficial'!D113=""),"",IF(D13='Resultado Oficial'!D113,30,IF(D13='Resultado Oficial'!D111,20,IF(D13='Resultado Oficial'!D112,20,IF('Nome Palpiteiro'!D13='Resultado Oficial'!D114,20,0)))))</f>
        <v/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0</v>
      </c>
      <c r="LO13" s="71">
        <f>IF(AND(E29&lt;&gt;"",G29&lt;&gt;""),1,0)+IF(AND(E31&lt;&gt;"",G31&lt;&gt;""),1,0)+IF(AND(E33&lt;&gt;"",G33&lt;&gt;""),1,0)</f>
        <v>0</v>
      </c>
      <c r="LP13" s="71">
        <f>IF(OR(E29="",G29=""),0,IF(E29&gt;G29,1,0))+IF(OR(G31="",E31=""),0,IF(G31&gt;E31,1,0))+IF(OR(G33="",E33=""),0,IF(G33&gt;E33,1,0))</f>
        <v>0</v>
      </c>
      <c r="LQ13" s="71">
        <f>IF(OR(E29="",G29=""),0,IF(E29=G29,1,0))+IF(OR(G31="",E31=""),0,IF(G31=E31,1,0))+IF(OR(G33="",E33=""),0,IF(G33=E33,1,0))</f>
        <v>0</v>
      </c>
      <c r="LR13" s="71">
        <f>IF(OR(E29="",G29=""),0,IF(E29&lt;G29,1,0))+IF(OR(G31="",E31=""),0,IF(G31&lt;E31,1,0))+IF(OR(G33="",E33=""),0,IF(G33&lt;E33,1,0))</f>
        <v>0</v>
      </c>
      <c r="LS13" s="71">
        <f>E29+G31+G33</f>
        <v>0</v>
      </c>
      <c r="LT13" s="71">
        <f>G29+E31+E33</f>
        <v>0</v>
      </c>
      <c r="LU13" s="71">
        <f t="shared" si="10"/>
        <v>0</v>
      </c>
      <c r="LV13" s="70">
        <f t="shared" si="11"/>
        <v>0</v>
      </c>
      <c r="LW13" s="70">
        <f t="shared" si="12"/>
        <v>0</v>
      </c>
      <c r="LX13" s="70">
        <f t="shared" si="13"/>
        <v>0</v>
      </c>
      <c r="LY13" s="70">
        <f t="shared" si="14"/>
        <v>0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0</v>
      </c>
      <c r="MD13" s="70">
        <f>RANK($MC$13,$MC$11:$MC$14,0)</f>
        <v>1</v>
      </c>
      <c r="ME13" s="70">
        <f>IF(OR(AND(MD11=MD12,MD11=MD13,MD11=MD14),AND(MD13=MD11,MD13=MD12)),MD13+2,IF(OR(AND(MD13=MD12,MD13=MD14),MD13=MD11,MD13=MD12),MD13+1,MD13))</f>
        <v>3</v>
      </c>
      <c r="MF13" s="70">
        <v>3.0</v>
      </c>
      <c r="MG13" s="70">
        <f t="shared" si="16"/>
        <v>3</v>
      </c>
      <c r="MH13" s="70" t="str">
        <f t="shared" si="17"/>
        <v>Estados Unidos</v>
      </c>
    </row>
    <row r="14" ht="22.5" customHeight="1">
      <c r="A14" s="222" t="s">
        <v>140</v>
      </c>
      <c r="B14" s="223"/>
      <c r="C14" s="223"/>
      <c r="D14" s="206"/>
      <c r="E14" s="66"/>
      <c r="F14" s="66"/>
      <c r="G14" s="66"/>
      <c r="H14" s="66"/>
      <c r="I14" s="66"/>
      <c r="J14" s="67"/>
      <c r="K14" s="55"/>
      <c r="L14" s="234" t="str">
        <f>IF(OR(D14="",'Resultado Oficial'!D114=""),"",IF(D14='Resultado Oficial'!D114,25,IF(D14='Resultado Oficial'!D111,20,IF(D14='Resultado Oficial'!D112,20,IF('Nome Palpiteiro'!D14='Resultado Oficial'!D113,20,0)))))</f>
        <v/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0</v>
      </c>
      <c r="LO14" s="71">
        <f>IF(AND(E29&lt;&gt;"",G29&lt;&gt;""),1,0)+IF(AND(E30&lt;&gt;"",G30&lt;&gt;""),1,0)+IF(AND(E32&lt;&gt;"",G32&lt;&gt;""),1,0)</f>
        <v>0</v>
      </c>
      <c r="LP14" s="71">
        <f>IF(OR(G29="",E29=""),0,IF(G29&gt;E29,1,0))+IF(OR(E30="",G30=""),0,IF(E30&gt;G30,1,0))+IF(OR(E32="",G32=""),0,IF(E32&gt;G32,1,0))</f>
        <v>0</v>
      </c>
      <c r="LQ14" s="71">
        <f>IF(OR(G29="",E29=""),0,IF(G29=E29,1,0))+IF(OR(E30="",G30=""),0,IF(E30=G30,1,0))+IF(OR(E32="",G32=""),0,IF(E32=G32,1,0))</f>
        <v>0</v>
      </c>
      <c r="LR14" s="71">
        <f>IF(OR(G29="",E29=""),0,IF(G29&lt;E29,1,0))+IF(OR(E30="",G30=""),0,IF(E30&lt;G30,1,0))+IF(OR(E32="",G32=""),0,IF(E32&lt;G32,1,0))</f>
        <v>0</v>
      </c>
      <c r="LS14" s="71">
        <f>G29+E30+E32</f>
        <v>0</v>
      </c>
      <c r="LT14" s="71">
        <f>E29+G30+G32</f>
        <v>0</v>
      </c>
      <c r="LU14" s="71">
        <f t="shared" si="10"/>
        <v>0</v>
      </c>
      <c r="LV14" s="70">
        <f t="shared" si="11"/>
        <v>0</v>
      </c>
      <c r="LW14" s="70">
        <f t="shared" si="12"/>
        <v>0</v>
      </c>
      <c r="LX14" s="70">
        <f t="shared" si="13"/>
        <v>0</v>
      </c>
      <c r="LY14" s="70">
        <f t="shared" si="14"/>
        <v>0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0</v>
      </c>
      <c r="MD14" s="70">
        <f>RANK($MC$14,$MC$11:$MC$14,0)</f>
        <v>1</v>
      </c>
      <c r="ME14" s="70">
        <f>IF(AND(MD11=MD12,MD11=MD13,MD11=MD14),MD14+3,IF(OR(AND(MD14=MD13,MD14=MD12),AND(MD14=MD12,MD14=MD11)),MD14+2,IF(OR(MD14=MD13,MD14=MD12,MD14=MD11),MD14+1,MD14)))</f>
        <v>4</v>
      </c>
      <c r="MF14" s="70">
        <v>4.0</v>
      </c>
      <c r="MG14" s="70">
        <f t="shared" si="16"/>
        <v>4</v>
      </c>
      <c r="MH14" s="70" t="str">
        <f t="shared" si="17"/>
        <v>País de Gales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0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0</v>
      </c>
      <c r="LO19" s="71">
        <f>IF(AND(E36&lt;&gt;"",G36&lt;&gt;""),1,0)+IF(AND(E39&lt;&gt;"",G39&lt;&gt;""),1,0)+IF(AND(E40&lt;&gt;"",G40&lt;&gt;""),1,0)</f>
        <v>0</v>
      </c>
      <c r="LP19" s="71">
        <f>IF(OR(E36="",G36=""),0,IF(E36&gt;G36,1,0))+IF(OR(E39="",G39=""),0,IF(E39&gt;G39,1,0))+IF(OR(G40="",E40=""),0,IF(G40&gt;E40,1,0))</f>
        <v>0</v>
      </c>
      <c r="LQ19" s="71">
        <f>IF(OR(E36="",G36=""),0,IF(E36=G36,1,0))+IF(OR(E39="",G39=""),0,IF(E39=G39,1,0))+IF(OR(G40="",E40=""),0,IF(G40=E40,1,0))</f>
        <v>0</v>
      </c>
      <c r="LR19" s="71">
        <f>IF(OR(E36="",G36=""),0,IF(E36&lt;G36,1,0))+IF(OR(E39="",G39=""),0,IF(E39&lt;G39,1,0))+IF(OR(G40="",E40=""),0,IF(G40&lt;E40,1,0))</f>
        <v>0</v>
      </c>
      <c r="LS19" s="71">
        <f>E36+E39+G40</f>
        <v>0</v>
      </c>
      <c r="LT19" s="71">
        <f>G36+G39+E40</f>
        <v>0</v>
      </c>
      <c r="LU19" s="71">
        <f t="shared" ref="LU19:LU22" si="18">LS19-LT19</f>
        <v>0</v>
      </c>
      <c r="LV19" s="70">
        <f t="shared" ref="LV19:LV22" si="19">LN19</f>
        <v>0</v>
      </c>
      <c r="LW19" s="70">
        <f t="shared" ref="LW19:LW22" si="20">LU19/10</f>
        <v>0</v>
      </c>
      <c r="LX19" s="70">
        <f t="shared" ref="LX19:LX22" si="21">LS19/100</f>
        <v>0</v>
      </c>
      <c r="LY19" s="70">
        <f t="shared" ref="LY19:LY22" si="22">SUM(LV19:LX19)</f>
        <v>0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0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237"/>
      <c r="F20" s="93" t="s">
        <v>72</v>
      </c>
      <c r="G20" s="238"/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 t="str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/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0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0</v>
      </c>
      <c r="LS20" s="71">
        <f>G36+G38+E41</f>
        <v>0</v>
      </c>
      <c r="LT20" s="71">
        <f>E36+E38+G41</f>
        <v>0</v>
      </c>
      <c r="LU20" s="71">
        <f t="shared" si="18"/>
        <v>0</v>
      </c>
      <c r="LV20" s="70">
        <f t="shared" si="19"/>
        <v>0</v>
      </c>
      <c r="LW20" s="70">
        <f t="shared" si="20"/>
        <v>0</v>
      </c>
      <c r="LX20" s="70">
        <f t="shared" si="21"/>
        <v>0</v>
      </c>
      <c r="LY20" s="70">
        <f t="shared" si="22"/>
        <v>0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0</v>
      </c>
      <c r="MD20" s="70">
        <f>RANK($MC$20,$MC$19:$MC$22,0)</f>
        <v>1</v>
      </c>
      <c r="ME20" s="70">
        <f>IF(OR(AND(MD19=MD20,MD19=MD21,MD19=MD22),AND(MD20=MD19,MD20=MD21),AND(MD20=MD19,MD20=MD22),MD20=MD19),MD20+1,MD20)</f>
        <v>2</v>
      </c>
      <c r="MF20" s="70">
        <v>2.0</v>
      </c>
      <c r="MG20" s="70">
        <f t="shared" si="24"/>
        <v>2</v>
      </c>
      <c r="MH20" s="70" t="str">
        <f t="shared" si="25"/>
        <v>Arábia Saudita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239"/>
      <c r="F21" s="106" t="s">
        <v>72</v>
      </c>
      <c r="G21" s="240"/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 t="str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/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0</v>
      </c>
      <c r="LO21" s="71">
        <f>IF(AND(E37&lt;&gt;"",G37&lt;&gt;""),1,0)+IF(AND(E39&lt;&gt;"",G39&lt;&gt;""),1,0)+IF(AND(E41&lt;&gt;"",G41&lt;&gt;""),1,0)</f>
        <v>0</v>
      </c>
      <c r="LP21" s="71">
        <f>IF(OR(E37="",G37=""),0,IF(E37&gt;G37,1,0))+IF(OR(G39="",E39=""),0,IF(G39&gt;E39,1,0))+IF(OR(G41="",E41=""),0,IF(G41&gt;E41,1,0))</f>
        <v>0</v>
      </c>
      <c r="LQ21" s="71">
        <f>IF(OR(E37="",G37=""),0,IF(E37=G37,1,0))+IF(OR(G39="",E39=""),0,IF(G39=E39,1,0))+IF(OR(G41="",E41=""),0,IF(G41=E41,1,0))</f>
        <v>0</v>
      </c>
      <c r="LR21" s="71">
        <f>IF(OR(E37="",G37=""),0,IF(E37&lt;G37,1,0))+IF(OR(G39="",E39=""),0,IF(G39&lt;E39,1,0))+IF(OR(G41="",E41=""),0,IF(G41&lt;E41,1,0))</f>
        <v>0</v>
      </c>
      <c r="LS21" s="71">
        <f>E37+G39+G41</f>
        <v>0</v>
      </c>
      <c r="LT21" s="71">
        <f>G37+E39+E41</f>
        <v>0</v>
      </c>
      <c r="LU21" s="71">
        <f t="shared" si="18"/>
        <v>0</v>
      </c>
      <c r="LV21" s="70">
        <f t="shared" si="19"/>
        <v>0</v>
      </c>
      <c r="LW21" s="70">
        <f t="shared" si="20"/>
        <v>0</v>
      </c>
      <c r="LX21" s="70">
        <f t="shared" si="21"/>
        <v>0</v>
      </c>
      <c r="LY21" s="70">
        <f t="shared" si="22"/>
        <v>0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0</v>
      </c>
      <c r="MD21" s="70">
        <f>RANK($MC$21,$MC$19:$MC$22,0)</f>
        <v>1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241"/>
      <c r="F22" s="115" t="s">
        <v>72</v>
      </c>
      <c r="G22" s="242"/>
      <c r="H22" s="117"/>
      <c r="I22" s="96" t="s">
        <v>61</v>
      </c>
      <c r="J22" s="97" t="s">
        <v>76</v>
      </c>
      <c r="K22" s="109"/>
      <c r="L22" s="118" t="str">
        <f>'Nome Palpiteiro'!MH3</f>
        <v>Catar</v>
      </c>
      <c r="M22" s="119">
        <f>VLOOKUP(L22,'Nome Palpiteiro'!$LM$3:$LU$6,2,FALSE)</f>
        <v>0</v>
      </c>
      <c r="N22" s="120">
        <f>VLOOKUP(L22,'Nome Palpiteiro'!$LM$3:$LU$6,3,FALSE)</f>
        <v>0</v>
      </c>
      <c r="O22" s="120">
        <f>VLOOKUP(L22,'Nome Palpiteiro'!$LM$3:$LU$6,4,FALSE)</f>
        <v>0</v>
      </c>
      <c r="P22" s="120">
        <f>VLOOKUP(L22,'Nome Palpiteiro'!$LM$3:$LU$6,5,FALSE)</f>
        <v>0</v>
      </c>
      <c r="Q22" s="120">
        <f>VLOOKUP(L22,'Nome Palpiteiro'!$LM$3:$LU$6,6,FALSE)</f>
        <v>0</v>
      </c>
      <c r="R22" s="120">
        <f>VLOOKUP(L22,'Nome Palpiteiro'!$LM$3:$LU$6,7,FALSE)</f>
        <v>0</v>
      </c>
      <c r="S22" s="120">
        <f>VLOOKUP(L22,'Nome Palpiteiro'!$LM$3:$LU$6,8,FALSE)</f>
        <v>0</v>
      </c>
      <c r="T22" s="121">
        <f>VLOOKUP(L22,'Nome Palpiteiro'!$LM$3:$LU$6,9,FALSE)</f>
        <v>0</v>
      </c>
      <c r="U22" s="52"/>
      <c r="V22" s="59" t="s">
        <v>78</v>
      </c>
      <c r="W22" s="122" t="str">
        <f t="shared" ref="W22:W23" si="26">IF(N22&lt;&gt;3,"",L22)</f>
        <v/>
      </c>
      <c r="X22" s="236" t="str">
        <f>IF(AND(W22&lt;&gt;"",'Resultado Oficial'!W22&lt;&gt;"",'Resultado Oficial'!W23&lt;&gt;""),IF(W22='Resultado Oficial'!W22,5,IF(W22='Resultado Oficial'!W23,2,0)),"")</f>
        <v/>
      </c>
      <c r="Y22" s="53"/>
      <c r="Z22" s="236" t="str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/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0</v>
      </c>
      <c r="LO22" s="71">
        <f>IF(AND(E37&lt;&gt;"",G37&lt;&gt;""),1,0)+IF(AND(E38&lt;&gt;"",G38&lt;&gt;""),1,0)+IF(AND(E40&lt;&gt;"",G40&lt;&gt;""),1,0)</f>
        <v>0</v>
      </c>
      <c r="LP22" s="71">
        <f>IF(OR(G37="",E37=""),0,IF(G37&gt;E37,1,0))+IF(OR(E38="",G8=""),0,IF(E38&gt;G38,1,0))+IF(OR(E40="",G40=""),0,IF(E40&gt;G40,1,0))</f>
        <v>0</v>
      </c>
      <c r="LQ22" s="71">
        <f>IF(OR(G37="",E37=""),0,IF(G37=E37,1,0))+IF(OR(E38="",G38=""),0,IF(E38=G38,1,0))+IF(OR(E40="",G40=""),0,IF(E40=G40,1,0))</f>
        <v>0</v>
      </c>
      <c r="LR22" s="71">
        <f>IF(OR(G37="",E37=""),0,IF(G37&lt;E37,1,0))+IF(OR(E38="",G38=""),0,IF(E38&lt;G38,1,0))+IF(OR(E40="",G40=""),0,IF(E40&lt;G40,1,0))</f>
        <v>0</v>
      </c>
      <c r="LS22" s="71">
        <f>G37+E38+E40</f>
        <v>0</v>
      </c>
      <c r="LT22" s="71">
        <f>E37+G38+G40</f>
        <v>0</v>
      </c>
      <c r="LU22" s="71">
        <f t="shared" si="18"/>
        <v>0</v>
      </c>
      <c r="LV22" s="70">
        <f t="shared" si="19"/>
        <v>0</v>
      </c>
      <c r="LW22" s="70">
        <f t="shared" si="20"/>
        <v>0</v>
      </c>
      <c r="LX22" s="70">
        <f t="shared" si="21"/>
        <v>0</v>
      </c>
      <c r="LY22" s="70">
        <f t="shared" si="22"/>
        <v>0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0</v>
      </c>
      <c r="MD22" s="70">
        <f>RANK($MC$22,$MC$19:$MC$22,0)</f>
        <v>1</v>
      </c>
      <c r="ME22" s="70">
        <f>IF(AND(MD19=MD20,MD19=MD21,MD19=MD22),MD22+3,IF(OR(AND(MD22=MD21,MD22=MD20),AND(MD22=MD20,MD22=MD19)),MD22+2,IF(OR(MD22=MD21,MD22=MD20,MD22=MD19),MD22+1,MD22)))</f>
        <v>4</v>
      </c>
      <c r="MF22" s="70">
        <v>4.0</v>
      </c>
      <c r="MG22" s="70">
        <f t="shared" si="24"/>
        <v>4</v>
      </c>
      <c r="MH22" s="70" t="str">
        <f t="shared" si="25"/>
        <v>Polônia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239"/>
      <c r="F23" s="106" t="s">
        <v>72</v>
      </c>
      <c r="G23" s="240"/>
      <c r="H23" s="108"/>
      <c r="I23" s="96" t="s">
        <v>60</v>
      </c>
      <c r="J23" s="97" t="s">
        <v>80</v>
      </c>
      <c r="K23" s="109"/>
      <c r="L23" s="118" t="str">
        <f>'Nome Palpiteiro'!MH4</f>
        <v>Equador</v>
      </c>
      <c r="M23" s="119">
        <f>VLOOKUP(L23,'Nome Palpiteiro'!$LM$3:$LU$6,2,FALSE)</f>
        <v>0</v>
      </c>
      <c r="N23" s="120">
        <f>VLOOKUP(L23,'Nome Palpiteiro'!$LM$3:$LU$6,3,FALSE)</f>
        <v>0</v>
      </c>
      <c r="O23" s="120">
        <f>VLOOKUP(L23,'Nome Palpiteiro'!$LM$3:$LU$6,4,FALSE)</f>
        <v>0</v>
      </c>
      <c r="P23" s="120">
        <f>VLOOKUP(L23,'Nome Palpiteiro'!$LM$3:$LU$6,5,FALSE)</f>
        <v>0</v>
      </c>
      <c r="Q23" s="120">
        <f>VLOOKUP(L23,'Nome Palpiteiro'!$LM$3:$LU$6,6,FALSE)</f>
        <v>0</v>
      </c>
      <c r="R23" s="120">
        <f>VLOOKUP(L23,'Nome Palpiteiro'!$LM$3:$LU$6,7,FALSE)</f>
        <v>0</v>
      </c>
      <c r="S23" s="120">
        <f>VLOOKUP(L23,'Nome Palpiteiro'!$LM$3:$LU$6,8,FALSE)</f>
        <v>0</v>
      </c>
      <c r="T23" s="121">
        <f>VLOOKUP(L23,'Nome Palpiteiro'!$LM$3:$LU$6,9,FALSE)</f>
        <v>0</v>
      </c>
      <c r="U23" s="52"/>
      <c r="V23" s="59" t="s">
        <v>81</v>
      </c>
      <c r="W23" s="122" t="str">
        <f t="shared" si="26"/>
        <v/>
      </c>
      <c r="X23" s="236" t="str">
        <f>IF(AND(W23&lt;&gt;"",'Resultado Oficial'!W22&lt;&gt;"",'Resultado Oficial'!W23&lt;&gt;""),IF(W23='Resultado Oficial'!W23,5,IF(W23='Resultado Oficial'!W22,2,0)),"")</f>
        <v/>
      </c>
      <c r="Y23" s="53"/>
      <c r="Z23" s="236" t="str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/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239"/>
      <c r="F24" s="106" t="s">
        <v>72</v>
      </c>
      <c r="G24" s="240"/>
      <c r="H24" s="108"/>
      <c r="I24" s="96" t="s">
        <v>61</v>
      </c>
      <c r="J24" s="97" t="s">
        <v>80</v>
      </c>
      <c r="K24" s="109"/>
      <c r="L24" s="118" t="str">
        <f>'Nome Palpiteiro'!MH5</f>
        <v>Senegal</v>
      </c>
      <c r="M24" s="119">
        <f>VLOOKUP(L24,'Nome Palpiteiro'!$LM$3:$LU$6,2,FALSE)</f>
        <v>0</v>
      </c>
      <c r="N24" s="120">
        <f>VLOOKUP(L24,'Nome Palpiteiro'!$LM$3:$LU$6,3,FALSE)</f>
        <v>0</v>
      </c>
      <c r="O24" s="120">
        <f>VLOOKUP(L24,'Nome Palpiteiro'!$LM$3:$LU$6,4,FALSE)</f>
        <v>0</v>
      </c>
      <c r="P24" s="120">
        <f>VLOOKUP(L24,'Nome Palpiteiro'!$LM$3:$LU$6,5,FALSE)</f>
        <v>0</v>
      </c>
      <c r="Q24" s="120">
        <f>VLOOKUP(L24,'Nome Palpiteiro'!$LM$3:$LU$6,6,FALSE)</f>
        <v>0</v>
      </c>
      <c r="R24" s="120">
        <f>VLOOKUP(L24,'Nome Palpiteiro'!$LM$3:$LU$6,7,FALSE)</f>
        <v>0</v>
      </c>
      <c r="S24" s="120">
        <f>VLOOKUP(L24,'Nome Palpiteiro'!$LM$3:$LU$6,8,FALSE)</f>
        <v>0</v>
      </c>
      <c r="T24" s="121">
        <f>VLOOKUP(L24,'Nome Palpiteiro'!$LM$3:$LU$6,9,FALSE)</f>
        <v>0</v>
      </c>
      <c r="U24" s="52"/>
      <c r="V24" s="53"/>
      <c r="W24" s="53"/>
      <c r="X24" s="218"/>
      <c r="Y24" s="53"/>
      <c r="Z24" s="236" t="str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/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239"/>
      <c r="F25" s="106" t="s">
        <v>72</v>
      </c>
      <c r="G25" s="240"/>
      <c r="H25" s="108"/>
      <c r="I25" s="96" t="s">
        <v>82</v>
      </c>
      <c r="J25" s="97" t="s">
        <v>73</v>
      </c>
      <c r="K25" s="123"/>
      <c r="L25" s="124" t="str">
        <f>'Nome Palpiteiro'!MH6</f>
        <v>Holanda</v>
      </c>
      <c r="M25" s="125">
        <f>VLOOKUP(L25,'Nome Palpiteiro'!$LM$3:$LU$6,2,FALSE)</f>
        <v>0</v>
      </c>
      <c r="N25" s="126">
        <f>VLOOKUP(L25,'Nome Palpiteiro'!$LM$3:$LU$6,3,FALSE)</f>
        <v>0</v>
      </c>
      <c r="O25" s="126">
        <f>VLOOKUP(L25,'Nome Palpiteiro'!$LM$3:$LU$6,4,FALSE)</f>
        <v>0</v>
      </c>
      <c r="P25" s="126">
        <f>VLOOKUP(L25,'Nome Palpiteiro'!$LM$3:$LU$6,5,FALSE)</f>
        <v>0</v>
      </c>
      <c r="Q25" s="126">
        <f>VLOOKUP(L25,'Nome Palpiteiro'!$LM$3:$LU$6,6,FALSE)</f>
        <v>0</v>
      </c>
      <c r="R25" s="126">
        <f>VLOOKUP(L25,'Nome Palpiteiro'!$LM$3:$LU$6,7,FALSE)</f>
        <v>0</v>
      </c>
      <c r="S25" s="126">
        <f>VLOOKUP(L25,'Nome Palpiteiro'!$LM$3:$LU$6,8,FALSE)</f>
        <v>0</v>
      </c>
      <c r="T25" s="127">
        <f>VLOOKUP(L25,'Nome Palpiteiro'!$LM$3:$LU$6,9,FALSE)</f>
        <v>0</v>
      </c>
      <c r="U25" s="52"/>
      <c r="V25" s="53"/>
      <c r="W25" s="53"/>
      <c r="X25" s="218"/>
      <c r="Y25" s="53"/>
      <c r="Z25" s="236" t="str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/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0</v>
      </c>
      <c r="LO27" s="71">
        <f>IF(AND(E45&lt;&gt;"",G45&lt;&gt;""),1,0)+IF(AND(E47&lt;&gt;"",G47&lt;&gt;""),1,0)+IF(AND(E49&lt;&gt;"",G49&lt;&gt;""),1,0)</f>
        <v>0</v>
      </c>
      <c r="LP27" s="71">
        <f>IF(OR(E45="",G45=""),0,IF(E45&gt;G45,1,0))+IF(OR(E47="",G47=""),0,IF(E47&gt;G47,1,0))+IF(OR(G49="",E49=""),0,IF(G49&gt;E49,1,0))</f>
        <v>0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0</v>
      </c>
      <c r="LS27" s="71">
        <f>E45+E47+G49</f>
        <v>0</v>
      </c>
      <c r="LT27" s="71">
        <f>G45+G47+E49</f>
        <v>0</v>
      </c>
      <c r="LU27" s="71">
        <f t="shared" ref="LU27:LU30" si="27">LS27-LT27</f>
        <v>0</v>
      </c>
      <c r="LV27" s="70">
        <f t="shared" ref="LV27:LV30" si="28">LN27</f>
        <v>0</v>
      </c>
      <c r="LW27" s="70">
        <f t="shared" ref="LW27:LW30" si="29">LU27/10</f>
        <v>0</v>
      </c>
      <c r="LX27" s="70">
        <f t="shared" ref="LX27:LX30" si="30">LS27/100</f>
        <v>0</v>
      </c>
      <c r="LY27" s="70">
        <f t="shared" ref="LY27:LY30" si="31">SUM(LV27:LX27)</f>
        <v>0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0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239"/>
      <c r="F28" s="106" t="s">
        <v>72</v>
      </c>
      <c r="G28" s="240"/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 t="str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/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0</v>
      </c>
      <c r="LO28" s="71">
        <f>IF(AND(E45&lt;&gt;"",G45&lt;&gt;""),1,0)+IF(AND(E46&lt;&gt;"",G46&lt;&gt;""),1,0)+IF(AND(E48&lt;&gt;"",G48&lt;&gt;""),1,0)</f>
        <v>0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0</v>
      </c>
      <c r="LS28" s="71">
        <f>G45+G46+E48</f>
        <v>0</v>
      </c>
      <c r="LT28" s="71">
        <f>E45+E46+G48</f>
        <v>0</v>
      </c>
      <c r="LU28" s="71">
        <f t="shared" si="27"/>
        <v>0</v>
      </c>
      <c r="LV28" s="70">
        <f t="shared" si="28"/>
        <v>0</v>
      </c>
      <c r="LW28" s="70">
        <f t="shared" si="29"/>
        <v>0</v>
      </c>
      <c r="LX28" s="70">
        <f t="shared" si="30"/>
        <v>0</v>
      </c>
      <c r="LY28" s="70">
        <f t="shared" si="31"/>
        <v>0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0</v>
      </c>
      <c r="MD28" s="70">
        <f>RANK($MC$28,$MC$27:$MC$30,0)</f>
        <v>1</v>
      </c>
      <c r="ME28" s="70">
        <f>IF(OR(AND(MD27=MD28,MD27=MD29,MD27=MD30),AND(MD28=MD27,MD28=MD29),AND(MD28=MD27,MD28=MD30),MD28=MD27),MD28+1,MD28)</f>
        <v>2</v>
      </c>
      <c r="MF28" s="70">
        <v>2.0</v>
      </c>
      <c r="MG28" s="70">
        <f t="shared" si="33"/>
        <v>2</v>
      </c>
      <c r="MH28" s="70" t="str">
        <f t="shared" si="34"/>
        <v>Austrália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239"/>
      <c r="F29" s="106" t="s">
        <v>72</v>
      </c>
      <c r="G29" s="240"/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 t="str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/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0</v>
      </c>
      <c r="LO29" s="71">
        <f>IF(AND(E44&lt;&gt;"",G44&lt;&gt;""),1,0)+IF(AND(E47&lt;&gt;"",G47&lt;&gt;""),1,0)+IF(AND(E48&lt;&gt;"",G48&lt;&gt;""),1,0)</f>
        <v>0</v>
      </c>
      <c r="LP29" s="71">
        <f>IF(OR(E44="",G44=""),0,IF(E44&gt;G44,1,0))+IF(OR(G47="",E47=""),0,IF(G47&gt;E47,1,0))+IF(OR(G48="",E48=""),0,IF(G48&gt;E48,1,0))</f>
        <v>0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0</v>
      </c>
      <c r="LS29" s="71">
        <f>E44+G47+G48</f>
        <v>0</v>
      </c>
      <c r="LT29" s="71">
        <f>G44+E47+E48</f>
        <v>0</v>
      </c>
      <c r="LU29" s="71">
        <f t="shared" si="27"/>
        <v>0</v>
      </c>
      <c r="LV29" s="70">
        <f t="shared" si="28"/>
        <v>0</v>
      </c>
      <c r="LW29" s="70">
        <f t="shared" si="29"/>
        <v>0</v>
      </c>
      <c r="LX29" s="70">
        <f t="shared" si="30"/>
        <v>0</v>
      </c>
      <c r="LY29" s="70">
        <f t="shared" si="31"/>
        <v>0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0</v>
      </c>
      <c r="MD29" s="70">
        <f>RANK($MC$29,$MC$27:$MC$30,0)</f>
        <v>1</v>
      </c>
      <c r="ME29" s="70">
        <f>IF(OR(AND(MD27=MD28,MD27=MD29,MD27=MD30),AND(MD29=MD27,MD29=MD28)),MD29+2,IF(OR(AND(MD29=MD28,MD29=MD30),MD29=MD27,MD29=MD28),MD29+1,MD29))</f>
        <v>3</v>
      </c>
      <c r="MF29" s="70">
        <v>3.0</v>
      </c>
      <c r="MG29" s="70">
        <f t="shared" si="33"/>
        <v>3</v>
      </c>
      <c r="MH29" s="70" t="str">
        <f t="shared" si="34"/>
        <v>Dinamarca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241"/>
      <c r="F30" s="115" t="s">
        <v>72</v>
      </c>
      <c r="G30" s="242"/>
      <c r="H30" s="117"/>
      <c r="I30" s="96" t="s">
        <v>65</v>
      </c>
      <c r="J30" s="97" t="s">
        <v>88</v>
      </c>
      <c r="K30" s="109"/>
      <c r="L30" s="118" t="str">
        <f>'Nome Palpiteiro'!MH11</f>
        <v>Inglaterra</v>
      </c>
      <c r="M30" s="119">
        <f>VLOOKUP(L30,'Nome Palpiteiro'!$LM$11:$LU$14,2,FALSE)</f>
        <v>0</v>
      </c>
      <c r="N30" s="120">
        <f>VLOOKUP(L30,'Nome Palpiteiro'!$LM$11:$LU$14,3,FALSE)</f>
        <v>0</v>
      </c>
      <c r="O30" s="120">
        <f>VLOOKUP(L30,'Nome Palpiteiro'!$LM$11:$LU$14,4,FALSE)</f>
        <v>0</v>
      </c>
      <c r="P30" s="120">
        <f>VLOOKUP(L30,'Nome Palpiteiro'!$LM$11:$LU$14,5,FALSE)</f>
        <v>0</v>
      </c>
      <c r="Q30" s="120">
        <f>VLOOKUP(L30,'Nome Palpiteiro'!$LM$11:$LU$14,6,FALSE)</f>
        <v>0</v>
      </c>
      <c r="R30" s="120">
        <f>VLOOKUP(L30,'Nome Palpiteiro'!$LM$11:$LU$14,7,FALSE)</f>
        <v>0</v>
      </c>
      <c r="S30" s="120">
        <f>VLOOKUP(L30,'Nome Palpiteiro'!$LM$11:$LU$14,8,FALSE)</f>
        <v>0</v>
      </c>
      <c r="T30" s="121">
        <f>VLOOKUP(L30,'Nome Palpiteiro'!$LM$11:$LU$14,9,FALSE)</f>
        <v>0</v>
      </c>
      <c r="U30" s="53"/>
      <c r="V30" s="59" t="s">
        <v>78</v>
      </c>
      <c r="W30" s="122" t="str">
        <f t="shared" ref="W30:W31" si="35">IF(N30&lt;&gt;3,"",L30)</f>
        <v/>
      </c>
      <c r="X30" s="236" t="str">
        <f>IF(AND(W30&lt;&gt;"",'Resultado Oficial'!W30&lt;&gt;"",'Resultado Oficial'!W31&lt;&gt;""),IF(W30='Resultado Oficial'!W30,5,IF(W30='Resultado Oficial'!W31,2,0)),"")</f>
        <v/>
      </c>
      <c r="Y30" s="53"/>
      <c r="Z30" s="236" t="str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/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0</v>
      </c>
      <c r="LO30" s="71">
        <f>IF(AND(E44&lt;&gt;"",G44&lt;&gt;""),1,0)+IF(AND(E46&lt;&gt;"",G46&lt;&gt;""),1,0)+IF(AND(E49&lt;&gt;"",G49&lt;&gt;""),1,0)</f>
        <v>0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0</v>
      </c>
      <c r="LR30" s="71">
        <f>IF(OR(G44="",E44=""),0,IF(G44&lt;E44,1,0))+IF(OR(E46="",G46=""),0,IF(E46&lt;G46,1,0))+IF(OR(E49="",G49=""),0,IF(E49&lt;G49,1,0))</f>
        <v>0</v>
      </c>
      <c r="LS30" s="71">
        <f>G44+E46+E49</f>
        <v>0</v>
      </c>
      <c r="LT30" s="71">
        <f>E44+G46+G49</f>
        <v>0</v>
      </c>
      <c r="LU30" s="71">
        <f t="shared" si="27"/>
        <v>0</v>
      </c>
      <c r="LV30" s="70">
        <f t="shared" si="28"/>
        <v>0</v>
      </c>
      <c r="LW30" s="70">
        <f t="shared" si="29"/>
        <v>0</v>
      </c>
      <c r="LX30" s="70">
        <f t="shared" si="30"/>
        <v>0</v>
      </c>
      <c r="LY30" s="70">
        <f t="shared" si="31"/>
        <v>0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0</v>
      </c>
      <c r="MD30" s="70">
        <f>RANK($MC$30,$MC$27:$MC$30,0)</f>
        <v>1</v>
      </c>
      <c r="ME30" s="70">
        <f>IF(AND(MD27=MD28,MD27=MD29,MD27=MD30),MD30+3,IF(OR(AND(MD30=MD29,MD30=MD28),AND(MD30=MD28,MD30=MD27)),MD30+2,IF(OR(MD30=MD29,MD30=MD28,MD30=MD27),MD30+1,MD30)))</f>
        <v>4</v>
      </c>
      <c r="MF30" s="70">
        <v>4.0</v>
      </c>
      <c r="MG30" s="70">
        <f t="shared" si="33"/>
        <v>4</v>
      </c>
      <c r="MH30" s="70" t="str">
        <f t="shared" si="34"/>
        <v>Tunísia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239"/>
      <c r="F31" s="106" t="s">
        <v>72</v>
      </c>
      <c r="G31" s="240"/>
      <c r="H31" s="108"/>
      <c r="I31" s="96" t="s">
        <v>66</v>
      </c>
      <c r="J31" s="97" t="s">
        <v>73</v>
      </c>
      <c r="K31" s="109"/>
      <c r="L31" s="118" t="str">
        <f>'Nome Palpiteiro'!MH12</f>
        <v>Irã</v>
      </c>
      <c r="M31" s="119">
        <f>VLOOKUP(L31,'Nome Palpiteiro'!$LM$11:$LU$14,2,FALSE)</f>
        <v>0</v>
      </c>
      <c r="N31" s="120">
        <f>VLOOKUP(L31,'Nome Palpiteiro'!$LM$11:$LU$14,3,FALSE)</f>
        <v>0</v>
      </c>
      <c r="O31" s="120">
        <f>VLOOKUP(L31,'Nome Palpiteiro'!$LM$11:$LU$14,4,FALSE)</f>
        <v>0</v>
      </c>
      <c r="P31" s="120">
        <f>VLOOKUP(L31,'Nome Palpiteiro'!$LM$11:$LU$14,5,FALSE)</f>
        <v>0</v>
      </c>
      <c r="Q31" s="120">
        <f>VLOOKUP(L31,'Nome Palpiteiro'!$LM$11:$LU$14,6,FALSE)</f>
        <v>0</v>
      </c>
      <c r="R31" s="120">
        <f>VLOOKUP(L31,'Nome Palpiteiro'!$LM$11:$LU$14,7,FALSE)</f>
        <v>0</v>
      </c>
      <c r="S31" s="120">
        <f>VLOOKUP(L31,'Nome Palpiteiro'!$LM$11:$LU$14,8,FALSE)</f>
        <v>0</v>
      </c>
      <c r="T31" s="121">
        <f>VLOOKUP(L31,'Nome Palpiteiro'!$LM$11:$LU$14,9,FALSE)</f>
        <v>0</v>
      </c>
      <c r="U31" s="53"/>
      <c r="V31" s="59" t="s">
        <v>81</v>
      </c>
      <c r="W31" s="122" t="str">
        <f t="shared" si="35"/>
        <v/>
      </c>
      <c r="X31" s="236" t="str">
        <f>IF(AND(W31&lt;&gt;"",'Resultado Oficial'!W30&lt;&gt;"",'Resultado Oficial'!W31&lt;&gt;""),IF(W31='Resultado Oficial'!W31,5,IF(W31='Resultado Oficial'!W30,2,0)),"")</f>
        <v/>
      </c>
      <c r="Y31" s="53"/>
      <c r="Z31" s="236" t="str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/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239"/>
      <c r="F32" s="106" t="s">
        <v>72</v>
      </c>
      <c r="G32" s="240"/>
      <c r="H32" s="108"/>
      <c r="I32" s="96" t="s">
        <v>64</v>
      </c>
      <c r="J32" s="97" t="s">
        <v>88</v>
      </c>
      <c r="K32" s="109"/>
      <c r="L32" s="118" t="str">
        <f>'Nome Palpiteiro'!MH13</f>
        <v>Estados Unidos</v>
      </c>
      <c r="M32" s="119">
        <f>VLOOKUP(L32,'Nome Palpiteiro'!$LM$11:$LU$14,2,FALSE)</f>
        <v>0</v>
      </c>
      <c r="N32" s="120">
        <f>VLOOKUP(L32,'Nome Palpiteiro'!$LM$11:$LU$14,3,FALSE)</f>
        <v>0</v>
      </c>
      <c r="O32" s="120">
        <f>VLOOKUP(L32,'Nome Palpiteiro'!$LM$11:$LU$14,4,FALSE)</f>
        <v>0</v>
      </c>
      <c r="P32" s="120">
        <f>VLOOKUP(L32,'Nome Palpiteiro'!$LM$11:$LU$14,5,FALSE)</f>
        <v>0</v>
      </c>
      <c r="Q32" s="120">
        <f>VLOOKUP(L32,'Nome Palpiteiro'!$LM$11:$LU$14,6,FALSE)</f>
        <v>0</v>
      </c>
      <c r="R32" s="120">
        <f>VLOOKUP(L32,'Nome Palpiteiro'!$LM$11:$LU$14,7,FALSE)</f>
        <v>0</v>
      </c>
      <c r="S32" s="120">
        <f>VLOOKUP(L32,'Nome Palpiteiro'!$LM$11:$LU$14,8,FALSE)</f>
        <v>0</v>
      </c>
      <c r="T32" s="121">
        <f>VLOOKUP(L32,'Nome Palpiteiro'!$LM$11:$LU$14,9,FALSE)</f>
        <v>0</v>
      </c>
      <c r="U32" s="53"/>
      <c r="V32" s="53"/>
      <c r="W32" s="53"/>
      <c r="X32" s="218"/>
      <c r="Y32" s="53"/>
      <c r="Z32" s="236" t="str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/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239"/>
      <c r="F33" s="106" t="s">
        <v>72</v>
      </c>
      <c r="G33" s="240"/>
      <c r="H33" s="108"/>
      <c r="I33" s="96" t="s">
        <v>66</v>
      </c>
      <c r="J33" s="97" t="s">
        <v>76</v>
      </c>
      <c r="K33" s="123"/>
      <c r="L33" s="124" t="str">
        <f>'Nome Palpiteiro'!MH14</f>
        <v>País de Gales</v>
      </c>
      <c r="M33" s="125">
        <f>VLOOKUP(L33,'Nome Palpiteiro'!$LM$11:$LU$14,2,FALSE)</f>
        <v>0</v>
      </c>
      <c r="N33" s="126">
        <f>VLOOKUP(L33,'Nome Palpiteiro'!$LM$11:$LU$14,3,FALSE)</f>
        <v>0</v>
      </c>
      <c r="O33" s="126">
        <f>VLOOKUP(L33,'Nome Palpiteiro'!$LM$11:$LU$14,4,FALSE)</f>
        <v>0</v>
      </c>
      <c r="P33" s="126">
        <f>VLOOKUP(L33,'Nome Palpiteiro'!$LM$11:$LU$14,5,FALSE)</f>
        <v>0</v>
      </c>
      <c r="Q33" s="126">
        <f>VLOOKUP(L33,'Nome Palpiteiro'!$LM$11:$LU$14,6,FALSE)</f>
        <v>0</v>
      </c>
      <c r="R33" s="126">
        <f>VLOOKUP(L33,'Nome Palpiteiro'!$LM$11:$LU$14,7,FALSE)</f>
        <v>0</v>
      </c>
      <c r="S33" s="126">
        <f>VLOOKUP(L33,'Nome Palpiteiro'!$LM$11:$LU$14,8,FALSE)</f>
        <v>0</v>
      </c>
      <c r="T33" s="127">
        <f>VLOOKUP(L33,'Nome Palpiteiro'!$LM$11:$LU$14,9,FALSE)</f>
        <v>0</v>
      </c>
      <c r="U33" s="53"/>
      <c r="V33" s="53"/>
      <c r="W33" s="53"/>
      <c r="X33" s="218"/>
      <c r="Y33" s="53"/>
      <c r="Z33" s="236" t="str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/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0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0</v>
      </c>
      <c r="LO35" s="71">
        <f>IF(AND(E53&lt;&gt;"",G53&lt;&gt;""),1,0)+IF(AND(E55&lt;&gt;"",G55&lt;&gt;""),1,0)+IF(AND(E56&lt;&gt;"",G56&lt;&gt;""),1,0)</f>
        <v>0</v>
      </c>
      <c r="LP35" s="71">
        <f>IF(OR(E53="",G53=""),0,IF(E53&gt;G53,1,0))+IF(OR(E55="",G55=""),0,IF(E55&gt;G55,1,0))+IF(OR(G56="",E56=""),0,IF(G56&gt;E56,1,0))</f>
        <v>0</v>
      </c>
      <c r="LQ35" s="71">
        <f>IF(OR(E53="",G53=""),0,IF(E53=G53,1,0))+IF(OR(E55="",G55=""),0,IF(E55=G55,1,0))+IF(OR(G56="",E56=""),0,IF(G56=E56,1,0))</f>
        <v>0</v>
      </c>
      <c r="LR35" s="71">
        <f>IF(OR(E53="",G53=""),0,IF(E53&lt;G53,1,0))+IF(OR(E55="",G55=""),0,IF(E55&lt;G55,1,0))+IF(OR(G56="",E56=""),0,IF(G56&lt;E56,1,0))</f>
        <v>0</v>
      </c>
      <c r="LS35" s="71">
        <f>E53+E55+G56</f>
        <v>0</v>
      </c>
      <c r="LT35" s="71">
        <f>G53+G55+E56</f>
        <v>0</v>
      </c>
      <c r="LU35" s="71">
        <f t="shared" ref="LU35:LU38" si="36">LS35-LT35</f>
        <v>0</v>
      </c>
      <c r="LV35" s="70">
        <f t="shared" ref="LV35:LV38" si="37">LN35</f>
        <v>0</v>
      </c>
      <c r="LW35" s="70">
        <f t="shared" ref="LW35:LW38" si="38">LU35/10</f>
        <v>0</v>
      </c>
      <c r="LX35" s="70">
        <f t="shared" ref="LX35:LX38" si="39">LS35/100</f>
        <v>0</v>
      </c>
      <c r="LY35" s="70">
        <f t="shared" ref="LY35:LY38" si="40">SUM(LV35:LX35)</f>
        <v>0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0</v>
      </c>
      <c r="MD35" s="70">
        <f>RANK($MC$35,$MC$35:$MC$38,0)</f>
        <v>1</v>
      </c>
      <c r="ME35" s="70">
        <f>MD35</f>
        <v>1</v>
      </c>
      <c r="MF35" s="70">
        <v>1.0</v>
      </c>
      <c r="MG35" s="70">
        <f t="shared" ref="MG35:MG38" si="42">MATCH(MF35,$ME$35:$ME$38,0)</f>
        <v>1</v>
      </c>
      <c r="MH35" s="70" t="str">
        <f t="shared" ref="MH35:MH38" si="43">INDEX($LM$35:$LM$38,MG35)</f>
        <v>Espanha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239"/>
      <c r="F36" s="106" t="s">
        <v>72</v>
      </c>
      <c r="G36" s="240"/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 t="str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/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0</v>
      </c>
      <c r="LO36" s="71">
        <f>IF(AND(E53&lt;&gt;"",G53&lt;&gt;""),1,0)+IF(AND(E54&lt;&gt;"",G54&lt;&gt;""),1,0)+IF(AND(E57&lt;&gt;"",G57&lt;&gt;""),1,0)</f>
        <v>0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0</v>
      </c>
      <c r="LS36" s="71">
        <f>G53+G54+E57</f>
        <v>0</v>
      </c>
      <c r="LT36" s="71">
        <f>E53+E54+G57</f>
        <v>0</v>
      </c>
      <c r="LU36" s="71">
        <f t="shared" si="36"/>
        <v>0</v>
      </c>
      <c r="LV36" s="70">
        <f t="shared" si="37"/>
        <v>0</v>
      </c>
      <c r="LW36" s="70">
        <f t="shared" si="38"/>
        <v>0</v>
      </c>
      <c r="LX36" s="70">
        <f t="shared" si="39"/>
        <v>0</v>
      </c>
      <c r="LY36" s="70">
        <f t="shared" si="40"/>
        <v>0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0</v>
      </c>
      <c r="MD36" s="70">
        <f>RANK($MC$36,$MC$35:$MC$38,0)</f>
        <v>1</v>
      </c>
      <c r="ME36" s="70">
        <f>IF(OR(AND(MD35=MD36,MD35=MD37,MD35=MD38),AND(MD36=MD35,MD36=MD37),AND(MD36=MD35,MD36=MD38),MD36=MD35),MD36+1,MD36)</f>
        <v>2</v>
      </c>
      <c r="MF36" s="70">
        <v>2.0</v>
      </c>
      <c r="MG36" s="70">
        <f t="shared" si="42"/>
        <v>2</v>
      </c>
      <c r="MH36" s="70" t="str">
        <f t="shared" si="43"/>
        <v>Costa Rica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239"/>
      <c r="F37" s="106" t="s">
        <v>72</v>
      </c>
      <c r="G37" s="240"/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 t="str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/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0</v>
      </c>
      <c r="LO37" s="71">
        <f>IF(AND(E52&lt;&gt;"",G52&lt;&gt;""),1,0)+IF(AND(E55&lt;&gt;"",G55&lt;&gt;""),1,0)+IF(AND(E57&lt;&gt;"",G57&lt;&gt;""),1,0)</f>
        <v>0</v>
      </c>
      <c r="LP37" s="71">
        <f>IF(OR(E52="",G52=""),0,IF(E52&gt;G52,1,0))+IF(OR(G55="",E55=""),0,IF(G55&gt;E55,1,0))+IF(OR(G57="",E57=""),0,IF(G57&gt;E57,1,0))</f>
        <v>0</v>
      </c>
      <c r="LQ37" s="71">
        <f>IF(OR(E52="",G52=""),0,IF(E52=G52,1,0))+IF(OR(G55="",E55=""),0,IF(G55=E55,1,0))+IF(OR(G57="",E57=""),0,IF(G57=E57,1,0))</f>
        <v>0</v>
      </c>
      <c r="LR37" s="71">
        <f>IF(OR(E52="",G52=""),0,IF(E52&lt;G52,1,0))+IF(OR(G55="",E55=""),0,IF(G55&lt;E55,1,0))+IF(OR(G57="",E57=""),0,IF(G57&lt;E57,1,0))</f>
        <v>0</v>
      </c>
      <c r="LS37" s="71">
        <f>E52+G55+G57</f>
        <v>0</v>
      </c>
      <c r="LT37" s="71">
        <f>G52+E55+E57</f>
        <v>0</v>
      </c>
      <c r="LU37" s="71">
        <f t="shared" si="36"/>
        <v>0</v>
      </c>
      <c r="LV37" s="70">
        <f t="shared" si="37"/>
        <v>0</v>
      </c>
      <c r="LW37" s="70">
        <f t="shared" si="38"/>
        <v>0</v>
      </c>
      <c r="LX37" s="70">
        <f t="shared" si="39"/>
        <v>0</v>
      </c>
      <c r="LY37" s="70">
        <f t="shared" si="40"/>
        <v>0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0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3</v>
      </c>
      <c r="MF37" s="70">
        <v>3.0</v>
      </c>
      <c r="MG37" s="70">
        <f t="shared" si="42"/>
        <v>3</v>
      </c>
      <c r="MH37" s="70" t="str">
        <f t="shared" si="43"/>
        <v>Alemanha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241"/>
      <c r="F38" s="115" t="s">
        <v>72</v>
      </c>
      <c r="G38" s="242"/>
      <c r="H38" s="117"/>
      <c r="I38" s="96" t="s">
        <v>75</v>
      </c>
      <c r="J38" s="97" t="s">
        <v>99</v>
      </c>
      <c r="K38" s="109"/>
      <c r="L38" s="118" t="str">
        <f>'Nome Palpiteiro'!MH19</f>
        <v>Argentina</v>
      </c>
      <c r="M38" s="119">
        <f>VLOOKUP(L38,'Nome Palpiteiro'!$LM$19:$LU$22,2,FALSE)</f>
        <v>0</v>
      </c>
      <c r="N38" s="120">
        <f>VLOOKUP(L38,'Nome Palpiteiro'!$LM$19:$LU$22,3,FALSE)</f>
        <v>0</v>
      </c>
      <c r="O38" s="120">
        <f>VLOOKUP(L38,'Nome Palpiteiro'!$LM$19:$LU$22,4,FALSE)</f>
        <v>0</v>
      </c>
      <c r="P38" s="120">
        <f>VLOOKUP(L38,'Nome Palpiteiro'!$LM$19:$LU$22,5,FALSE)</f>
        <v>0</v>
      </c>
      <c r="Q38" s="120">
        <f>VLOOKUP(L38,'Nome Palpiteiro'!$LM$19:$LU$22,6,FALSE)</f>
        <v>0</v>
      </c>
      <c r="R38" s="120">
        <f>VLOOKUP(L38,'Nome Palpiteiro'!$LM$19:$LU$22,7,FALSE)</f>
        <v>0</v>
      </c>
      <c r="S38" s="120">
        <f>VLOOKUP(L38,'Nome Palpiteiro'!$LM$19:$LU$22,8,FALSE)</f>
        <v>0</v>
      </c>
      <c r="T38" s="121">
        <f>VLOOKUP(L38,'Nome Palpiteiro'!$LM$19:$LU$22,9,FALSE)</f>
        <v>0</v>
      </c>
      <c r="U38" s="53"/>
      <c r="V38" s="59" t="s">
        <v>78</v>
      </c>
      <c r="W38" s="122" t="str">
        <f t="shared" ref="W38:W39" si="44">IF(N38&lt;&gt;3,"",L38)</f>
        <v/>
      </c>
      <c r="X38" s="236" t="str">
        <f>IF(AND(W38&lt;&gt;"",'Resultado Oficial'!W38&lt;&gt;"",'Resultado Oficial'!W39&lt;&gt;""),IF(W38='Resultado Oficial'!W38,5,IF(W38='Resultado Oficial'!W39,2,0)),"")</f>
        <v/>
      </c>
      <c r="Y38" s="53"/>
      <c r="Z38" s="236" t="str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/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0</v>
      </c>
      <c r="LO38" s="71">
        <f>IF(AND(E52&lt;&gt;"",G52&lt;&gt;""),1,0)+IF(AND(E54&lt;&gt;"",G54&lt;&gt;""),1,0)+IF(AND(E56&lt;&gt;"",G56&lt;&gt;""),1,0)</f>
        <v>0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0</v>
      </c>
      <c r="LS38" s="71">
        <f>G52+E54+E56</f>
        <v>0</v>
      </c>
      <c r="LT38" s="71">
        <f>E52+G54+G56</f>
        <v>0</v>
      </c>
      <c r="LU38" s="71">
        <f t="shared" si="36"/>
        <v>0</v>
      </c>
      <c r="LV38" s="70">
        <f t="shared" si="37"/>
        <v>0</v>
      </c>
      <c r="LW38" s="70">
        <f t="shared" si="38"/>
        <v>0</v>
      </c>
      <c r="LX38" s="70">
        <f t="shared" si="39"/>
        <v>0</v>
      </c>
      <c r="LY38" s="70">
        <f t="shared" si="40"/>
        <v>0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0</v>
      </c>
      <c r="MD38" s="70">
        <f>RANK($MC$38,$MC$35:$MC$38,0)</f>
        <v>1</v>
      </c>
      <c r="ME38" s="70">
        <f>IF(AND(MD35=MD36,MD35=MD37,MD35=MD38),MD38+3,IF(OR(AND(MD38=MD37,MD38=MD36),AND(MD38=MD36,MD38=MD35)),MD38+2,IF(OR(MD38=MD37,MD38=MD36,MD38=MD35),MD38+1,MD38)))</f>
        <v>4</v>
      </c>
      <c r="MF38" s="70">
        <v>4.0</v>
      </c>
      <c r="MG38" s="70">
        <f t="shared" si="42"/>
        <v>4</v>
      </c>
      <c r="MH38" s="70" t="str">
        <f t="shared" si="43"/>
        <v>Japão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239"/>
      <c r="F39" s="106" t="s">
        <v>72</v>
      </c>
      <c r="G39" s="240"/>
      <c r="H39" s="108"/>
      <c r="I39" s="96" t="s">
        <v>77</v>
      </c>
      <c r="J39" s="97" t="s">
        <v>94</v>
      </c>
      <c r="K39" s="109"/>
      <c r="L39" s="118" t="str">
        <f>'Nome Palpiteiro'!MH20</f>
        <v>Arábia Saudita</v>
      </c>
      <c r="M39" s="119">
        <f>VLOOKUP(L39,'Nome Palpiteiro'!$LM$19:$LU$22,2,FALSE)</f>
        <v>0</v>
      </c>
      <c r="N39" s="120">
        <f>VLOOKUP(L39,'Nome Palpiteiro'!$LM$19:$LU$22,3,FALSE)</f>
        <v>0</v>
      </c>
      <c r="O39" s="120">
        <f>VLOOKUP(L39,'Nome Palpiteiro'!$LM$19:$LU$22,4,FALSE)</f>
        <v>0</v>
      </c>
      <c r="P39" s="120">
        <f>VLOOKUP(L39,'Nome Palpiteiro'!$LM$19:$LU$22,5,FALSE)</f>
        <v>0</v>
      </c>
      <c r="Q39" s="120">
        <f>VLOOKUP(L39,'Nome Palpiteiro'!$LM$19:$LU$22,6,FALSE)</f>
        <v>0</v>
      </c>
      <c r="R39" s="120">
        <f>VLOOKUP(L39,'Nome Palpiteiro'!$LM$19:$LU$22,7,FALSE)</f>
        <v>0</v>
      </c>
      <c r="S39" s="120">
        <f>VLOOKUP(L39,'Nome Palpiteiro'!$LM$19:$LU$22,8,FALSE)</f>
        <v>0</v>
      </c>
      <c r="T39" s="121">
        <f>VLOOKUP(L39,'Nome Palpiteiro'!$LM$19:$LU$22,9,FALSE)</f>
        <v>0</v>
      </c>
      <c r="U39" s="53"/>
      <c r="V39" s="59" t="s">
        <v>81</v>
      </c>
      <c r="W39" s="122" t="str">
        <f t="shared" si="44"/>
        <v/>
      </c>
      <c r="X39" s="236" t="str">
        <f>IF(AND(W39&lt;&gt;"",'Resultado Oficial'!W38&lt;&gt;"",'Resultado Oficial'!W39&lt;&gt;""),IF(W39='Resultado Oficial'!W39,5,IF(W39='Resultado Oficial'!W38,2,0)),"")</f>
        <v/>
      </c>
      <c r="Y39" s="53"/>
      <c r="Z39" s="236" t="str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/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239"/>
      <c r="F40" s="106" t="s">
        <v>72</v>
      </c>
      <c r="G40" s="240"/>
      <c r="H40" s="108"/>
      <c r="I40" s="96" t="s">
        <v>71</v>
      </c>
      <c r="J40" s="97" t="s">
        <v>97</v>
      </c>
      <c r="K40" s="109"/>
      <c r="L40" s="118" t="str">
        <f>'Nome Palpiteiro'!MH21</f>
        <v>México</v>
      </c>
      <c r="M40" s="119">
        <f>VLOOKUP(L40,'Nome Palpiteiro'!$LM$19:$LU$22,2,FALSE)</f>
        <v>0</v>
      </c>
      <c r="N40" s="120">
        <f>VLOOKUP(L40,'Nome Palpiteiro'!$LM$19:$LU$22,3,FALSE)</f>
        <v>0</v>
      </c>
      <c r="O40" s="120">
        <f>VLOOKUP(L40,'Nome Palpiteiro'!$LM$19:$LU$22,4,FALSE)</f>
        <v>0</v>
      </c>
      <c r="P40" s="120">
        <f>VLOOKUP(L40,'Nome Palpiteiro'!$LM$19:$LU$22,5,FALSE)</f>
        <v>0</v>
      </c>
      <c r="Q40" s="120">
        <f>VLOOKUP(L40,'Nome Palpiteiro'!$LM$19:$LU$22,6,FALSE)</f>
        <v>0</v>
      </c>
      <c r="R40" s="120">
        <f>VLOOKUP(L40,'Nome Palpiteiro'!$LM$19:$LU$22,7,FALSE)</f>
        <v>0</v>
      </c>
      <c r="S40" s="120">
        <f>VLOOKUP(L40,'Nome Palpiteiro'!$LM$19:$LU$22,8,FALSE)</f>
        <v>0</v>
      </c>
      <c r="T40" s="121">
        <f>VLOOKUP(L40,'Nome Palpiteiro'!$LM$19:$LU$22,9,FALSE)</f>
        <v>0</v>
      </c>
      <c r="U40" s="53"/>
      <c r="V40" s="53"/>
      <c r="W40" s="53"/>
      <c r="X40" s="218"/>
      <c r="Y40" s="53"/>
      <c r="Z40" s="236" t="str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/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239"/>
      <c r="F41" s="106" t="s">
        <v>72</v>
      </c>
      <c r="G41" s="240"/>
      <c r="H41" s="108"/>
      <c r="I41" s="96" t="s">
        <v>77</v>
      </c>
      <c r="J41" s="97" t="s">
        <v>94</v>
      </c>
      <c r="K41" s="123"/>
      <c r="L41" s="124" t="str">
        <f>'Nome Palpiteiro'!MH22</f>
        <v>Polônia</v>
      </c>
      <c r="M41" s="125">
        <f>VLOOKUP(L41,'Nome Palpiteiro'!$LM$19:$LU$22,2,FALSE)</f>
        <v>0</v>
      </c>
      <c r="N41" s="126">
        <f>VLOOKUP(L41,'Nome Palpiteiro'!$LM$19:$LU$22,3,FALSE)</f>
        <v>0</v>
      </c>
      <c r="O41" s="126">
        <f>VLOOKUP(L41,'Nome Palpiteiro'!$LM$19:$LU$22,4,FALSE)</f>
        <v>0</v>
      </c>
      <c r="P41" s="126">
        <f>VLOOKUP(L41,'Nome Palpiteiro'!$LM$19:$LU$22,5,FALSE)</f>
        <v>0</v>
      </c>
      <c r="Q41" s="126">
        <f>VLOOKUP(L41,'Nome Palpiteiro'!$LM$19:$LU$22,6,FALSE)</f>
        <v>0</v>
      </c>
      <c r="R41" s="126">
        <f>VLOOKUP(L41,'Nome Palpiteiro'!$LM$19:$LU$22,7,FALSE)</f>
        <v>0</v>
      </c>
      <c r="S41" s="126">
        <f>VLOOKUP(L41,'Nome Palpiteiro'!$LM$19:$LU$22,8,FALSE)</f>
        <v>0</v>
      </c>
      <c r="T41" s="127">
        <f>VLOOKUP(L41,'Nome Palpiteiro'!$LM$19:$LU$22,9,FALSE)</f>
        <v>0</v>
      </c>
      <c r="U41" s="53"/>
      <c r="V41" s="53"/>
      <c r="W41" s="53"/>
      <c r="X41" s="218"/>
      <c r="Y41" s="53"/>
      <c r="Z41" s="236" t="str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/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0</v>
      </c>
      <c r="LO43" s="71">
        <f>IF(AND(E61&lt;&gt;"",G61&lt;&gt;""),1,0)+IF(AND(E62&lt;&gt;"",G62&lt;&gt;""),1,0)+IF(AND(E64&lt;&gt;"",G64&lt;&gt;""),1,0)</f>
        <v>0</v>
      </c>
      <c r="LP43" s="71">
        <f>IF(OR(E61="",G61=""),0,IF(E61&gt;G61,1,0))+IF(OR(E62="",G62=""),0,IF(E62&gt;G62,1,0))+IF(OR(G64="",E64=""),0,IF(G64&gt;E64,1,0))</f>
        <v>0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0</v>
      </c>
      <c r="LT43" s="71">
        <f>G61+G62+E64</f>
        <v>0</v>
      </c>
      <c r="LU43" s="71">
        <f t="shared" ref="LU43:LU46" si="45">LS43-LT43</f>
        <v>0</v>
      </c>
      <c r="LV43" s="70">
        <f t="shared" ref="LV43:LV46" si="46">LN43</f>
        <v>0</v>
      </c>
      <c r="LW43" s="70">
        <f t="shared" ref="LW43:LW46" si="47">LU43/10</f>
        <v>0</v>
      </c>
      <c r="LX43" s="70">
        <f t="shared" ref="LX43:LX46" si="48">LS43/100</f>
        <v>0</v>
      </c>
      <c r="LY43" s="70">
        <f t="shared" ref="LY43:LY46" si="49">SUM(LV43:LX43)</f>
        <v>0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0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239"/>
      <c r="F44" s="106" t="s">
        <v>72</v>
      </c>
      <c r="G44" s="240"/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 t="str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/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0</v>
      </c>
      <c r="LO44" s="71">
        <f>IF(AND(E61&lt;&gt;"",G61&lt;&gt;""),1,0)+IF(AND(E63&lt;&gt;"",G63&lt;&gt;""),1,0)+IF(AND(E65&lt;&gt;"",G65&lt;&gt;""),1,0)</f>
        <v>0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0</v>
      </c>
      <c r="LR44" s="71">
        <f>IF(OR(G61="",E61=""),0,IF(G61&lt;E61,1,0))+IF(OR(G63="",E63=""),0,IF(G63&lt;E63,1,0))+IF(OR(E65="",G65=""),0,IF(E65&lt;G65,1,0))</f>
        <v>0</v>
      </c>
      <c r="LS44" s="71">
        <f>G61+G63+E65</f>
        <v>0</v>
      </c>
      <c r="LT44" s="71">
        <f>E61+E63+G65</f>
        <v>0</v>
      </c>
      <c r="LU44" s="71">
        <f t="shared" si="45"/>
        <v>0</v>
      </c>
      <c r="LV44" s="70">
        <f t="shared" si="46"/>
        <v>0</v>
      </c>
      <c r="LW44" s="70">
        <f t="shared" si="47"/>
        <v>0</v>
      </c>
      <c r="LX44" s="70">
        <f t="shared" si="48"/>
        <v>0</v>
      </c>
      <c r="LY44" s="70">
        <f t="shared" si="49"/>
        <v>0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</v>
      </c>
      <c r="MD44" s="70">
        <f>RANK($MC$44,$MC$43:$MC$46,0)</f>
        <v>1</v>
      </c>
      <c r="ME44" s="70">
        <f>IF(OR(AND(MD43=MD44,MD43=MD45,MD43=MD46),AND(MD44=MD43,MD44=MD45),AND(MD44=MD43,MD44=MD46),MD44=MD43),MD44+1,MD44)</f>
        <v>2</v>
      </c>
      <c r="MF44" s="70">
        <v>2.0</v>
      </c>
      <c r="MG44" s="70">
        <f t="shared" si="51"/>
        <v>2</v>
      </c>
      <c r="MH44" s="70" t="str">
        <f t="shared" si="52"/>
        <v>Canadá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239"/>
      <c r="F45" s="106" t="s">
        <v>72</v>
      </c>
      <c r="G45" s="240"/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 t="str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/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0</v>
      </c>
      <c r="LO45" s="71">
        <f>IF(AND(E60&lt;&gt;"",G60&lt;&gt;""),1,0)+IF(AND(E62&lt;&gt;"",G62&lt;&gt;""),1,0)+IF(AND(E65&lt;&gt;"",G65&lt;&gt;""),1,0)</f>
        <v>0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0</v>
      </c>
      <c r="LS45" s="71">
        <f>E60+G62+G65</f>
        <v>0</v>
      </c>
      <c r="LT45" s="71">
        <f>G60+E62+E65</f>
        <v>0</v>
      </c>
      <c r="LU45" s="71">
        <f t="shared" si="45"/>
        <v>0</v>
      </c>
      <c r="LV45" s="70">
        <f t="shared" si="46"/>
        <v>0</v>
      </c>
      <c r="LW45" s="70">
        <f t="shared" si="47"/>
        <v>0</v>
      </c>
      <c r="LX45" s="70">
        <f t="shared" si="48"/>
        <v>0</v>
      </c>
      <c r="LY45" s="70">
        <f t="shared" si="49"/>
        <v>0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0</v>
      </c>
      <c r="MD45" s="70">
        <f>RANK($MC$45,$MC$43:$MC$46,0)</f>
        <v>1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241"/>
      <c r="F46" s="115" t="s">
        <v>72</v>
      </c>
      <c r="G46" s="242"/>
      <c r="H46" s="117"/>
      <c r="I46" s="96" t="s">
        <v>87</v>
      </c>
      <c r="J46" s="97" t="s">
        <v>106</v>
      </c>
      <c r="K46" s="109"/>
      <c r="L46" s="118" t="str">
        <f>'Nome Palpiteiro'!MH27</f>
        <v>França</v>
      </c>
      <c r="M46" s="119">
        <f>VLOOKUP(L46,'Nome Palpiteiro'!$LM$27:$LU$30,2,FALSE)</f>
        <v>0</v>
      </c>
      <c r="N46" s="120">
        <f>VLOOKUP(L46,'Nome Palpiteiro'!$LM$27:$LU$30,3,FALSE)</f>
        <v>0</v>
      </c>
      <c r="O46" s="120">
        <f>VLOOKUP(L46,'Nome Palpiteiro'!$LM$27:$LU$30,4,FALSE)</f>
        <v>0</v>
      </c>
      <c r="P46" s="120">
        <f>VLOOKUP(L46,'Nome Palpiteiro'!$LM$27:$LU$30,5,FALSE)</f>
        <v>0</v>
      </c>
      <c r="Q46" s="120">
        <f>VLOOKUP(L46,'Nome Palpiteiro'!$LM$27:$LU$30,6,FALSE)</f>
        <v>0</v>
      </c>
      <c r="R46" s="120">
        <f>VLOOKUP(L46,'Nome Palpiteiro'!$LM$27:$LU$30,7,FALSE)</f>
        <v>0</v>
      </c>
      <c r="S46" s="120">
        <f>VLOOKUP(L46,'Nome Palpiteiro'!$LM$27:$LU$30,8,FALSE)</f>
        <v>0</v>
      </c>
      <c r="T46" s="121">
        <f>VLOOKUP(L46,'Nome Palpiteiro'!$LM$27:$LU$30,9,FALSE)</f>
        <v>0</v>
      </c>
      <c r="U46" s="53"/>
      <c r="V46" s="59" t="s">
        <v>78</v>
      </c>
      <c r="W46" s="122" t="str">
        <f t="shared" ref="W46:W47" si="53">IF(N46&lt;&gt;3,"",L46)</f>
        <v/>
      </c>
      <c r="X46" s="236" t="str">
        <f>IF(AND(W46&lt;&gt;"",'Resultado Oficial'!W46&lt;&gt;"",'Resultado Oficial'!W47&lt;&gt;""),IF(W46='Resultado Oficial'!W46,5,IF(W46='Resultado Oficial'!W47,2,0)),"")</f>
        <v/>
      </c>
      <c r="Y46" s="53"/>
      <c r="Z46" s="236" t="str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/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0</v>
      </c>
      <c r="LO46" s="71">
        <f>IF(AND(E60&lt;&gt;"",G60&lt;&gt;""),1,0)+IF(AND(E63&lt;&gt;"",G63&lt;&gt;""),1,0)+IF(AND(E64&lt;&gt;"",G64&lt;&gt;""),1,0)</f>
        <v>0</v>
      </c>
      <c r="LP46" s="71">
        <f>IF(OR(G60="",E60=""),0,IF(G60&gt;E60,1,0))+IF(OR(E63="",G63=""),0,IF(E63&gt;G63,1,0))+IF(OR(E64="",G64=""),0,IF(E64&gt;G64,1,0))</f>
        <v>0</v>
      </c>
      <c r="LQ46" s="71">
        <f>IF(OR(G60="",E60=""),0,IF(G60=E60,1,0))+IF(OR(E63="",G63=""),0,IF(E63=G63,1,0))+IF(OR(E64="",G64=""),0,IF(E64=G64,1,0))</f>
        <v>0</v>
      </c>
      <c r="LR46" s="71">
        <f>IF(OR(G60="",E60=""),0,IF(G60&lt;E60,1,0))+IF(OR(E63="",G63=""),0,IF(E63&lt;G63,1,0))+IF(OR(E64="",G64=""),0,IF(E64&lt;G64,1,0))</f>
        <v>0</v>
      </c>
      <c r="LS46" s="71">
        <f>G60+E63+E64</f>
        <v>0</v>
      </c>
      <c r="LT46" s="71">
        <f>E60+G63+G64</f>
        <v>0</v>
      </c>
      <c r="LU46" s="71">
        <f t="shared" si="45"/>
        <v>0</v>
      </c>
      <c r="LV46" s="70">
        <f t="shared" si="46"/>
        <v>0</v>
      </c>
      <c r="LW46" s="70">
        <f t="shared" si="47"/>
        <v>0</v>
      </c>
      <c r="LX46" s="70">
        <f t="shared" si="48"/>
        <v>0</v>
      </c>
      <c r="LY46" s="70">
        <f t="shared" si="49"/>
        <v>0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0</v>
      </c>
      <c r="MD46" s="70">
        <f>RANK($MC$46,$MC$43:$MC$46,0)</f>
        <v>1</v>
      </c>
      <c r="ME46" s="70">
        <f>IF(AND(MD43=MD44,MD43=MD45,MD43=MD46),MD46+3,IF(OR(AND(MD46=MD45,MD46=MD44),AND(MD46=MD44,MD46=MD43)),MD46+2,IF(OR(MD46=MD45,MD46=MD44,MD46=MD43),MD46+1,MD46)))</f>
        <v>4</v>
      </c>
      <c r="MF46" s="70">
        <v>4.0</v>
      </c>
      <c r="MG46" s="70">
        <f t="shared" si="51"/>
        <v>4</v>
      </c>
      <c r="MH46" s="70" t="str">
        <f t="shared" si="52"/>
        <v>Croácia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239"/>
      <c r="F47" s="106" t="s">
        <v>72</v>
      </c>
      <c r="G47" s="240"/>
      <c r="H47" s="108"/>
      <c r="I47" s="96" t="s">
        <v>89</v>
      </c>
      <c r="J47" s="97" t="s">
        <v>97</v>
      </c>
      <c r="K47" s="109"/>
      <c r="L47" s="118" t="str">
        <f>'Nome Palpiteiro'!MH28</f>
        <v>Austrália</v>
      </c>
      <c r="M47" s="119">
        <f>VLOOKUP(L47,'Nome Palpiteiro'!$LM$27:$LU$30,2,FALSE)</f>
        <v>0</v>
      </c>
      <c r="N47" s="120">
        <f>VLOOKUP(L47,'Nome Palpiteiro'!$LM$27:$LU$30,3,FALSE)</f>
        <v>0</v>
      </c>
      <c r="O47" s="120">
        <f>VLOOKUP(L47,'Nome Palpiteiro'!$LM$27:$LU$30,4,FALSE)</f>
        <v>0</v>
      </c>
      <c r="P47" s="120">
        <f>VLOOKUP(L47,'Nome Palpiteiro'!$LM$27:$LU$30,5,FALSE)</f>
        <v>0</v>
      </c>
      <c r="Q47" s="120">
        <f>VLOOKUP(L47,'Nome Palpiteiro'!$LM$27:$LU$30,6,FALSE)</f>
        <v>0</v>
      </c>
      <c r="R47" s="120">
        <f>VLOOKUP(L47,'Nome Palpiteiro'!$LM$27:$LU$30,7,FALSE)</f>
        <v>0</v>
      </c>
      <c r="S47" s="120">
        <f>VLOOKUP(L47,'Nome Palpiteiro'!$LM$27:$LU$30,8,FALSE)</f>
        <v>0</v>
      </c>
      <c r="T47" s="121">
        <f>VLOOKUP(L47,'Nome Palpiteiro'!$LM$27:$LU$30,9,FALSE)</f>
        <v>0</v>
      </c>
      <c r="U47" s="53"/>
      <c r="V47" s="59" t="s">
        <v>81</v>
      </c>
      <c r="W47" s="122" t="str">
        <f t="shared" si="53"/>
        <v/>
      </c>
      <c r="X47" s="236" t="str">
        <f>IF(AND(W47&lt;&gt;"",'Resultado Oficial'!W46&lt;&gt;"",'Resultado Oficial'!W47&lt;&gt;""),IF(W47='Resultado Oficial'!W47,5,IF(W47='Resultado Oficial'!W46,2,0)),"")</f>
        <v/>
      </c>
      <c r="Y47" s="53"/>
      <c r="Z47" s="236" t="str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/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239"/>
      <c r="F48" s="106" t="s">
        <v>72</v>
      </c>
      <c r="G48" s="240"/>
      <c r="H48" s="108"/>
      <c r="I48" s="96" t="s">
        <v>89</v>
      </c>
      <c r="J48" s="97" t="s">
        <v>106</v>
      </c>
      <c r="K48" s="109"/>
      <c r="L48" s="118" t="str">
        <f>'Nome Palpiteiro'!MH29</f>
        <v>Dinamarca</v>
      </c>
      <c r="M48" s="119">
        <f>VLOOKUP(L48,'Nome Palpiteiro'!$LM$27:$LU$30,2,FALSE)</f>
        <v>0</v>
      </c>
      <c r="N48" s="120">
        <f>VLOOKUP(L48,'Nome Palpiteiro'!$LM$27:$LU$30,3,FALSE)</f>
        <v>0</v>
      </c>
      <c r="O48" s="120">
        <f>VLOOKUP(L48,'Nome Palpiteiro'!$LM$27:$LU$30,4,FALSE)</f>
        <v>0</v>
      </c>
      <c r="P48" s="120">
        <f>VLOOKUP(L48,'Nome Palpiteiro'!$LM$27:$LU$30,5,FALSE)</f>
        <v>0</v>
      </c>
      <c r="Q48" s="120">
        <f>VLOOKUP(L48,'Nome Palpiteiro'!$LM$27:$LU$30,6,FALSE)</f>
        <v>0</v>
      </c>
      <c r="R48" s="120">
        <f>VLOOKUP(L48,'Nome Palpiteiro'!$LM$27:$LU$30,7,FALSE)</f>
        <v>0</v>
      </c>
      <c r="S48" s="120">
        <f>VLOOKUP(L48,'Nome Palpiteiro'!$LM$27:$LU$30,8,FALSE)</f>
        <v>0</v>
      </c>
      <c r="T48" s="121">
        <f>VLOOKUP(L48,'Nome Palpiteiro'!$LM$27:$LU$30,9,FALSE)</f>
        <v>0</v>
      </c>
      <c r="U48" s="53"/>
      <c r="V48" s="53"/>
      <c r="W48" s="53"/>
      <c r="X48" s="218"/>
      <c r="Y48" s="53"/>
      <c r="Z48" s="236" t="str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/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239"/>
      <c r="F49" s="106" t="s">
        <v>72</v>
      </c>
      <c r="G49" s="240"/>
      <c r="H49" s="108"/>
      <c r="I49" s="96" t="s">
        <v>85</v>
      </c>
      <c r="J49" s="97" t="s">
        <v>99</v>
      </c>
      <c r="K49" s="123"/>
      <c r="L49" s="124" t="str">
        <f>'Nome Palpiteiro'!MH30</f>
        <v>Tunísia</v>
      </c>
      <c r="M49" s="125">
        <f>VLOOKUP(L49,'Nome Palpiteiro'!$LM$27:$LU$30,2,FALSE)</f>
        <v>0</v>
      </c>
      <c r="N49" s="126">
        <f>VLOOKUP(L49,'Nome Palpiteiro'!$LM$27:$LU$30,3,FALSE)</f>
        <v>0</v>
      </c>
      <c r="O49" s="126">
        <f>VLOOKUP(L49,'Nome Palpiteiro'!$LM$27:$LU$30,4,FALSE)</f>
        <v>0</v>
      </c>
      <c r="P49" s="126">
        <f>VLOOKUP(L49,'Nome Palpiteiro'!$LM$27:$LU$30,5,FALSE)</f>
        <v>0</v>
      </c>
      <c r="Q49" s="126">
        <f>VLOOKUP(L49,'Nome Palpiteiro'!$LM$27:$LU$30,6,FALSE)</f>
        <v>0</v>
      </c>
      <c r="R49" s="126">
        <f>VLOOKUP(L49,'Nome Palpiteiro'!$LM$27:$LU$30,7,FALSE)</f>
        <v>0</v>
      </c>
      <c r="S49" s="126">
        <f>VLOOKUP(L49,'Nome Palpiteiro'!$LM$27:$LU$30,8,FALSE)</f>
        <v>0</v>
      </c>
      <c r="T49" s="127">
        <f>VLOOKUP(L49,'Nome Palpiteiro'!$LM$27:$LU$30,9,FALSE)</f>
        <v>0</v>
      </c>
      <c r="U49" s="53"/>
      <c r="V49" s="53"/>
      <c r="W49" s="53"/>
      <c r="X49" s="218"/>
      <c r="Y49" s="53"/>
      <c r="Z49" s="236" t="str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/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0</v>
      </c>
      <c r="LO51" s="71">
        <f>IF(AND(E69&lt;&gt;"",G69&lt;&gt;""),1,0)+IF(AND(E71&lt;&gt;"",G71&lt;&gt;""),1,0)+IF(AND(E73&lt;&gt;"",G73&lt;&gt;""),1,0)</f>
        <v>0</v>
      </c>
      <c r="LP51" s="71">
        <f>IF(OR(E69="",G69=""),0,IF(E69&gt;G69,1,0))+IF(OR(E71="",G71=""),0,IF(E71&gt;G71,1,0))+IF(OR(G73="",E73=""),0,IF(G73&gt;E73,1,0))</f>
        <v>0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0</v>
      </c>
      <c r="LT51" s="71">
        <f>G69+G71+E73</f>
        <v>0</v>
      </c>
      <c r="LU51" s="71">
        <f t="shared" ref="LU51:LU54" si="54">LS51-LT51</f>
        <v>0</v>
      </c>
      <c r="LV51" s="70">
        <f t="shared" ref="LV51:LV54" si="55">LN51</f>
        <v>0</v>
      </c>
      <c r="LW51" s="70">
        <f t="shared" ref="LW51:LW54" si="56">LU51/10</f>
        <v>0</v>
      </c>
      <c r="LX51" s="70">
        <f t="shared" ref="LX51:LX54" si="57">LS51/100</f>
        <v>0</v>
      </c>
      <c r="LY51" s="70">
        <f t="shared" ref="LY51:LY54" si="58">SUM(LV51:LX51)</f>
        <v>0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0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239"/>
      <c r="F52" s="106" t="s">
        <v>72</v>
      </c>
      <c r="G52" s="240"/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 t="str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/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0</v>
      </c>
      <c r="LO52" s="71">
        <f>IF(AND(E69&lt;&gt;"",G69&lt;&gt;""),1,0)+IF(AND(E70&lt;&gt;"",G70&lt;&gt;""),1,0)+IF(AND(E72&lt;&gt;"",G72&lt;&gt;""),1,0)</f>
        <v>0</v>
      </c>
      <c r="LP52" s="71">
        <f>IF(OR(G69="",E69=""),0,IF(G69&gt;E69,1,0))+IF(OR(G70="",E70=""),0,IF(G70&gt;E70,1,0))+IF(OR(E72="",G72=""),0,IF(E72&gt;G72,1,0))</f>
        <v>0</v>
      </c>
      <c r="LQ52" s="71">
        <f>IF(OR(G69="",E69=""),0,IF(G69=E69,1,0))+IF(OR(G70="",E70=""),0,IF(G70=E70,1,0))+IF(OR(E72="",G72=""),0,IF(E72=G72,1,0))</f>
        <v>0</v>
      </c>
      <c r="LR52" s="71">
        <f>IF(OR(G69="",E69=""),0,IF(G69&lt;E69,1,0))+IF(OR(G70="",E70=""),0,IF(G70&lt;E70,1,0))+IF(OR(E72="",G72=""),0,IF(E72&lt;G72,1,0))</f>
        <v>0</v>
      </c>
      <c r="LS52" s="71">
        <f>G69+G70+E72</f>
        <v>0</v>
      </c>
      <c r="LT52" s="71">
        <f>E69+E70+G72</f>
        <v>0</v>
      </c>
      <c r="LU52" s="71">
        <f t="shared" si="54"/>
        <v>0</v>
      </c>
      <c r="LV52" s="70">
        <f t="shared" si="55"/>
        <v>0</v>
      </c>
      <c r="LW52" s="70">
        <f t="shared" si="56"/>
        <v>0</v>
      </c>
      <c r="LX52" s="70">
        <f t="shared" si="57"/>
        <v>0</v>
      </c>
      <c r="LY52" s="70">
        <f t="shared" si="58"/>
        <v>0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0</v>
      </c>
      <c r="MD52" s="70">
        <f>RANK($MC$52,$MC$51:$MC$54,0)</f>
        <v>1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239"/>
      <c r="F53" s="106" t="s">
        <v>72</v>
      </c>
      <c r="G53" s="240"/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 t="str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/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0</v>
      </c>
      <c r="LO53" s="71">
        <f>IF(AND(E68&lt;&gt;"",G68&lt;&gt;""),1,0)+IF(AND(E71&lt;&gt;"",G71&lt;&gt;""),1,0)+IF(AND(E72&lt;&gt;"",G72&lt;&gt;""),1,0)</f>
        <v>0</v>
      </c>
      <c r="LP53" s="71">
        <f>IF(OR(E68="",G68=""),0,IF(E68&gt;G68,1,0))+IF(OR(G71="",E71=""),0,IF(G71&gt;E71,1,0))+IF(OR(G72="",E72=""),0,IF(G72&gt;E72,1,0))</f>
        <v>0</v>
      </c>
      <c r="LQ53" s="71">
        <f>IF(OR(E68="",G68=""),0,IF(E68=G68,1,0))+IF(OR(G71="",E71=""),0,IF(G71=E71,1,0))+IF(OR(G72="",E72=""),0,IF(G72=E72,1,0))</f>
        <v>0</v>
      </c>
      <c r="LR53" s="71">
        <f>IF(OR(E68="",G68=""),0,IF(E68&lt;G68,1,0))+IF(OR(G71="",E71=""),0,IF(G71&lt;E71,1,0))+IF(OR(G72="",E72=""),0,IF(G72&lt;E72,1,0))</f>
        <v>0</v>
      </c>
      <c r="LS53" s="71">
        <f>E68+G71+G72</f>
        <v>0</v>
      </c>
      <c r="LT53" s="71">
        <f>G68+E71+E72</f>
        <v>0</v>
      </c>
      <c r="LU53" s="71">
        <f t="shared" si="54"/>
        <v>0</v>
      </c>
      <c r="LV53" s="70">
        <f t="shared" si="55"/>
        <v>0</v>
      </c>
      <c r="LW53" s="70">
        <f t="shared" si="56"/>
        <v>0</v>
      </c>
      <c r="LX53" s="70">
        <f t="shared" si="57"/>
        <v>0</v>
      </c>
      <c r="LY53" s="70">
        <f t="shared" si="58"/>
        <v>0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0</v>
      </c>
      <c r="MD53" s="70">
        <f>RANK($MC$53,$MC$51:$MC$54,0)</f>
        <v>1</v>
      </c>
      <c r="ME53" s="70">
        <f>IF(OR(AND(MD51=MD52,MD51=MD53,MD51=MD54),AND(MD53=MD51,MD53=MD52)),MD53+2,IF(OR(AND(MD53=MD52,MD53=MD54),MD53=MD51,MD53=MD52),MD53+1,MD53))</f>
        <v>3</v>
      </c>
      <c r="MF53" s="70">
        <v>3.0</v>
      </c>
      <c r="MG53" s="70">
        <f t="shared" si="60"/>
        <v>3</v>
      </c>
      <c r="MH53" s="70" t="str">
        <f t="shared" si="61"/>
        <v>Suiça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241"/>
      <c r="F54" s="115" t="s">
        <v>72</v>
      </c>
      <c r="G54" s="242"/>
      <c r="H54" s="117"/>
      <c r="I54" s="96" t="s">
        <v>96</v>
      </c>
      <c r="J54" s="97" t="s">
        <v>115</v>
      </c>
      <c r="K54" s="109"/>
      <c r="L54" s="118" t="str">
        <f>'Nome Palpiteiro'!MH35</f>
        <v>Espanha</v>
      </c>
      <c r="M54" s="119">
        <f>VLOOKUP(L54,'Nome Palpiteiro'!$LM$35:$LU$38,2,FALSE)</f>
        <v>0</v>
      </c>
      <c r="N54" s="120">
        <f>VLOOKUP(L54,'Nome Palpiteiro'!$LM$35:$LU$38,3,FALSE)</f>
        <v>0</v>
      </c>
      <c r="O54" s="120">
        <f>VLOOKUP(L54,'Nome Palpiteiro'!$LM$35:$LU$38,4,FALSE)</f>
        <v>0</v>
      </c>
      <c r="P54" s="120">
        <f>VLOOKUP(L54,'Nome Palpiteiro'!$LM$35:$LU$38,5,FALSE)</f>
        <v>0</v>
      </c>
      <c r="Q54" s="120">
        <f>VLOOKUP(L54,'Nome Palpiteiro'!$LM$35:$LU$38,6,FALSE)</f>
        <v>0</v>
      </c>
      <c r="R54" s="120">
        <f>VLOOKUP(L54,'Nome Palpiteiro'!$LM$35:$LU$38,7,FALSE)</f>
        <v>0</v>
      </c>
      <c r="S54" s="120">
        <f>VLOOKUP(L54,'Nome Palpiteiro'!$LM$35:$LU$38,8,FALSE)</f>
        <v>0</v>
      </c>
      <c r="T54" s="121">
        <f>VLOOKUP(L54,'Nome Palpiteiro'!$LM$35:$LU$38,9,FALSE)</f>
        <v>0</v>
      </c>
      <c r="U54" s="53"/>
      <c r="V54" s="59" t="s">
        <v>78</v>
      </c>
      <c r="W54" s="122" t="str">
        <f t="shared" ref="W54:W55" si="62">IF(N54&lt;&gt;3,"",L54)</f>
        <v/>
      </c>
      <c r="X54" s="236" t="str">
        <f>IF(AND(W54&lt;&gt;"",'Resultado Oficial'!W54&lt;&gt;"",'Resultado Oficial'!W55&lt;&gt;""),IF(W54='Resultado Oficial'!W54,5,IF(W54='Resultado Oficial'!W55,2,0)),"")</f>
        <v/>
      </c>
      <c r="Y54" s="53"/>
      <c r="Z54" s="236" t="str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/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0</v>
      </c>
      <c r="LO54" s="71">
        <f>IF(AND(E68&lt;&gt;"",G68&lt;&gt;""),1,0)+IF(AND(E70&lt;&gt;"",G70&lt;&gt;""),1,0)+IF(AND(E73&lt;&gt;"",G73&lt;&gt;""),1,0)</f>
        <v>0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0</v>
      </c>
      <c r="LR54" s="71">
        <f>IF(OR(G68="",E68=""),0,IF(G68&lt;E68,1,0))+IF(OR(E70="",G70=""),0,IF(E70&lt;G70,1,0))+IF(OR(E73="",G73=""),0,IF(E73&lt;G73,1,0))</f>
        <v>0</v>
      </c>
      <c r="LS54" s="71">
        <f>G68+E70+E73</f>
        <v>0</v>
      </c>
      <c r="LT54" s="71">
        <f>E68+G70+G73</f>
        <v>0</v>
      </c>
      <c r="LU54" s="71">
        <f t="shared" si="54"/>
        <v>0</v>
      </c>
      <c r="LV54" s="70">
        <f t="shared" si="55"/>
        <v>0</v>
      </c>
      <c r="LW54" s="70">
        <f t="shared" si="56"/>
        <v>0</v>
      </c>
      <c r="LX54" s="70">
        <f t="shared" si="57"/>
        <v>0</v>
      </c>
      <c r="LY54" s="70">
        <f t="shared" si="58"/>
        <v>0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0</v>
      </c>
      <c r="MD54" s="70">
        <f>RANK($MC$54,$MC$51:$MC$54,0)</f>
        <v>1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239"/>
      <c r="F55" s="106" t="s">
        <v>72</v>
      </c>
      <c r="G55" s="240"/>
      <c r="H55" s="108"/>
      <c r="I55" s="96" t="s">
        <v>98</v>
      </c>
      <c r="J55" s="97" t="s">
        <v>73</v>
      </c>
      <c r="K55" s="109"/>
      <c r="L55" s="118" t="str">
        <f>'Nome Palpiteiro'!MH36</f>
        <v>Costa Rica</v>
      </c>
      <c r="M55" s="119">
        <f>VLOOKUP(L55,'Nome Palpiteiro'!$LM$35:$LU$38,2,FALSE)</f>
        <v>0</v>
      </c>
      <c r="N55" s="120">
        <f>VLOOKUP(L55,'Nome Palpiteiro'!$LM$35:$LU$38,3,FALSE)</f>
        <v>0</v>
      </c>
      <c r="O55" s="120">
        <f>VLOOKUP(L55,'Nome Palpiteiro'!$LM$35:$LU$38,4,FALSE)</f>
        <v>0</v>
      </c>
      <c r="P55" s="120">
        <f>VLOOKUP(L55,'Nome Palpiteiro'!$LM$35:$LU$38,5,FALSE)</f>
        <v>0</v>
      </c>
      <c r="Q55" s="120">
        <f>VLOOKUP(L55,'Nome Palpiteiro'!$LM$35:$LU$38,6,FALSE)</f>
        <v>0</v>
      </c>
      <c r="R55" s="120">
        <f>VLOOKUP(L55,'Nome Palpiteiro'!$LM$35:$LU$38,7,FALSE)</f>
        <v>0</v>
      </c>
      <c r="S55" s="120">
        <f>VLOOKUP(L55,'Nome Palpiteiro'!$LM$35:$LU$38,8,FALSE)</f>
        <v>0</v>
      </c>
      <c r="T55" s="121">
        <f>VLOOKUP(L55,'Nome Palpiteiro'!$LM$35:$LU$38,9,FALSE)</f>
        <v>0</v>
      </c>
      <c r="U55" s="53"/>
      <c r="V55" s="59" t="s">
        <v>81</v>
      </c>
      <c r="W55" s="122" t="str">
        <f t="shared" si="62"/>
        <v/>
      </c>
      <c r="X55" s="236" t="str">
        <f>IF(AND(W55&lt;&gt;"",'Resultado Oficial'!W54&lt;&gt;"",'Resultado Oficial'!W55&lt;&gt;""),IF(W55='Resultado Oficial'!W55,5,IF(W55='Resultado Oficial'!W54,2,0)),"")</f>
        <v/>
      </c>
      <c r="Y55" s="53"/>
      <c r="Z55" s="236" t="str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/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239"/>
      <c r="F56" s="106" t="s">
        <v>72</v>
      </c>
      <c r="G56" s="240"/>
      <c r="H56" s="108"/>
      <c r="I56" s="96" t="s">
        <v>93</v>
      </c>
      <c r="J56" s="97" t="s">
        <v>80</v>
      </c>
      <c r="K56" s="109"/>
      <c r="L56" s="118" t="str">
        <f>'Nome Palpiteiro'!MH37</f>
        <v>Alemanha</v>
      </c>
      <c r="M56" s="119">
        <f>VLOOKUP(L56,'Nome Palpiteiro'!$LM$35:$LU$38,2,FALSE)</f>
        <v>0</v>
      </c>
      <c r="N56" s="120">
        <f>VLOOKUP(L56,'Nome Palpiteiro'!$LM$35:$LU$38,3,FALSE)</f>
        <v>0</v>
      </c>
      <c r="O56" s="120">
        <f>VLOOKUP(L56,'Nome Palpiteiro'!$LM$35:$LU$38,4,FALSE)</f>
        <v>0</v>
      </c>
      <c r="P56" s="120">
        <f>VLOOKUP(L56,'Nome Palpiteiro'!$LM$35:$LU$38,5,FALSE)</f>
        <v>0</v>
      </c>
      <c r="Q56" s="120">
        <f>VLOOKUP(L56,'Nome Palpiteiro'!$LM$35:$LU$38,6,FALSE)</f>
        <v>0</v>
      </c>
      <c r="R56" s="120">
        <f>VLOOKUP(L56,'Nome Palpiteiro'!$LM$35:$LU$38,7,FALSE)</f>
        <v>0</v>
      </c>
      <c r="S56" s="120">
        <f>VLOOKUP(L56,'Nome Palpiteiro'!$LM$35:$LU$38,8,FALSE)</f>
        <v>0</v>
      </c>
      <c r="T56" s="121">
        <f>VLOOKUP(L56,'Nome Palpiteiro'!$LM$35:$LU$38,9,FALSE)</f>
        <v>0</v>
      </c>
      <c r="U56" s="53"/>
      <c r="V56" s="53"/>
      <c r="W56" s="53"/>
      <c r="X56" s="218"/>
      <c r="Y56" s="53"/>
      <c r="Z56" s="236" t="str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/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239"/>
      <c r="F57" s="106" t="s">
        <v>72</v>
      </c>
      <c r="G57" s="240"/>
      <c r="H57" s="108"/>
      <c r="I57" s="96" t="s">
        <v>98</v>
      </c>
      <c r="J57" s="97" t="s">
        <v>73</v>
      </c>
      <c r="K57" s="123"/>
      <c r="L57" s="124" t="str">
        <f>'Nome Palpiteiro'!MH38</f>
        <v>Japão</v>
      </c>
      <c r="M57" s="125">
        <f>VLOOKUP(L57,'Nome Palpiteiro'!$LM$35:$LU$38,2,FALSE)</f>
        <v>0</v>
      </c>
      <c r="N57" s="126">
        <f>VLOOKUP(L57,'Nome Palpiteiro'!$LM$35:$LU$38,3,FALSE)</f>
        <v>0</v>
      </c>
      <c r="O57" s="126">
        <f>VLOOKUP(L57,'Nome Palpiteiro'!$LM$35:$LU$38,4,FALSE)</f>
        <v>0</v>
      </c>
      <c r="P57" s="126">
        <f>VLOOKUP(L57,'Nome Palpiteiro'!$LM$35:$LU$38,5,FALSE)</f>
        <v>0</v>
      </c>
      <c r="Q57" s="126">
        <f>VLOOKUP(L57,'Nome Palpiteiro'!$LM$35:$LU$38,6,FALSE)</f>
        <v>0</v>
      </c>
      <c r="R57" s="126">
        <f>VLOOKUP(L57,'Nome Palpiteiro'!$LM$35:$LU$38,7,FALSE)</f>
        <v>0</v>
      </c>
      <c r="S57" s="126">
        <f>VLOOKUP(L57,'Nome Palpiteiro'!$LM$35:$LU$38,8,FALSE)</f>
        <v>0</v>
      </c>
      <c r="T57" s="127">
        <f>VLOOKUP(L57,'Nome Palpiteiro'!$LM$35:$LU$38,9,FALSE)</f>
        <v>0</v>
      </c>
      <c r="U57" s="53"/>
      <c r="V57" s="53"/>
      <c r="W57" s="53"/>
      <c r="X57" s="218"/>
      <c r="Y57" s="53"/>
      <c r="Z57" s="236" t="str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/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0</v>
      </c>
      <c r="LO59" s="71">
        <f>IF(AND(E77&lt;&gt;"",G77&lt;&gt;""),1,0)+IF(AND(E79&lt;&gt;"",G79&lt;&gt;""),1,0)+IF(AND(E81&lt;&gt;"",G81&lt;&gt;""),1,0)</f>
        <v>0</v>
      </c>
      <c r="LP59" s="71">
        <f>IF(OR(E77="",G77=""),0,IF(E77&gt;G77,1,0))+IF(OR(E79="",G79=""),0,IF(E79&gt;G79,1,0))+IF(OR(G81="",E81=""),0,IF(G81&gt;E81,1,0))</f>
        <v>0</v>
      </c>
      <c r="LQ59" s="71">
        <f>IF(OR(E77="",G77=""),0,IF(E77=G77,1,0))+IF(OR(E79="",G79=""),0,IF(E79=G79,1,0))+IF(OR(G81="",E81=""),0,IF(G81=E81,1,0))</f>
        <v>0</v>
      </c>
      <c r="LR59" s="71">
        <f>IF(OR(E77="",G77=""),0,IF(E77&lt;G77,1,0))+IF(OR(E79="",G79=""),0,IF(E79&lt;G79,1,0))+IF(OR(G81="",E81=""),0,IF(G81&lt;E81,1,0))</f>
        <v>0</v>
      </c>
      <c r="LS59" s="71">
        <f>E77+E79+G81</f>
        <v>0</v>
      </c>
      <c r="LT59" s="71">
        <f>G77+G79+E81</f>
        <v>0</v>
      </c>
      <c r="LU59" s="71">
        <f t="shared" ref="LU59:LU62" si="63">LS59-LT59</f>
        <v>0</v>
      </c>
      <c r="LV59" s="70">
        <f t="shared" ref="LV59:LV62" si="64">LN59</f>
        <v>0</v>
      </c>
      <c r="LW59" s="70">
        <f t="shared" ref="LW59:LW62" si="65">LU59/10</f>
        <v>0</v>
      </c>
      <c r="LX59" s="70">
        <f t="shared" ref="LX59:LX62" si="66">LS59/100</f>
        <v>0</v>
      </c>
      <c r="LY59" s="70">
        <f t="shared" ref="LY59:LY62" si="67">SUM(LV59:LX59)</f>
        <v>0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0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239"/>
      <c r="F60" s="106" t="s">
        <v>72</v>
      </c>
      <c r="G60" s="240"/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 t="str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/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0</v>
      </c>
      <c r="LO60" s="71">
        <f>IF(AND(E77&lt;&gt;"",G77&lt;&gt;""),1,0)+IF(AND(E78&lt;&gt;"",G78&lt;&gt;""),1,0)+IF(AND(E80&lt;&gt;"",G80&lt;&gt;""),1,0)</f>
        <v>0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0</v>
      </c>
      <c r="LR60" s="71">
        <f>IF(OR(G77="",E77=""),0,IF(G77&lt;E77,1,0))+IF(OR(G78="",E78=""),0,IF(G78&lt;E78,1,0))+IF(OR(E80="",G80=""),0,IF(E80&lt;G80,1,0))</f>
        <v>0</v>
      </c>
      <c r="LS60" s="71">
        <f>G77+G78+E80</f>
        <v>0</v>
      </c>
      <c r="LT60" s="71">
        <f>E77+E78+G80</f>
        <v>0</v>
      </c>
      <c r="LU60" s="71">
        <f t="shared" si="63"/>
        <v>0</v>
      </c>
      <c r="LV60" s="70">
        <f t="shared" si="64"/>
        <v>0</v>
      </c>
      <c r="LW60" s="70">
        <f t="shared" si="65"/>
        <v>0</v>
      </c>
      <c r="LX60" s="70">
        <f t="shared" si="66"/>
        <v>0</v>
      </c>
      <c r="LY60" s="70">
        <f t="shared" si="67"/>
        <v>0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0</v>
      </c>
      <c r="MD60" s="70">
        <f>RANK($MC$60,$MC$59:$MC$62,0)</f>
        <v>1</v>
      </c>
      <c r="ME60" s="70">
        <f>IF(OR(AND(MD59=MD60,MD59=MD61,MD59=MD62),AND(MD60=MD59,MD60=MD61),AND(MD60=MD59,MD60=MD62),MD60=MD59),MD60+1,MD60)</f>
        <v>2</v>
      </c>
      <c r="MF60" s="70">
        <v>2.0</v>
      </c>
      <c r="MG60" s="70">
        <f t="shared" si="69"/>
        <v>2</v>
      </c>
      <c r="MH60" s="70" t="str">
        <f t="shared" si="70"/>
        <v>Gana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239"/>
      <c r="F61" s="106" t="s">
        <v>72</v>
      </c>
      <c r="G61" s="240"/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 t="str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/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0</v>
      </c>
      <c r="LO61" s="71">
        <f>IF(AND(E76&lt;&gt;"",G76&lt;&gt;""),1,0)+IF(AND(E79&lt;&gt;"",G79&lt;&gt;""),1,0)+IF(AND(E80&lt;&gt;"",G80&lt;&gt;""),1,0)</f>
        <v>0</v>
      </c>
      <c r="LP61" s="71">
        <f>IF(OR(E76="",G76=""),0,IF(E76&gt;G76,1,0))+IF(OR(G79="",E79=""),0,IF(G79&gt;E79,1,0))+IF(OR(G80="",E80=""),0,IF(G80&gt;E80,1,0))</f>
        <v>0</v>
      </c>
      <c r="LQ61" s="71">
        <f>IF(OR(E76="",G76=""),0,IF(E76=G76,1,0))+IF(OR(G79="",E79=""),0,IF(G79=E79,1,0))+IF(OR(G80="",E80=""),0,IF(G80=E80,1,0))</f>
        <v>0</v>
      </c>
      <c r="LR61" s="71">
        <f>IF(OR(E76="",G76=""),0,IF(E76&lt;G76,1,0))+IF(OR(G79="",E79=""),0,IF(G79&lt;E79,1,0))+IF(OR(G80="",E80=""),0,IF(G80&lt;E80,1,0))</f>
        <v>0</v>
      </c>
      <c r="LS61" s="71">
        <f>E76+G79+G80</f>
        <v>0</v>
      </c>
      <c r="LT61" s="71">
        <f>G76+E79+E80</f>
        <v>0</v>
      </c>
      <c r="LU61" s="71">
        <f t="shared" si="63"/>
        <v>0</v>
      </c>
      <c r="LV61" s="70">
        <f t="shared" si="64"/>
        <v>0</v>
      </c>
      <c r="LW61" s="70">
        <f t="shared" si="65"/>
        <v>0</v>
      </c>
      <c r="LX61" s="70">
        <f t="shared" si="66"/>
        <v>0</v>
      </c>
      <c r="LY61" s="70">
        <f t="shared" si="67"/>
        <v>0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0</v>
      </c>
      <c r="MD61" s="70">
        <f>RANK($MC$61,$MC$59:$MC$62,0)</f>
        <v>1</v>
      </c>
      <c r="ME61" s="70">
        <f>IF(OR(AND(MD59=MD60,MD59=MD61,MD59=MD62),AND(MD61=MD59,MD61=MD60)),MD61+2,IF(OR(AND(MD61=MD60,MD61=MD62),MD61=MD59,MD61=MD60),MD61+1,MD61))</f>
        <v>3</v>
      </c>
      <c r="MF61" s="70">
        <v>3.0</v>
      </c>
      <c r="MG61" s="70">
        <f t="shared" si="69"/>
        <v>3</v>
      </c>
      <c r="MH61" s="70" t="str">
        <f t="shared" si="70"/>
        <v>Uruguai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241"/>
      <c r="F62" s="115" t="s">
        <v>72</v>
      </c>
      <c r="G62" s="242"/>
      <c r="H62" s="117"/>
      <c r="I62" s="96" t="s">
        <v>107</v>
      </c>
      <c r="J62" s="97" t="s">
        <v>76</v>
      </c>
      <c r="K62" s="109"/>
      <c r="L62" s="118" t="str">
        <f>'Nome Palpiteiro'!MH43</f>
        <v>Bélgica</v>
      </c>
      <c r="M62" s="119">
        <f>VLOOKUP(L62,'Nome Palpiteiro'!$LM$43:$LU$46,2,FALSE)</f>
        <v>0</v>
      </c>
      <c r="N62" s="120">
        <f>VLOOKUP(L62,'Nome Palpiteiro'!$LM$43:$LU$46,3,FALSE)</f>
        <v>0</v>
      </c>
      <c r="O62" s="120">
        <f>VLOOKUP(L62,'Nome Palpiteiro'!$LM$43:$LU$46,4,FALSE)</f>
        <v>0</v>
      </c>
      <c r="P62" s="120">
        <f>VLOOKUP(L62,'Nome Palpiteiro'!$LM$43:$LU$46,5,FALSE)</f>
        <v>0</v>
      </c>
      <c r="Q62" s="120">
        <f>VLOOKUP(L62,'Nome Palpiteiro'!$LM$43:$LU$46,6,FALSE)</f>
        <v>0</v>
      </c>
      <c r="R62" s="120">
        <f>VLOOKUP(L62,'Nome Palpiteiro'!$LM$43:$LU$46,7,FALSE)</f>
        <v>0</v>
      </c>
      <c r="S62" s="120">
        <f>VLOOKUP(L62,'Nome Palpiteiro'!$LM$43:$LU$46,8,FALSE)</f>
        <v>0</v>
      </c>
      <c r="T62" s="121">
        <f>VLOOKUP(L62,'Nome Palpiteiro'!$LM$43:$LU$46,9,FALSE)</f>
        <v>0</v>
      </c>
      <c r="U62" s="53"/>
      <c r="V62" s="59" t="s">
        <v>78</v>
      </c>
      <c r="W62" s="122" t="str">
        <f t="shared" ref="W62:W63" si="71">IF(N62&lt;&gt;3,"",L62)</f>
        <v/>
      </c>
      <c r="X62" s="236" t="str">
        <f>IF(AND(W62&lt;&gt;"",'Resultado Oficial'!W62&lt;&gt;"",'Resultado Oficial'!W63&lt;&gt;""),IF(W62='Resultado Oficial'!W62,5,IF(W62='Resultado Oficial'!W63,2,0)),"")</f>
        <v/>
      </c>
      <c r="Y62" s="53"/>
      <c r="Z62" s="236" t="str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/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0</v>
      </c>
      <c r="LO62" s="71">
        <f>IF(AND(E76&lt;&gt;"",G76&lt;&gt;""),1,0)+IF(AND(E78&lt;&gt;"",G78&lt;&gt;""),1,0)+IF(AND(E81&lt;&gt;"",G81&lt;&gt;""),1,0)</f>
        <v>0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0</v>
      </c>
      <c r="LR62" s="71">
        <f>IF(OR(G76="",E76=""),0,IF(G76&lt;E76,1,0))+IF(OR(E78="",G78=""),0,IF(E78&lt;G78,1,0))+IF(OR(E81="",G81=""),0,IF(E81&lt;G81,1,0))</f>
        <v>0</v>
      </c>
      <c r="LS62" s="71">
        <f>G76+E78+E81</f>
        <v>0</v>
      </c>
      <c r="LT62" s="71">
        <f>E76+G78+G81</f>
        <v>0</v>
      </c>
      <c r="LU62" s="71">
        <f t="shared" si="63"/>
        <v>0</v>
      </c>
      <c r="LV62" s="70">
        <f t="shared" si="64"/>
        <v>0</v>
      </c>
      <c r="LW62" s="70">
        <f t="shared" si="65"/>
        <v>0</v>
      </c>
      <c r="LX62" s="70">
        <f t="shared" si="66"/>
        <v>0</v>
      </c>
      <c r="LY62" s="70">
        <f t="shared" si="67"/>
        <v>0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0</v>
      </c>
      <c r="MD62" s="70">
        <f>RANK($MC$62,$MC$59:$MC$62,0)</f>
        <v>1</v>
      </c>
      <c r="ME62" s="70">
        <f>IF(AND(MD59=MD60,MD59=MD61,MD59=MD62),MD62+3,IF(OR(AND(MD62=MD61,MD62=MD60),AND(MD62=MD60,MD62=MD59)),MD62+2,IF(OR(MD62=MD61,MD62=MD60,MD62=MD59),MD62+1,MD62)))</f>
        <v>4</v>
      </c>
      <c r="MF62" s="70">
        <v>4.0</v>
      </c>
      <c r="MG62" s="70">
        <f t="shared" si="69"/>
        <v>4</v>
      </c>
      <c r="MH62" s="70" t="str">
        <f t="shared" si="70"/>
        <v>Coréia do Sul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239"/>
      <c r="F63" s="106" t="s">
        <v>72</v>
      </c>
      <c r="G63" s="240"/>
      <c r="H63" s="108"/>
      <c r="I63" s="96" t="s">
        <v>105</v>
      </c>
      <c r="J63" s="97" t="s">
        <v>80</v>
      </c>
      <c r="K63" s="109"/>
      <c r="L63" s="118" t="str">
        <f>'Nome Palpiteiro'!MH44</f>
        <v>Canadá</v>
      </c>
      <c r="M63" s="119">
        <f>VLOOKUP(L63,'Nome Palpiteiro'!$LM$43:$LU$46,2,FALSE)</f>
        <v>0</v>
      </c>
      <c r="N63" s="120">
        <f>VLOOKUP(L63,'Nome Palpiteiro'!$LM$43:$LU$46,3,FALSE)</f>
        <v>0</v>
      </c>
      <c r="O63" s="120">
        <f>VLOOKUP(L63,'Nome Palpiteiro'!$LM$43:$LU$46,4,FALSE)</f>
        <v>0</v>
      </c>
      <c r="P63" s="120">
        <f>VLOOKUP(L63,'Nome Palpiteiro'!$LM$43:$LU$46,5,FALSE)</f>
        <v>0</v>
      </c>
      <c r="Q63" s="120">
        <f>VLOOKUP(L63,'Nome Palpiteiro'!$LM$43:$LU$46,6,FALSE)</f>
        <v>0</v>
      </c>
      <c r="R63" s="120">
        <f>VLOOKUP(L63,'Nome Palpiteiro'!$LM$43:$LU$46,7,FALSE)</f>
        <v>0</v>
      </c>
      <c r="S63" s="120">
        <f>VLOOKUP(L63,'Nome Palpiteiro'!$LM$43:$LU$46,8,FALSE)</f>
        <v>0</v>
      </c>
      <c r="T63" s="121">
        <f>VLOOKUP(L63,'Nome Palpiteiro'!$LM$43:$LU$46,9,FALSE)</f>
        <v>0</v>
      </c>
      <c r="U63" s="53"/>
      <c r="V63" s="59" t="s">
        <v>81</v>
      </c>
      <c r="W63" s="122" t="str">
        <f t="shared" si="71"/>
        <v/>
      </c>
      <c r="X63" s="236" t="str">
        <f>IF(AND(W63&lt;&gt;"",'Resultado Oficial'!W62&lt;&gt;"",'Resultado Oficial'!W63&lt;&gt;""),IF(W63='Resultado Oficial'!W63,5,IF(W63='Resultado Oficial'!W62,2,0)),"")</f>
        <v/>
      </c>
      <c r="Y63" s="53"/>
      <c r="Z63" s="236" t="str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/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239"/>
      <c r="F64" s="106" t="s">
        <v>72</v>
      </c>
      <c r="G64" s="240"/>
      <c r="H64" s="108"/>
      <c r="I64" s="96" t="s">
        <v>103</v>
      </c>
      <c r="J64" s="97" t="s">
        <v>88</v>
      </c>
      <c r="K64" s="109"/>
      <c r="L64" s="118" t="str">
        <f>'Nome Palpiteiro'!MH45</f>
        <v>Marrocos</v>
      </c>
      <c r="M64" s="119">
        <f>VLOOKUP(L64,'Nome Palpiteiro'!$LM$43:$LU$46,2,FALSE)</f>
        <v>0</v>
      </c>
      <c r="N64" s="120">
        <f>VLOOKUP(L64,'Nome Palpiteiro'!$LM$43:$LU$46,3,FALSE)</f>
        <v>0</v>
      </c>
      <c r="O64" s="120">
        <f>VLOOKUP(L64,'Nome Palpiteiro'!$LM$43:$LU$46,4,FALSE)</f>
        <v>0</v>
      </c>
      <c r="P64" s="120">
        <f>VLOOKUP(L64,'Nome Palpiteiro'!$LM$43:$LU$46,5,FALSE)</f>
        <v>0</v>
      </c>
      <c r="Q64" s="120">
        <f>VLOOKUP(L64,'Nome Palpiteiro'!$LM$43:$LU$46,6,FALSE)</f>
        <v>0</v>
      </c>
      <c r="R64" s="120">
        <f>VLOOKUP(L64,'Nome Palpiteiro'!$LM$43:$LU$46,7,FALSE)</f>
        <v>0</v>
      </c>
      <c r="S64" s="120">
        <f>VLOOKUP(L64,'Nome Palpiteiro'!$LM$43:$LU$46,8,FALSE)</f>
        <v>0</v>
      </c>
      <c r="T64" s="121">
        <f>VLOOKUP(L64,'Nome Palpiteiro'!$LM$43:$LU$46,9,FALSE)</f>
        <v>0</v>
      </c>
      <c r="U64" s="53"/>
      <c r="V64" s="53"/>
      <c r="W64" s="53"/>
      <c r="X64" s="218"/>
      <c r="Y64" s="53"/>
      <c r="Z64" s="236" t="str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/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239"/>
      <c r="F65" s="106" t="s">
        <v>72</v>
      </c>
      <c r="G65" s="240"/>
      <c r="H65" s="108"/>
      <c r="I65" s="96" t="s">
        <v>107</v>
      </c>
      <c r="J65" s="97" t="s">
        <v>76</v>
      </c>
      <c r="K65" s="123"/>
      <c r="L65" s="124" t="str">
        <f>'Nome Palpiteiro'!MH46</f>
        <v>Croácia</v>
      </c>
      <c r="M65" s="125">
        <f>VLOOKUP(L65,'Nome Palpiteiro'!$LM$43:$LU$46,2,FALSE)</f>
        <v>0</v>
      </c>
      <c r="N65" s="126">
        <f>VLOOKUP(L65,'Nome Palpiteiro'!$LM$43:$LU$46,3,FALSE)</f>
        <v>0</v>
      </c>
      <c r="O65" s="126">
        <f>VLOOKUP(L65,'Nome Palpiteiro'!$LM$43:$LU$46,4,FALSE)</f>
        <v>0</v>
      </c>
      <c r="P65" s="126">
        <f>VLOOKUP(L65,'Nome Palpiteiro'!$LM$43:$LU$46,5,FALSE)</f>
        <v>0</v>
      </c>
      <c r="Q65" s="126">
        <f>VLOOKUP(L65,'Nome Palpiteiro'!$LM$43:$LU$46,6,FALSE)</f>
        <v>0</v>
      </c>
      <c r="R65" s="126">
        <f>VLOOKUP(L65,'Nome Palpiteiro'!$LM$43:$LU$46,7,FALSE)</f>
        <v>0</v>
      </c>
      <c r="S65" s="126">
        <f>VLOOKUP(L65,'Nome Palpiteiro'!$LM$43:$LU$46,8,FALSE)</f>
        <v>0</v>
      </c>
      <c r="T65" s="127">
        <f>VLOOKUP(L65,'Nome Palpiteiro'!$LM$43:$LU$46,9,FALSE)</f>
        <v>0</v>
      </c>
      <c r="U65" s="53"/>
      <c r="V65" s="53"/>
      <c r="W65" s="53"/>
      <c r="X65" s="218"/>
      <c r="Y65" s="53"/>
      <c r="Z65" s="236" t="str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/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239"/>
      <c r="F68" s="106" t="s">
        <v>72</v>
      </c>
      <c r="G68" s="240"/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 t="str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/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239"/>
      <c r="F69" s="106" t="s">
        <v>72</v>
      </c>
      <c r="G69" s="240"/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 t="str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/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241"/>
      <c r="F70" s="115" t="s">
        <v>72</v>
      </c>
      <c r="G70" s="242"/>
      <c r="H70" s="117"/>
      <c r="I70" s="96" t="s">
        <v>113</v>
      </c>
      <c r="J70" s="97" t="s">
        <v>106</v>
      </c>
      <c r="K70" s="109"/>
      <c r="L70" s="118" t="str">
        <f>'Nome Palpiteiro'!MH51</f>
        <v>Brasil</v>
      </c>
      <c r="M70" s="119">
        <f>VLOOKUP(L70,'Nome Palpiteiro'!$LM$51:$LU$54,2,FALSE)</f>
        <v>0</v>
      </c>
      <c r="N70" s="120">
        <f>VLOOKUP(L70,'Nome Palpiteiro'!$LM$51:$LU$54,3,FALSE)</f>
        <v>0</v>
      </c>
      <c r="O70" s="120">
        <f>VLOOKUP(L70,'Nome Palpiteiro'!$LM$51:$LU$54,4,FALSE)</f>
        <v>0</v>
      </c>
      <c r="P70" s="120">
        <f>VLOOKUP(L70,'Nome Palpiteiro'!$LM$51:$LU$54,5,FALSE)</f>
        <v>0</v>
      </c>
      <c r="Q70" s="120">
        <f>VLOOKUP(L70,'Nome Palpiteiro'!$LM$51:$LU$54,6,FALSE)</f>
        <v>0</v>
      </c>
      <c r="R70" s="120">
        <f>VLOOKUP(L70,'Nome Palpiteiro'!$LM$51:$LU$54,7,FALSE)</f>
        <v>0</v>
      </c>
      <c r="S70" s="120">
        <f>VLOOKUP(L70,'Nome Palpiteiro'!$LM$51:$LU$54,8,FALSE)</f>
        <v>0</v>
      </c>
      <c r="T70" s="121">
        <f>VLOOKUP(L70,'Nome Palpiteiro'!$LM$51:$LU$54,9,FALSE)</f>
        <v>0</v>
      </c>
      <c r="U70" s="53"/>
      <c r="V70" s="59" t="s">
        <v>78</v>
      </c>
      <c r="W70" s="122" t="str">
        <f t="shared" ref="W70:W71" si="72">IF(N70&lt;&gt;3,"",L70)</f>
        <v/>
      </c>
      <c r="X70" s="236" t="str">
        <f>IF(AND(W70&lt;&gt;"",'Resultado Oficial'!W70&lt;&gt;"",'Resultado Oficial'!W71&lt;&gt;""),IF(W70='Resultado Oficial'!W70,5,IF(W70='Resultado Oficial'!W71,2,0)),"")</f>
        <v/>
      </c>
      <c r="Y70" s="53"/>
      <c r="Z70" s="236" t="str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/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239"/>
      <c r="F71" s="106" t="s">
        <v>72</v>
      </c>
      <c r="G71" s="240"/>
      <c r="H71" s="108"/>
      <c r="I71" s="96" t="s">
        <v>114</v>
      </c>
      <c r="J71" s="97" t="s">
        <v>97</v>
      </c>
      <c r="K71" s="109"/>
      <c r="L71" s="118" t="str">
        <f>'Nome Palpiteiro'!MH52</f>
        <v>Sérvia</v>
      </c>
      <c r="M71" s="119">
        <f>VLOOKUP(L71,'Nome Palpiteiro'!$LM$51:$LU$54,2,FALSE)</f>
        <v>0</v>
      </c>
      <c r="N71" s="120">
        <f>VLOOKUP(L71,'Nome Palpiteiro'!$LM$51:$LU$54,3,FALSE)</f>
        <v>0</v>
      </c>
      <c r="O71" s="120">
        <f>VLOOKUP(L71,'Nome Palpiteiro'!$LM$51:$LU$54,4,FALSE)</f>
        <v>0</v>
      </c>
      <c r="P71" s="120">
        <f>VLOOKUP(L71,'Nome Palpiteiro'!$LM$51:$LU$54,5,FALSE)</f>
        <v>0</v>
      </c>
      <c r="Q71" s="120">
        <f>VLOOKUP(L71,'Nome Palpiteiro'!$LM$51:$LU$54,6,FALSE)</f>
        <v>0</v>
      </c>
      <c r="R71" s="120">
        <f>VLOOKUP(L71,'Nome Palpiteiro'!$LM$51:$LU$54,7,FALSE)</f>
        <v>0</v>
      </c>
      <c r="S71" s="120">
        <f>VLOOKUP(L71,'Nome Palpiteiro'!$LM$51:$LU$54,8,FALSE)</f>
        <v>0</v>
      </c>
      <c r="T71" s="121">
        <f>VLOOKUP(L71,'Nome Palpiteiro'!$LM$51:$LU$54,9,FALSE)</f>
        <v>0</v>
      </c>
      <c r="U71" s="53"/>
      <c r="V71" s="59" t="s">
        <v>81</v>
      </c>
      <c r="W71" s="122" t="str">
        <f t="shared" si="72"/>
        <v/>
      </c>
      <c r="X71" s="236" t="str">
        <f>IF(AND(W71&lt;&gt;"",'Resultado Oficial'!W70&lt;&gt;"",'Resultado Oficial'!W71&lt;&gt;""),IF(W71='Resultado Oficial'!W71,5,IF(W71='Resultado Oficial'!W70,2,0)),"")</f>
        <v/>
      </c>
      <c r="Y71" s="53"/>
      <c r="Z71" s="236" t="str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/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239"/>
      <c r="F72" s="106" t="s">
        <v>72</v>
      </c>
      <c r="G72" s="240"/>
      <c r="H72" s="108"/>
      <c r="I72" s="96" t="s">
        <v>114</v>
      </c>
      <c r="J72" s="97" t="s">
        <v>97</v>
      </c>
      <c r="K72" s="109"/>
      <c r="L72" s="118" t="str">
        <f>'Nome Palpiteiro'!MH53</f>
        <v>Suiça</v>
      </c>
      <c r="M72" s="119">
        <f>VLOOKUP(L72,'Nome Palpiteiro'!$LM$51:$LU$54,2,FALSE)</f>
        <v>0</v>
      </c>
      <c r="N72" s="120">
        <f>VLOOKUP(L72,'Nome Palpiteiro'!$LM$51:$LU$54,3,FALSE)</f>
        <v>0</v>
      </c>
      <c r="O72" s="120">
        <f>VLOOKUP(L72,'Nome Palpiteiro'!$LM$51:$LU$54,4,FALSE)</f>
        <v>0</v>
      </c>
      <c r="P72" s="120">
        <f>VLOOKUP(L72,'Nome Palpiteiro'!$LM$51:$LU$54,5,FALSE)</f>
        <v>0</v>
      </c>
      <c r="Q72" s="120">
        <f>VLOOKUP(L72,'Nome Palpiteiro'!$LM$51:$LU$54,6,FALSE)</f>
        <v>0</v>
      </c>
      <c r="R72" s="120">
        <f>VLOOKUP(L72,'Nome Palpiteiro'!$LM$51:$LU$54,7,FALSE)</f>
        <v>0</v>
      </c>
      <c r="S72" s="120">
        <f>VLOOKUP(L72,'Nome Palpiteiro'!$LM$51:$LU$54,8,FALSE)</f>
        <v>0</v>
      </c>
      <c r="T72" s="121">
        <f>VLOOKUP(L72,'Nome Palpiteiro'!$LM$51:$LU$54,9,FALSE)</f>
        <v>0</v>
      </c>
      <c r="U72" s="53"/>
      <c r="V72" s="53"/>
      <c r="W72" s="53"/>
      <c r="X72" s="218"/>
      <c r="Y72" s="53"/>
      <c r="Z72" s="236" t="str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/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239"/>
      <c r="F73" s="106" t="s">
        <v>72</v>
      </c>
      <c r="G73" s="240"/>
      <c r="H73" s="108"/>
      <c r="I73" s="96" t="s">
        <v>111</v>
      </c>
      <c r="J73" s="97" t="s">
        <v>94</v>
      </c>
      <c r="K73" s="123"/>
      <c r="L73" s="124" t="str">
        <f>'Nome Palpiteiro'!MH54</f>
        <v>Camarões</v>
      </c>
      <c r="M73" s="125">
        <f>VLOOKUP(L73,'Nome Palpiteiro'!$LM$51:$LU$54,2,FALSE)</f>
        <v>0</v>
      </c>
      <c r="N73" s="126">
        <f>VLOOKUP(L73,'Nome Palpiteiro'!$LM$51:$LU$54,3,FALSE)</f>
        <v>0</v>
      </c>
      <c r="O73" s="126">
        <f>VLOOKUP(L73,'Nome Palpiteiro'!$LM$51:$LU$54,4,FALSE)</f>
        <v>0</v>
      </c>
      <c r="P73" s="126">
        <f>VLOOKUP(L73,'Nome Palpiteiro'!$LM$51:$LU$54,5,FALSE)</f>
        <v>0</v>
      </c>
      <c r="Q73" s="126">
        <f>VLOOKUP(L73,'Nome Palpiteiro'!$LM$51:$LU$54,6,FALSE)</f>
        <v>0</v>
      </c>
      <c r="R73" s="126">
        <f>VLOOKUP(L73,'Nome Palpiteiro'!$LM$51:$LU$54,7,FALSE)</f>
        <v>0</v>
      </c>
      <c r="S73" s="126">
        <f>VLOOKUP(L73,'Nome Palpiteiro'!$LM$51:$LU$54,8,FALSE)</f>
        <v>0</v>
      </c>
      <c r="T73" s="127">
        <f>VLOOKUP(L73,'Nome Palpiteiro'!$LM$51:$LU$54,9,FALSE)</f>
        <v>0</v>
      </c>
      <c r="U73" s="53"/>
      <c r="V73" s="53"/>
      <c r="W73" s="53"/>
      <c r="X73" s="218"/>
      <c r="Y73" s="53"/>
      <c r="Z73" s="236" t="str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/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239"/>
      <c r="F76" s="106" t="s">
        <v>72</v>
      </c>
      <c r="G76" s="240"/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 t="str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/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239"/>
      <c r="F77" s="106" t="s">
        <v>72</v>
      </c>
      <c r="G77" s="240"/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 t="str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/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241"/>
      <c r="F78" s="115" t="s">
        <v>72</v>
      </c>
      <c r="G78" s="242"/>
      <c r="H78" s="117"/>
      <c r="I78" s="96" t="s">
        <v>121</v>
      </c>
      <c r="J78" s="97" t="s">
        <v>99</v>
      </c>
      <c r="K78" s="109"/>
      <c r="L78" s="118" t="str">
        <f>'Nome Palpiteiro'!MH59</f>
        <v>Portugal</v>
      </c>
      <c r="M78" s="119">
        <f>VLOOKUP(L78,'Nome Palpiteiro'!$LM$59:$LU$62,2,FALSE)</f>
        <v>0</v>
      </c>
      <c r="N78" s="120">
        <f>VLOOKUP(L78,'Nome Palpiteiro'!$LM$59:$LU$62,3,FALSE)</f>
        <v>0</v>
      </c>
      <c r="O78" s="120">
        <f>VLOOKUP(L78,'Nome Palpiteiro'!$LM$59:$LU$62,4,FALSE)</f>
        <v>0</v>
      </c>
      <c r="P78" s="120">
        <f>VLOOKUP(L78,'Nome Palpiteiro'!$LM$59:$LU$62,5,FALSE)</f>
        <v>0</v>
      </c>
      <c r="Q78" s="120">
        <f>VLOOKUP(L78,'Nome Palpiteiro'!$LM$59:$LU$62,6,FALSE)</f>
        <v>0</v>
      </c>
      <c r="R78" s="120">
        <f>VLOOKUP(L78,'Nome Palpiteiro'!$LM$59:$LU$62,7,FALSE)</f>
        <v>0</v>
      </c>
      <c r="S78" s="120">
        <f>VLOOKUP(L78,'Nome Palpiteiro'!$LM$59:$LU$62,8,FALSE)</f>
        <v>0</v>
      </c>
      <c r="T78" s="121">
        <f>VLOOKUP(L78,'Nome Palpiteiro'!$LM$59:$LU$62,9,FALSE)</f>
        <v>0</v>
      </c>
      <c r="U78" s="53"/>
      <c r="V78" s="59" t="s">
        <v>78</v>
      </c>
      <c r="W78" s="122" t="str">
        <f t="shared" ref="W78:W79" si="73">IF(N78&lt;&gt;3,"",L78)</f>
        <v/>
      </c>
      <c r="X78" s="236" t="str">
        <f>IF(AND(W78&lt;&gt;"",'Resultado Oficial'!W78&lt;&gt;"",'Resultado Oficial'!W79&lt;&gt;""),IF(W78='Resultado Oficial'!W78,5,IF(W78='Resultado Oficial'!W79,2,0)),"")</f>
        <v/>
      </c>
      <c r="Y78" s="53"/>
      <c r="Z78" s="236" t="str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/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239"/>
      <c r="F79" s="106" t="s">
        <v>72</v>
      </c>
      <c r="G79" s="240"/>
      <c r="H79" s="108"/>
      <c r="I79" s="96" t="s">
        <v>122</v>
      </c>
      <c r="J79" s="97" t="s">
        <v>94</v>
      </c>
      <c r="K79" s="109"/>
      <c r="L79" s="118" t="str">
        <f>'Nome Palpiteiro'!MH60</f>
        <v>Gana</v>
      </c>
      <c r="M79" s="119">
        <f>VLOOKUP(L79,'Nome Palpiteiro'!$LM$59:$LU$62,2,FALSE)</f>
        <v>0</v>
      </c>
      <c r="N79" s="120">
        <f>VLOOKUP(L79,'Nome Palpiteiro'!$LM$59:$LU$62,3,FALSE)</f>
        <v>0</v>
      </c>
      <c r="O79" s="120">
        <f>VLOOKUP(L79,'Nome Palpiteiro'!$LM$59:$LU$62,4,FALSE)</f>
        <v>0</v>
      </c>
      <c r="P79" s="120">
        <f>VLOOKUP(L79,'Nome Palpiteiro'!$LM$59:$LU$62,5,FALSE)</f>
        <v>0</v>
      </c>
      <c r="Q79" s="120">
        <f>VLOOKUP(L79,'Nome Palpiteiro'!$LM$59:$LU$62,6,FALSE)</f>
        <v>0</v>
      </c>
      <c r="R79" s="120">
        <f>VLOOKUP(L79,'Nome Palpiteiro'!$LM$59:$LU$62,7,FALSE)</f>
        <v>0</v>
      </c>
      <c r="S79" s="120">
        <f>VLOOKUP(L79,'Nome Palpiteiro'!$LM$59:$LU$62,8,FALSE)</f>
        <v>0</v>
      </c>
      <c r="T79" s="121">
        <f>VLOOKUP(L79,'Nome Palpiteiro'!$LM$59:$LU$62,9,FALSE)</f>
        <v>0</v>
      </c>
      <c r="U79" s="53"/>
      <c r="V79" s="59" t="s">
        <v>81</v>
      </c>
      <c r="W79" s="122" t="str">
        <f t="shared" si="73"/>
        <v/>
      </c>
      <c r="X79" s="236" t="str">
        <f>IF(AND(W79&lt;&gt;"",'Resultado Oficial'!W78&lt;&gt;"",'Resultado Oficial'!W79&lt;&gt;""),IF(W79='Resultado Oficial'!W79,5,IF(W79='Resultado Oficial'!W78,2,0)),"")</f>
        <v/>
      </c>
      <c r="Y79" s="53"/>
      <c r="Z79" s="236" t="str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/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239"/>
      <c r="F80" s="106" t="s">
        <v>72</v>
      </c>
      <c r="G80" s="240"/>
      <c r="H80" s="108"/>
      <c r="I80" s="96" t="s">
        <v>122</v>
      </c>
      <c r="J80" s="97" t="s">
        <v>106</v>
      </c>
      <c r="K80" s="109"/>
      <c r="L80" s="118" t="str">
        <f>'Nome Palpiteiro'!MH61</f>
        <v>Uruguai</v>
      </c>
      <c r="M80" s="119">
        <f>VLOOKUP(L80,'Nome Palpiteiro'!$LM$59:$LU$62,2,FALSE)</f>
        <v>0</v>
      </c>
      <c r="N80" s="120">
        <f>VLOOKUP(L80,'Nome Palpiteiro'!$LM$59:$LU$62,3,FALSE)</f>
        <v>0</v>
      </c>
      <c r="O80" s="120">
        <f>VLOOKUP(L80,'Nome Palpiteiro'!$LM$59:$LU$62,4,FALSE)</f>
        <v>0</v>
      </c>
      <c r="P80" s="120">
        <f>VLOOKUP(L80,'Nome Palpiteiro'!$LM$59:$LU$62,5,FALSE)</f>
        <v>0</v>
      </c>
      <c r="Q80" s="120">
        <f>VLOOKUP(L80,'Nome Palpiteiro'!$LM$59:$LU$62,6,FALSE)</f>
        <v>0</v>
      </c>
      <c r="R80" s="120">
        <f>VLOOKUP(L80,'Nome Palpiteiro'!$LM$59:$LU$62,7,FALSE)</f>
        <v>0</v>
      </c>
      <c r="S80" s="120">
        <f>VLOOKUP(L80,'Nome Palpiteiro'!$LM$59:$LU$62,8,FALSE)</f>
        <v>0</v>
      </c>
      <c r="T80" s="121">
        <f>VLOOKUP(L80,'Nome Palpiteiro'!$LM$59:$LU$62,9,FALSE)</f>
        <v>0</v>
      </c>
      <c r="U80" s="53"/>
      <c r="V80" s="53"/>
      <c r="W80" s="53"/>
      <c r="X80" s="218"/>
      <c r="Y80" s="53"/>
      <c r="Z80" s="236" t="str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/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239"/>
      <c r="F81" s="106" t="s">
        <v>72</v>
      </c>
      <c r="G81" s="240"/>
      <c r="H81" s="108"/>
      <c r="I81" s="96" t="s">
        <v>119</v>
      </c>
      <c r="J81" s="97" t="s">
        <v>99</v>
      </c>
      <c r="K81" s="123"/>
      <c r="L81" s="124" t="str">
        <f>'Nome Palpiteiro'!MH62</f>
        <v>Coréia do Sul</v>
      </c>
      <c r="M81" s="125">
        <f>VLOOKUP(L81,'Nome Palpiteiro'!$LM$59:$LU$62,2,FALSE)</f>
        <v>0</v>
      </c>
      <c r="N81" s="126">
        <f>VLOOKUP(L81,'Nome Palpiteiro'!$LM$59:$LU$62,3,FALSE)</f>
        <v>0</v>
      </c>
      <c r="O81" s="126">
        <f>VLOOKUP(L81,'Nome Palpiteiro'!$LM$59:$LU$62,4,FALSE)</f>
        <v>0</v>
      </c>
      <c r="P81" s="126">
        <f>VLOOKUP(L81,'Nome Palpiteiro'!$LM$59:$LU$62,5,FALSE)</f>
        <v>0</v>
      </c>
      <c r="Q81" s="126">
        <f>VLOOKUP(L81,'Nome Palpiteiro'!$LM$59:$LU$62,6,FALSE)</f>
        <v>0</v>
      </c>
      <c r="R81" s="126">
        <f>VLOOKUP(L81,'Nome Palpiteiro'!$LM$59:$LU$62,7,FALSE)</f>
        <v>0</v>
      </c>
      <c r="S81" s="126">
        <f>VLOOKUP(L81,'Nome Palpiteiro'!$LM$59:$LU$62,8,FALSE)</f>
        <v>0</v>
      </c>
      <c r="T81" s="127">
        <f>VLOOKUP(L81,'Nome Palpiteiro'!$LM$59:$LU$62,9,FALSE)</f>
        <v>0</v>
      </c>
      <c r="U81" s="53"/>
      <c r="V81" s="53"/>
      <c r="W81" s="53"/>
      <c r="X81" s="218"/>
      <c r="Y81" s="53"/>
      <c r="Z81" s="236" t="str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/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1º do grupo A</v>
      </c>
      <c r="D85" s="158"/>
      <c r="E85" s="243"/>
      <c r="F85" s="244" t="s">
        <v>72</v>
      </c>
      <c r="G85" s="245"/>
      <c r="H85" s="158"/>
      <c r="I85" s="157" t="str">
        <f>IF(N31=3,L31,"2º do grupo B")</f>
        <v>2º do grupo B</v>
      </c>
      <c r="J85" s="159"/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1º do grupo C</v>
      </c>
      <c r="D86" s="158"/>
      <c r="E86" s="243"/>
      <c r="F86" s="244" t="s">
        <v>72</v>
      </c>
      <c r="G86" s="245"/>
      <c r="H86" s="158"/>
      <c r="I86" s="157" t="str">
        <f>IF(N47=3,L47,"2º do grupo D")</f>
        <v>2º do grupo D</v>
      </c>
      <c r="J86" s="159"/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1º do grupo B</v>
      </c>
      <c r="D87" s="158"/>
      <c r="E87" s="243"/>
      <c r="F87" s="244" t="s">
        <v>72</v>
      </c>
      <c r="G87" s="245"/>
      <c r="H87" s="158"/>
      <c r="I87" s="157" t="str">
        <f>IF(N23=3,L23,"2º do grupo A")</f>
        <v>2º do grupo A</v>
      </c>
      <c r="J87" s="159"/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1º do grupo D</v>
      </c>
      <c r="D88" s="158"/>
      <c r="E88" s="243"/>
      <c r="F88" s="244" t="s">
        <v>72</v>
      </c>
      <c r="G88" s="245"/>
      <c r="H88" s="158"/>
      <c r="I88" s="157" t="str">
        <f>IF(N39=3,L39,"2º do grupo C")</f>
        <v>2º do grupo C</v>
      </c>
      <c r="J88" s="159"/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1º do grupo E</v>
      </c>
      <c r="D89" s="158"/>
      <c r="E89" s="243"/>
      <c r="F89" s="244" t="s">
        <v>72</v>
      </c>
      <c r="G89" s="245"/>
      <c r="H89" s="158"/>
      <c r="I89" s="157" t="str">
        <f>IF(N63=3,L63,"2º do grupo F")</f>
        <v>2º do grupo F</v>
      </c>
      <c r="J89" s="159"/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1º do grupo G</v>
      </c>
      <c r="D90" s="158"/>
      <c r="E90" s="243"/>
      <c r="F90" s="244" t="s">
        <v>72</v>
      </c>
      <c r="G90" s="245"/>
      <c r="H90" s="158"/>
      <c r="I90" s="157" t="str">
        <f>IF(N79=3,L79,"2º do grupo H")</f>
        <v>2º do grupo H</v>
      </c>
      <c r="J90" s="159"/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1º do grupo F</v>
      </c>
      <c r="D91" s="158"/>
      <c r="E91" s="243"/>
      <c r="F91" s="244" t="s">
        <v>72</v>
      </c>
      <c r="G91" s="245"/>
      <c r="H91" s="158"/>
      <c r="I91" s="157" t="str">
        <f>IF(N55=3,L55,"2º do grupo E")</f>
        <v>2º do grupo E</v>
      </c>
      <c r="J91" s="159"/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1º do grupo H</v>
      </c>
      <c r="D92" s="158"/>
      <c r="E92" s="243"/>
      <c r="F92" s="244" t="s">
        <v>72</v>
      </c>
      <c r="G92" s="245"/>
      <c r="H92" s="158"/>
      <c r="I92" s="157" t="str">
        <f>IF(N71=3,L71,"2º do grupo G")</f>
        <v>2º do grupo G</v>
      </c>
      <c r="J92" s="159"/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Vencedor do 49</v>
      </c>
      <c r="D95" s="158"/>
      <c r="E95" s="243"/>
      <c r="F95" s="244" t="s">
        <v>72</v>
      </c>
      <c r="G95" s="245"/>
      <c r="H95" s="158"/>
      <c r="I95" s="157" t="str">
        <f>IF(OR(G86="",E86="",AND(G86=E86,OR(H86="",D86=""))),"Vencedor do 50",IF(G86=E86,IF(H86&gt;D86,I86,C86),IF(G86&gt;E86,I86,C86)))</f>
        <v>Vencedor do 50</v>
      </c>
      <c r="J95" s="159"/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/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Vencedor do 51</v>
      </c>
      <c r="D96" s="158"/>
      <c r="E96" s="243"/>
      <c r="F96" s="244" t="s">
        <v>72</v>
      </c>
      <c r="G96" s="245"/>
      <c r="H96" s="158"/>
      <c r="I96" s="157" t="str">
        <f>IF(OR(G90="",E90="",AND(G90=E90,OR(H90="",D90=""))),"Vencedor do 52",IF(G90=E90,IF(H90&gt;D90,I90,C90),IF(G90&gt;E90,I90,C90)))</f>
        <v>Vencedor do 52</v>
      </c>
      <c r="J96" s="159"/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Vencedor do 53</v>
      </c>
      <c r="D97" s="158"/>
      <c r="E97" s="243"/>
      <c r="F97" s="244" t="s">
        <v>72</v>
      </c>
      <c r="G97" s="245"/>
      <c r="H97" s="158"/>
      <c r="I97" s="157" t="str">
        <f>IF(OR(G88="",E88="",AND(G88=E88,OR(H88="",D88=""))),"Vencedor do 54",IF(G88=E88,IF(H88&gt;D88,I88,C88),IF(G88&gt;E88,I88,C88)))</f>
        <v>Vencedor do 54</v>
      </c>
      <c r="J97" s="159"/>
      <c r="K97" s="58">
        <v>59.0</v>
      </c>
      <c r="L97" s="183"/>
      <c r="M97" s="184" t="str">
        <f>IF(M95="","  ","A Seleção campeã da Copa do Mundo, de 2018")</f>
        <v>  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Vencedor do 55</v>
      </c>
      <c r="D98" s="158"/>
      <c r="E98" s="243"/>
      <c r="F98" s="244" t="s">
        <v>72</v>
      </c>
      <c r="G98" s="245"/>
      <c r="H98" s="158"/>
      <c r="I98" s="157" t="str">
        <f>IF(OR(G92="",E92="",AND(G92=E92,OR(H92="",D92=""))),"Vencedor do 56",IF(G92=E92,IF(H92&gt;D92,I92,C92),IF(G92&gt;E92,I92,C92)))</f>
        <v>Vencedor do 56</v>
      </c>
      <c r="J98" s="159"/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Vencedor do 57</v>
      </c>
      <c r="D101" s="158"/>
      <c r="E101" s="243"/>
      <c r="F101" s="244" t="s">
        <v>72</v>
      </c>
      <c r="G101" s="245"/>
      <c r="H101" s="158"/>
      <c r="I101" s="157" t="str">
        <f>IF(OR(G96="",E96="",AND(G96=E96,OR(H96="",D96=""))),"Vencedor do 58",IF(G96=E96,IF(H96&gt;D96,I96,C96),IF(G96&gt;E96,I96,C96)))</f>
        <v>Vencedor do 58</v>
      </c>
      <c r="J101" s="159"/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Vencedor do 59</v>
      </c>
      <c r="D102" s="158"/>
      <c r="E102" s="243"/>
      <c r="F102" s="244" t="s">
        <v>72</v>
      </c>
      <c r="G102" s="245"/>
      <c r="H102" s="158"/>
      <c r="I102" s="157" t="str">
        <f>IF(OR(G98="",E98="",AND(G98=E98,OR(H98="",D98=""))),"Vencedor do 60",IF(G98=E98,IF(H98&gt;D98,I98,C98),IF(G98&gt;E98,I98,C98)))</f>
        <v>Vencedor do 60</v>
      </c>
      <c r="J102" s="159"/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 </v>
      </c>
      <c r="D105" s="158"/>
      <c r="E105" s="243"/>
      <c r="F105" s="244" t="s">
        <v>72</v>
      </c>
      <c r="G105" s="245"/>
      <c r="H105" s="158"/>
      <c r="I105" s="183" t="str">
        <f>IF(OR(G102="",E102="",AND(G102=E102,OR(H102="",D102=""))),"    ",IF(G102=E102,IF(H102&lt;D102,I102,C102),IF(G102&lt;E102,I102,C102)))</f>
        <v>    </v>
      </c>
      <c r="J105" s="159"/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  </v>
      </c>
      <c r="D108" s="249"/>
      <c r="E108" s="250"/>
      <c r="F108" s="251" t="s">
        <v>72</v>
      </c>
      <c r="G108" s="252"/>
      <c r="H108" s="249"/>
      <c r="I108" s="202" t="str">
        <f>IF(OR(G102="",E102="",AND(G102=E102,OR(H102="",D102=""))),"  ",IF(G102=E102,IF(H102&gt;D102,I102,C102),IF(G102&gt;E102,I102,C102)))</f>
        <v>  </v>
      </c>
      <c r="J108" s="253"/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3</v>
      </c>
      <c r="LS3" s="71">
        <f>E20+E22+G25</f>
        <v>1</v>
      </c>
      <c r="LT3" s="71">
        <f>G20+G22+E25</f>
        <v>8</v>
      </c>
      <c r="LU3" s="71">
        <f t="shared" ref="LU3:LU6" si="1">LS3-LT3</f>
        <v>-7</v>
      </c>
      <c r="LV3" s="70">
        <f t="shared" ref="LV3:LV6" si="2">LN3</f>
        <v>0</v>
      </c>
      <c r="LW3" s="70">
        <f t="shared" ref="LW3:LW6" si="3">LU3/10</f>
        <v>-0.7</v>
      </c>
      <c r="LX3" s="70">
        <f t="shared" ref="LX3:LX6" si="4">LS3/100</f>
        <v>0.01</v>
      </c>
      <c r="LY3" s="70">
        <f t="shared" ref="LY3:LY6" si="5">SUM(LV3:LX3)</f>
        <v>-0.69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-0.69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3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2</v>
      </c>
      <c r="LQ4" s="71">
        <f>IF(OR(G20="",E20=""),0,IF(G20=E20,1,0))+IF(OR(G23="",E23=""),0,IF(G23=E23,1,0))+IF(OR(E25="",G25=""),0,IF(E25=G25,1,0))</f>
        <v>0</v>
      </c>
      <c r="LR4" s="71">
        <f>IF(OR(G20="",E20=""),0,IF(G20&lt;E20,1,0))+IF(OR(G23="",E23=""),0,IF(G23&lt;E23,1,0))+IF(OR(E25="",G25=""),0,IF(E25&lt;G25,1,0))</f>
        <v>1</v>
      </c>
      <c r="LS4" s="71">
        <f>G20+G23+E25</f>
        <v>6</v>
      </c>
      <c r="LT4" s="71">
        <f>E20+E23+G25</f>
        <v>3</v>
      </c>
      <c r="LU4" s="71">
        <f t="shared" si="1"/>
        <v>3</v>
      </c>
      <c r="LV4" s="70">
        <f t="shared" si="2"/>
        <v>3</v>
      </c>
      <c r="LW4" s="70">
        <f t="shared" si="3"/>
        <v>0.3</v>
      </c>
      <c r="LX4" s="70">
        <f t="shared" si="4"/>
        <v>0.06</v>
      </c>
      <c r="LY4" s="70">
        <f t="shared" si="5"/>
        <v>3.36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3.36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7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1</v>
      </c>
      <c r="LR5" s="71">
        <f>IF(OR(E21="",G21=""),0,IF(E21&lt;G21,1,0))+IF(OR(G22="",E22=""),0,IF(G22&lt;E22,1,0))+IF(OR(G24="",E24=""),0,IF(G24&lt;E24,1,0))</f>
        <v>0</v>
      </c>
      <c r="LS5" s="71">
        <f>E21+G22+G24</f>
        <v>5</v>
      </c>
      <c r="LT5" s="71">
        <f>G21+E22+E24</f>
        <v>1</v>
      </c>
      <c r="LU5" s="71">
        <f t="shared" si="1"/>
        <v>4</v>
      </c>
      <c r="LV5" s="70">
        <f t="shared" si="2"/>
        <v>7</v>
      </c>
      <c r="LW5" s="70">
        <f t="shared" si="3"/>
        <v>0.4</v>
      </c>
      <c r="LX5" s="70">
        <f t="shared" si="4"/>
        <v>0.05</v>
      </c>
      <c r="LY5" s="70">
        <f t="shared" si="5"/>
        <v>7.45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7.45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22.5" customHeight="1">
      <c r="A6" s="222" t="s">
        <v>166</v>
      </c>
      <c r="B6" s="223"/>
      <c r="C6" s="223"/>
      <c r="D6" s="224"/>
      <c r="E6" s="256" t="s">
        <v>170</v>
      </c>
      <c r="F6" s="225"/>
      <c r="G6" s="225"/>
      <c r="H6" s="225"/>
      <c r="I6" s="225"/>
      <c r="J6" s="256" t="s">
        <v>171</v>
      </c>
      <c r="K6" s="257" t="s">
        <v>171</v>
      </c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7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2</v>
      </c>
      <c r="LQ6" s="71">
        <f>IF(OR(G21="",E21=""),0,IF(G21=E21,1,0))+IF(OR(E23="",G23=""),0,IF(E23=G23,1,0))+IF(OR(E25="",G25=""),0,IF(E25=G25,1,0))</f>
        <v>1</v>
      </c>
      <c r="LR6" s="71">
        <f>IF(OR(G21="",E21=""),0,IF(G21&lt;E21,1,0))+IF(OR(E23="",G23=""),0,IF(E23&lt;G23,1,0))+IF(OR(E25="",G25=""),0,IF(E25&lt;G25,1,0))</f>
        <v>0</v>
      </c>
      <c r="LS6" s="71">
        <f>G21+E23+E25</f>
        <v>6</v>
      </c>
      <c r="LT6" s="71">
        <f>E21+G23+G25</f>
        <v>1</v>
      </c>
      <c r="LU6" s="71">
        <f t="shared" si="1"/>
        <v>5</v>
      </c>
      <c r="LV6" s="70">
        <f t="shared" si="2"/>
        <v>7</v>
      </c>
      <c r="LW6" s="70">
        <f t="shared" si="3"/>
        <v>0.5</v>
      </c>
      <c r="LX6" s="70">
        <f t="shared" si="4"/>
        <v>0.06</v>
      </c>
      <c r="LY6" s="70">
        <f t="shared" si="5"/>
        <v>7.56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7.56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28"/>
      <c r="E7" s="256" t="s">
        <v>172</v>
      </c>
      <c r="F7" s="225"/>
      <c r="G7" s="225"/>
      <c r="H7" s="225"/>
      <c r="I7" s="225"/>
      <c r="J7" s="256" t="s">
        <v>171</v>
      </c>
      <c r="K7" s="257" t="s">
        <v>171</v>
      </c>
      <c r="L7" s="229">
        <f>SUM(Z18,X22:X23,X30:X31,X38:X39,X46:X47,X54:X55,X62:X63,X70:X71,X78:X79,L9:L14)</f>
        <v>144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173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174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Oficial'!D113,20,IF(Marco!D11='Resultado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7</v>
      </c>
      <c r="LT11" s="71">
        <f>G28+G31+E32</f>
        <v>0</v>
      </c>
      <c r="LU11" s="71">
        <f t="shared" ref="LU11:LU14" si="10">LS11-LT11</f>
        <v>7</v>
      </c>
      <c r="LV11" s="70">
        <f t="shared" ref="LV11:LV14" si="11">LN11</f>
        <v>9</v>
      </c>
      <c r="LW11" s="70">
        <f t="shared" ref="LW11:LW14" si="12">LU11/10</f>
        <v>0.7</v>
      </c>
      <c r="LX11" s="70">
        <f t="shared" ref="LX11:LX14" si="13">LS11/100</f>
        <v>0.07</v>
      </c>
      <c r="LY11" s="70">
        <f t="shared" ref="LY11:LY14" si="14">SUM(LV11:LX11)</f>
        <v>9.77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9.77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175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Oficial'!D113,20,IF(Marco!D12='Resultado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0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3</v>
      </c>
      <c r="LS12" s="71">
        <f>G28+G30+E33</f>
        <v>0</v>
      </c>
      <c r="LT12" s="71">
        <f>E28+E30+G33</f>
        <v>7</v>
      </c>
      <c r="LU12" s="71">
        <f t="shared" si="10"/>
        <v>-7</v>
      </c>
      <c r="LV12" s="70">
        <f t="shared" si="11"/>
        <v>0</v>
      </c>
      <c r="LW12" s="70">
        <f t="shared" si="12"/>
        <v>-0.7</v>
      </c>
      <c r="LX12" s="70">
        <f t="shared" si="13"/>
        <v>0</v>
      </c>
      <c r="LY12" s="70">
        <f t="shared" si="14"/>
        <v>-0.7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-0.7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4</v>
      </c>
      <c r="MH12" s="70" t="str">
        <f t="shared" si="17"/>
        <v>País de Gales</v>
      </c>
    </row>
    <row r="13" ht="22.5" customHeight="1">
      <c r="A13" s="222" t="s">
        <v>139</v>
      </c>
      <c r="B13" s="223"/>
      <c r="C13" s="223"/>
      <c r="D13" s="208" t="s">
        <v>176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Oficial'!D112,20,IF(Marco!D13='Resultado Oficial'!D114,20,0)))))</f>
        <v>20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3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0</v>
      </c>
      <c r="LR13" s="71">
        <f>IF(OR(E29="",G29=""),0,IF(E29&lt;G29,1,0))+IF(OR(G31="",E31=""),0,IF(G31&lt;E31,1,0))+IF(OR(G33="",E33=""),0,IF(G33&lt;E33,1,0))</f>
        <v>2</v>
      </c>
      <c r="LS13" s="71">
        <f>E29+G31+G33</f>
        <v>3</v>
      </c>
      <c r="LT13" s="71">
        <f>G29+E31+E33</f>
        <v>4</v>
      </c>
      <c r="LU13" s="71">
        <f t="shared" si="10"/>
        <v>-1</v>
      </c>
      <c r="LV13" s="70">
        <f t="shared" si="11"/>
        <v>3</v>
      </c>
      <c r="LW13" s="70">
        <f t="shared" si="12"/>
        <v>-0.1</v>
      </c>
      <c r="LX13" s="70">
        <f t="shared" si="13"/>
        <v>0.03</v>
      </c>
      <c r="LY13" s="70">
        <f t="shared" si="14"/>
        <v>2.93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2.93</v>
      </c>
      <c r="MD13" s="70">
        <f>RANK($MC$13,$MC$11:$MC$14,0)</f>
        <v>3</v>
      </c>
      <c r="ME13" s="70">
        <f>IF(OR(AND(MD11=MD12,MD11=MD13,MD11=MD14),AND(MD13=MD11,MD13=MD12)),MD13+2,IF(OR(AND(MD13=MD12,MD13=MD14),MD13=MD11,MD13=MD12),MD13+1,MD13))</f>
        <v>3</v>
      </c>
      <c r="MF13" s="70">
        <v>3.0</v>
      </c>
      <c r="MG13" s="70">
        <f t="shared" si="16"/>
        <v>3</v>
      </c>
      <c r="MH13" s="70" t="str">
        <f t="shared" si="17"/>
        <v>Estados Unidos</v>
      </c>
    </row>
    <row r="14" ht="22.5" customHeight="1">
      <c r="A14" s="222" t="s">
        <v>140</v>
      </c>
      <c r="B14" s="223"/>
      <c r="C14" s="223"/>
      <c r="D14" s="208" t="s">
        <v>177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Oficial'!D112,20,IF(Marco!D14='Resultado Oficial'!D113,20,0)))))</f>
        <v>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6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2</v>
      </c>
      <c r="LQ14" s="71">
        <f>IF(OR(G29="",E29=""),0,IF(G29=E29,1,0))+IF(OR(E30="",G30=""),0,IF(E30=G30,1,0))+IF(OR(E32="",G32=""),0,IF(E32=G32,1,0))</f>
        <v>0</v>
      </c>
      <c r="LR14" s="71">
        <f>IF(OR(G29="",E29=""),0,IF(G29&lt;E29,1,0))+IF(OR(E30="",G30=""),0,IF(E30&lt;G30,1,0))+IF(OR(E32="",G32=""),0,IF(E32&lt;G32,1,0))</f>
        <v>1</v>
      </c>
      <c r="LS14" s="71">
        <f>G29+E30+E32</f>
        <v>4</v>
      </c>
      <c r="LT14" s="71">
        <f>E29+G30+G32</f>
        <v>3</v>
      </c>
      <c r="LU14" s="71">
        <f t="shared" si="10"/>
        <v>1</v>
      </c>
      <c r="LV14" s="70">
        <f t="shared" si="11"/>
        <v>6</v>
      </c>
      <c r="LW14" s="70">
        <f t="shared" si="12"/>
        <v>0.1</v>
      </c>
      <c r="LX14" s="70">
        <f t="shared" si="13"/>
        <v>0.04</v>
      </c>
      <c r="LY14" s="70">
        <f t="shared" si="14"/>
        <v>6.14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6.14</v>
      </c>
      <c r="MD14" s="70">
        <f>RANK($MC$14,$MC$11:$MC$14,0)</f>
        <v>2</v>
      </c>
      <c r="ME14" s="70">
        <f>IF(AND(MD11=MD12,MD11=MD13,MD11=MD14),MD14+3,IF(OR(AND(MD14=MD13,MD14=MD12),AND(MD14=MD12,MD14=MD11)),MD14+2,IF(OR(MD14=MD13,MD14=MD12,MD14=MD11),MD14+1,MD14)))</f>
        <v>2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85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9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3</v>
      </c>
      <c r="LQ19" s="71">
        <f>IF(OR(E36="",G36=""),0,IF(E36=G36,1,0))+IF(OR(E39="",G39=""),0,IF(E39=G39,1,0))+IF(OR(G40="",E40=""),0,IF(G40=E40,1,0))</f>
        <v>0</v>
      </c>
      <c r="LR19" s="71">
        <f>IF(OR(E36="",G36=""),0,IF(E36&lt;G36,1,0))+IF(OR(E39="",G39=""),0,IF(E39&lt;G39,1,0))+IF(OR(G40="",E40=""),0,IF(G40&lt;E40,1,0))</f>
        <v>0</v>
      </c>
      <c r="LS19" s="71">
        <f>E36+E39+G40</f>
        <v>7</v>
      </c>
      <c r="LT19" s="71">
        <f>G36+G39+E40</f>
        <v>1</v>
      </c>
      <c r="LU19" s="71">
        <f t="shared" ref="LU19:LU22" si="18">LS19-LT19</f>
        <v>6</v>
      </c>
      <c r="LV19" s="70">
        <f t="shared" ref="LV19:LV22" si="19">LN19</f>
        <v>9</v>
      </c>
      <c r="LW19" s="70">
        <f t="shared" ref="LW19:LW22" si="20">LU19/10</f>
        <v>0.6</v>
      </c>
      <c r="LX19" s="70">
        <f t="shared" ref="LX19:LX22" si="21">LS19/100</f>
        <v>0.07</v>
      </c>
      <c r="LY19" s="70">
        <f t="shared" ref="LY19:LY22" si="22">SUM(LV19:LX19)</f>
        <v>9.67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9.67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1.0</v>
      </c>
      <c r="F20" s="93" t="s">
        <v>72</v>
      </c>
      <c r="G20" s="94">
        <v>3.0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6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0</v>
      </c>
      <c r="LT20" s="71">
        <f>E36+E38+G41</f>
        <v>9</v>
      </c>
      <c r="LU20" s="71">
        <f t="shared" si="18"/>
        <v>-9</v>
      </c>
      <c r="LV20" s="70">
        <f t="shared" si="19"/>
        <v>0</v>
      </c>
      <c r="LW20" s="70">
        <f t="shared" si="20"/>
        <v>-0.9</v>
      </c>
      <c r="LX20" s="70">
        <f t="shared" si="21"/>
        <v>0</v>
      </c>
      <c r="LY20" s="70">
        <f t="shared" si="22"/>
        <v>-0.9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-0.9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1.0</v>
      </c>
      <c r="F21" s="106" t="s">
        <v>72</v>
      </c>
      <c r="G21" s="107">
        <v>1.0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0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3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0</v>
      </c>
      <c r="LR21" s="71">
        <f>IF(OR(E37="",G37=""),0,IF(E37&lt;G37,1,0))+IF(OR(G39="",E39=""),0,IF(G39&lt;E39,1,0))+IF(OR(G41="",E41=""),0,IF(G41&lt;E41,1,0))</f>
        <v>2</v>
      </c>
      <c r="LS21" s="71">
        <f>E37+G39+G41</f>
        <v>4</v>
      </c>
      <c r="LT21" s="71">
        <f>G37+E39+E41</f>
        <v>4</v>
      </c>
      <c r="LU21" s="71">
        <f t="shared" si="18"/>
        <v>0</v>
      </c>
      <c r="LV21" s="70">
        <f t="shared" si="19"/>
        <v>3</v>
      </c>
      <c r="LW21" s="70">
        <f t="shared" si="20"/>
        <v>0</v>
      </c>
      <c r="LX21" s="70">
        <f t="shared" si="21"/>
        <v>0.04</v>
      </c>
      <c r="LY21" s="70">
        <f t="shared" si="22"/>
        <v>3.04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3.04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2.0</v>
      </c>
      <c r="H22" s="117"/>
      <c r="I22" s="96" t="s">
        <v>61</v>
      </c>
      <c r="J22" s="97" t="s">
        <v>76</v>
      </c>
      <c r="K22" s="109"/>
      <c r="L22" s="118" t="str">
        <f>Marco!MH3</f>
        <v>Holanda</v>
      </c>
      <c r="M22" s="119">
        <f>VLOOKUP(L22,Marco!$LM$3:$LU$6,2,FALSE)</f>
        <v>7</v>
      </c>
      <c r="N22" s="120">
        <f>VLOOKUP(L22,Marco!$LM$3:$LU$6,3,FALSE)</f>
        <v>3</v>
      </c>
      <c r="O22" s="120">
        <f>VLOOKUP(L22,Marco!$LM$3:$LU$6,4,FALSE)</f>
        <v>2</v>
      </c>
      <c r="P22" s="120">
        <f>VLOOKUP(L22,Marco!$LM$3:$LU$6,5,FALSE)</f>
        <v>1</v>
      </c>
      <c r="Q22" s="120">
        <f>VLOOKUP(L22,Marco!$LM$3:$LU$6,6,FALSE)</f>
        <v>0</v>
      </c>
      <c r="R22" s="120">
        <f>VLOOKUP(L22,Marco!$LM$3:$LU$6,7,FALSE)</f>
        <v>6</v>
      </c>
      <c r="S22" s="120">
        <f>VLOOKUP(L22,Marco!$LM$3:$LU$6,8,FALSE)</f>
        <v>1</v>
      </c>
      <c r="T22" s="121">
        <f>VLOOKUP(L22,Marco!$LM$3:$LU$6,9,FALSE)</f>
        <v>5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6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6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1</v>
      </c>
      <c r="LQ22" s="71">
        <f>IF(OR(G37="",E37=""),0,IF(G37=E37,1,0))+IF(OR(E38="",G38=""),0,IF(E38=G38,1,0))+IF(OR(E40="",G40=""),0,IF(E40=G40,1,0))</f>
        <v>0</v>
      </c>
      <c r="LR22" s="71">
        <f>IF(OR(G37="",E37=""),0,IF(G37&lt;E37,1,0))+IF(OR(E38="",G38=""),0,IF(E38&lt;G38,1,0))+IF(OR(E40="",G40=""),0,IF(E40&lt;G40,1,0))</f>
        <v>1</v>
      </c>
      <c r="LS22" s="71">
        <f>G37+E38+E40</f>
        <v>5</v>
      </c>
      <c r="LT22" s="71">
        <f>E37+G38+G40</f>
        <v>2</v>
      </c>
      <c r="LU22" s="71">
        <f t="shared" si="18"/>
        <v>3</v>
      </c>
      <c r="LV22" s="70">
        <f t="shared" si="19"/>
        <v>6</v>
      </c>
      <c r="LW22" s="70">
        <f t="shared" si="20"/>
        <v>0.3</v>
      </c>
      <c r="LX22" s="70">
        <f t="shared" si="21"/>
        <v>0.05</v>
      </c>
      <c r="LY22" s="70">
        <f t="shared" si="22"/>
        <v>6.35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6.35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106" t="s">
        <v>72</v>
      </c>
      <c r="G23" s="107">
        <v>0.0</v>
      </c>
      <c r="H23" s="108"/>
      <c r="I23" s="96" t="s">
        <v>60</v>
      </c>
      <c r="J23" s="97" t="s">
        <v>80</v>
      </c>
      <c r="K23" s="109"/>
      <c r="L23" s="118" t="str">
        <f>Marco!MH4</f>
        <v>Senegal</v>
      </c>
      <c r="M23" s="119">
        <f>VLOOKUP(L23,Marco!$LM$3:$LU$6,2,FALSE)</f>
        <v>7</v>
      </c>
      <c r="N23" s="120">
        <f>VLOOKUP(L23,Marco!$LM$3:$LU$6,3,FALSE)</f>
        <v>3</v>
      </c>
      <c r="O23" s="120">
        <f>VLOOKUP(L23,Marco!$LM$3:$LU$6,4,FALSE)</f>
        <v>2</v>
      </c>
      <c r="P23" s="120">
        <f>VLOOKUP(L23,Marco!$LM$3:$LU$6,5,FALSE)</f>
        <v>1</v>
      </c>
      <c r="Q23" s="120">
        <f>VLOOKUP(L23,Marco!$LM$3:$LU$6,6,FALSE)</f>
        <v>0</v>
      </c>
      <c r="R23" s="120">
        <f>VLOOKUP(L23,Marco!$LM$3:$LU$6,7,FALSE)</f>
        <v>5</v>
      </c>
      <c r="S23" s="120">
        <f>VLOOKUP(L23,Marco!$LM$3:$LU$6,8,FALSE)</f>
        <v>1</v>
      </c>
      <c r="T23" s="121">
        <f>VLOOKUP(L23,Marco!$LM$3:$LU$6,9,FALSE)</f>
        <v>4</v>
      </c>
      <c r="U23" s="52"/>
      <c r="V23" s="59" t="s">
        <v>81</v>
      </c>
      <c r="W23" s="122" t="str">
        <f t="shared" si="26"/>
        <v>Senegal</v>
      </c>
      <c r="X23" s="236">
        <f>IF(AND(W23&lt;&gt;"",'Resultado Oficial'!W22&lt;&gt;"",'Resultado Oficial'!W23&lt;&gt;""),IF(W23='Resultado Oficial'!W23,5,IF(W23='Resultado Oficial'!W22,2,0)),"")</f>
        <v>5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0.0</v>
      </c>
      <c r="F24" s="106" t="s">
        <v>72</v>
      </c>
      <c r="G24" s="107">
        <v>2.0</v>
      </c>
      <c r="H24" s="108"/>
      <c r="I24" s="96" t="s">
        <v>61</v>
      </c>
      <c r="J24" s="97" t="s">
        <v>80</v>
      </c>
      <c r="K24" s="109"/>
      <c r="L24" s="118" t="str">
        <f>Marco!MH5</f>
        <v>Equador</v>
      </c>
      <c r="M24" s="119">
        <f>VLOOKUP(L24,Marco!$LM$3:$LU$6,2,FALSE)</f>
        <v>3</v>
      </c>
      <c r="N24" s="120">
        <f>VLOOKUP(L24,Marco!$LM$3:$LU$6,3,FALSE)</f>
        <v>3</v>
      </c>
      <c r="O24" s="120">
        <f>VLOOKUP(L24,Marco!$LM$3:$LU$6,4,FALSE)</f>
        <v>2</v>
      </c>
      <c r="P24" s="120">
        <f>VLOOKUP(L24,Marco!$LM$3:$LU$6,5,FALSE)</f>
        <v>0</v>
      </c>
      <c r="Q24" s="120">
        <f>VLOOKUP(L24,Marco!$LM$3:$LU$6,6,FALSE)</f>
        <v>1</v>
      </c>
      <c r="R24" s="120">
        <f>VLOOKUP(L24,Marco!$LM$3:$LU$6,7,FALSE)</f>
        <v>6</v>
      </c>
      <c r="S24" s="120">
        <f>VLOOKUP(L24,Marco!$LM$3:$LU$6,8,FALSE)</f>
        <v>3</v>
      </c>
      <c r="T24" s="121">
        <f>VLOOKUP(L24,Marco!$LM$3:$LU$6,9,FALSE)</f>
        <v>3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3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3.0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Marco!MH6</f>
        <v>Catar</v>
      </c>
      <c r="M25" s="125">
        <f>VLOOKUP(L25,Marco!$LM$3:$LU$6,2,FALSE)</f>
        <v>0</v>
      </c>
      <c r="N25" s="126">
        <f>VLOOKUP(L25,Marco!$LM$3:$LU$6,3,FALSE)</f>
        <v>3</v>
      </c>
      <c r="O25" s="126">
        <f>VLOOKUP(L25,Marco!$LM$3:$LU$6,4,FALSE)</f>
        <v>0</v>
      </c>
      <c r="P25" s="126">
        <f>VLOOKUP(L25,Marco!$LM$3:$LU$6,5,FALSE)</f>
        <v>0</v>
      </c>
      <c r="Q25" s="126">
        <f>VLOOKUP(L25,Marco!$LM$3:$LU$6,6,FALSE)</f>
        <v>3</v>
      </c>
      <c r="R25" s="126">
        <f>VLOOKUP(L25,Marco!$LM$3:$LU$6,7,FALSE)</f>
        <v>1</v>
      </c>
      <c r="S25" s="126">
        <f>VLOOKUP(L25,Marco!$LM$3:$LU$6,8,FALSE)</f>
        <v>8</v>
      </c>
      <c r="T25" s="127">
        <f>VLOOKUP(L25,Marco!$LM$3:$LU$6,9,FALSE)</f>
        <v>-7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7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2</v>
      </c>
      <c r="LQ27" s="71">
        <f>IF(OR(E45="",G45=""),0,IF(E45=G45,1,0))+IF(OR(E47="",G47=""),0,IF(E47=G47,1,0))+IF(OR(G49="",E49=""),0,IF(G49=E49,1,0))</f>
        <v>1</v>
      </c>
      <c r="LR27" s="71">
        <f>IF(OR(E45="",G45=""),0,IF(E45&lt;G45,1,0))+IF(OR(E47="",G47=""),0,IF(E47&lt;G47,1,0))+IF(OR(G49="",E49=""),0,IF(G49&lt;E49,1,0))</f>
        <v>0</v>
      </c>
      <c r="LS27" s="71">
        <f>E45+E47+G49</f>
        <v>6</v>
      </c>
      <c r="LT27" s="71">
        <f>G45+G47+E49</f>
        <v>2</v>
      </c>
      <c r="LU27" s="71">
        <f t="shared" ref="LU27:LU30" si="27">LS27-LT27</f>
        <v>4</v>
      </c>
      <c r="LV27" s="70">
        <f t="shared" ref="LV27:LV30" si="28">LN27</f>
        <v>7</v>
      </c>
      <c r="LW27" s="70">
        <f t="shared" ref="LW27:LW30" si="29">LU27/10</f>
        <v>0.4</v>
      </c>
      <c r="LX27" s="70">
        <f t="shared" ref="LX27:LX30" si="30">LS27/100</f>
        <v>0.06</v>
      </c>
      <c r="LY27" s="70">
        <f t="shared" ref="LY27:LY30" si="31">SUM(LV27:LX27)</f>
        <v>7.46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7.46</v>
      </c>
      <c r="MD27" s="70">
        <f>RANK($MC$27,$MC$27:$MC$30,0)</f>
        <v>2</v>
      </c>
      <c r="ME27" s="70">
        <f>MD27</f>
        <v>2</v>
      </c>
      <c r="MF27" s="70">
        <v>1.0</v>
      </c>
      <c r="MG27" s="70">
        <f t="shared" ref="MG27:MG30" si="33">MATCH(MF27,$ME$27:$ME$30,0)</f>
        <v>3</v>
      </c>
      <c r="MH27" s="70" t="str">
        <f t="shared" ref="MH27:MH30" si="34">INDEX($LM$27:$LM$30,MG27)</f>
        <v>Dinamarca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3.0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1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1</v>
      </c>
      <c r="LR28" s="71">
        <f>IF(OR(G45="",E45=""),0,IF(G45&lt;E45,1,0))+IF(OR(G46="",E46=""),0,IF(G46&lt;E46,1,0))+IF(OR(E48="",G48=""),0,IF(E48&lt;G48,1,0))</f>
        <v>2</v>
      </c>
      <c r="LS28" s="71">
        <f>G45+G46+E48</f>
        <v>0</v>
      </c>
      <c r="LT28" s="71">
        <f>E45+E46+G48</f>
        <v>3</v>
      </c>
      <c r="LU28" s="71">
        <f t="shared" si="27"/>
        <v>-3</v>
      </c>
      <c r="LV28" s="70">
        <f t="shared" si="28"/>
        <v>1</v>
      </c>
      <c r="LW28" s="70">
        <f t="shared" si="29"/>
        <v>-0.3</v>
      </c>
      <c r="LX28" s="70">
        <f t="shared" si="30"/>
        <v>0</v>
      </c>
      <c r="LY28" s="70">
        <f t="shared" si="31"/>
        <v>0.7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0.7</v>
      </c>
      <c r="MD28" s="70">
        <f>RANK($MC$28,$MC$27:$MC$30,0)</f>
        <v>4</v>
      </c>
      <c r="ME28" s="70">
        <f>IF(OR(AND(MD27=MD28,MD27=MD29,MD27=MD30),AND(MD28=MD27,MD28=MD29),AND(MD28=MD27,MD28=MD30),MD28=MD27),MD28+1,MD28)</f>
        <v>4</v>
      </c>
      <c r="MF28" s="70">
        <v>2.0</v>
      </c>
      <c r="MG28" s="70">
        <f t="shared" si="33"/>
        <v>1</v>
      </c>
      <c r="MH28" s="70" t="str">
        <f t="shared" si="34"/>
        <v>França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1.0</v>
      </c>
      <c r="F29" s="106" t="s">
        <v>72</v>
      </c>
      <c r="G29" s="107">
        <v>2.0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7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1</v>
      </c>
      <c r="LR29" s="71">
        <f>IF(OR(E44="",G44=""),0,IF(E44&lt;G44,1,0))+IF(OR(G47="",E47=""),0,IF(G47&lt;E47,1,0))+IF(OR(G48="",E48=""),0,IF(G48&lt;E48,1,0))</f>
        <v>0</v>
      </c>
      <c r="LS29" s="71">
        <f>E44+G47+G48</f>
        <v>6</v>
      </c>
      <c r="LT29" s="71">
        <f>G44+E47+E48</f>
        <v>1</v>
      </c>
      <c r="LU29" s="71">
        <f t="shared" si="27"/>
        <v>5</v>
      </c>
      <c r="LV29" s="70">
        <f t="shared" si="28"/>
        <v>7</v>
      </c>
      <c r="LW29" s="70">
        <f t="shared" si="29"/>
        <v>0.5</v>
      </c>
      <c r="LX29" s="70">
        <f t="shared" si="30"/>
        <v>0.06</v>
      </c>
      <c r="LY29" s="70">
        <f t="shared" si="31"/>
        <v>7.56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7.56</v>
      </c>
      <c r="MD29" s="70">
        <f>RANK($MC$29,$MC$27:$MC$30,0)</f>
        <v>1</v>
      </c>
      <c r="ME29" s="70">
        <f>IF(OR(AND(MD27=MD28,MD27=MD29,MD27=MD30),AND(MD29=MD27,MD29=MD28)),MD29+2,IF(OR(AND(MD29=MD28,MD29=MD30),MD29=MD27,MD29=MD28),MD29+1,MD29))</f>
        <v>1</v>
      </c>
      <c r="MF29" s="70">
        <v>3.0</v>
      </c>
      <c r="MG29" s="70">
        <f t="shared" si="33"/>
        <v>4</v>
      </c>
      <c r="MH29" s="70" t="str">
        <f t="shared" si="34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2.0</v>
      </c>
      <c r="F30" s="115" t="s">
        <v>72</v>
      </c>
      <c r="G30" s="116">
        <v>0.0</v>
      </c>
      <c r="H30" s="117"/>
      <c r="I30" s="96" t="s">
        <v>65</v>
      </c>
      <c r="J30" s="97" t="s">
        <v>88</v>
      </c>
      <c r="K30" s="109"/>
      <c r="L30" s="118" t="str">
        <f>Marco!MH11</f>
        <v>Inglaterra</v>
      </c>
      <c r="M30" s="119">
        <f>VLOOKUP(L30,Marco!$LM$11:$LU$14,2,FALSE)</f>
        <v>9</v>
      </c>
      <c r="N30" s="120">
        <f>VLOOKUP(L30,Marco!$LM$11:$LU$14,3,FALSE)</f>
        <v>3</v>
      </c>
      <c r="O30" s="120">
        <f>VLOOKUP(L30,Marco!$LM$11:$LU$14,4,FALSE)</f>
        <v>3</v>
      </c>
      <c r="P30" s="120">
        <f>VLOOKUP(L30,Marco!$LM$11:$LU$14,5,FALSE)</f>
        <v>0</v>
      </c>
      <c r="Q30" s="120">
        <f>VLOOKUP(L30,Marco!$LM$11:$LU$14,6,FALSE)</f>
        <v>0</v>
      </c>
      <c r="R30" s="120">
        <f>VLOOKUP(L30,Marco!$LM$11:$LU$14,7,FALSE)</f>
        <v>7</v>
      </c>
      <c r="S30" s="120">
        <f>VLOOKUP(L30,Marco!$LM$11:$LU$14,8,FALSE)</f>
        <v>0</v>
      </c>
      <c r="T30" s="121">
        <f>VLOOKUP(L30,Marco!$LM$11:$LU$14,9,FALSE)</f>
        <v>7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2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2</v>
      </c>
      <c r="LS30" s="71">
        <f>G44+E46+E49</f>
        <v>1</v>
      </c>
      <c r="LT30" s="71">
        <f>E44+G46+G49</f>
        <v>7</v>
      </c>
      <c r="LU30" s="71">
        <f t="shared" si="27"/>
        <v>-6</v>
      </c>
      <c r="LV30" s="70">
        <f t="shared" si="28"/>
        <v>2</v>
      </c>
      <c r="LW30" s="70">
        <f t="shared" si="29"/>
        <v>-0.6</v>
      </c>
      <c r="LX30" s="70">
        <f t="shared" si="30"/>
        <v>0.01</v>
      </c>
      <c r="LY30" s="70">
        <f t="shared" si="31"/>
        <v>1.41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1.41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3"/>
        <v>2</v>
      </c>
      <c r="MH30" s="70" t="str">
        <f t="shared" si="34"/>
        <v>Austrália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106" t="s">
        <v>72</v>
      </c>
      <c r="G31" s="107">
        <v>0.0</v>
      </c>
      <c r="H31" s="108"/>
      <c r="I31" s="96" t="s">
        <v>66</v>
      </c>
      <c r="J31" s="97" t="s">
        <v>73</v>
      </c>
      <c r="K31" s="109"/>
      <c r="L31" s="118" t="str">
        <f>Marco!MH12</f>
        <v>País de Gales</v>
      </c>
      <c r="M31" s="119">
        <f>VLOOKUP(L31,Marco!$LM$11:$LU$14,2,FALSE)</f>
        <v>6</v>
      </c>
      <c r="N31" s="120">
        <f>VLOOKUP(L31,Marco!$LM$11:$LU$14,3,FALSE)</f>
        <v>3</v>
      </c>
      <c r="O31" s="120">
        <f>VLOOKUP(L31,Marco!$LM$11:$LU$14,4,FALSE)</f>
        <v>2</v>
      </c>
      <c r="P31" s="120">
        <f>VLOOKUP(L31,Marco!$LM$11:$LU$14,5,FALSE)</f>
        <v>0</v>
      </c>
      <c r="Q31" s="120">
        <f>VLOOKUP(L31,Marco!$LM$11:$LU$14,6,FALSE)</f>
        <v>1</v>
      </c>
      <c r="R31" s="120">
        <f>VLOOKUP(L31,Marco!$LM$11:$LU$14,7,FALSE)</f>
        <v>4</v>
      </c>
      <c r="S31" s="120">
        <f>VLOOKUP(L31,Marco!$LM$11:$LU$14,8,FALSE)</f>
        <v>3</v>
      </c>
      <c r="T31" s="121">
        <f>VLOOKUP(L31,Marco!$LM$11:$LU$14,9,FALSE)</f>
        <v>1</v>
      </c>
      <c r="U31" s="53"/>
      <c r="V31" s="59" t="s">
        <v>81</v>
      </c>
      <c r="W31" s="122" t="str">
        <f t="shared" si="35"/>
        <v>País de Gales</v>
      </c>
      <c r="X31" s="236">
        <f>IF(AND(W31&lt;&gt;"",'Resultado Oficial'!W30&lt;&gt;"",'Resultado Oficial'!W31&lt;&gt;""),IF(W31='Resultado Oficial'!W31,5,IF(W31='Resultado Oficial'!W30,2,0)),"")</f>
        <v>0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0.0</v>
      </c>
      <c r="F32" s="106" t="s">
        <v>72</v>
      </c>
      <c r="G32" s="107">
        <v>2.0</v>
      </c>
      <c r="H32" s="108"/>
      <c r="I32" s="96" t="s">
        <v>64</v>
      </c>
      <c r="J32" s="97" t="s">
        <v>88</v>
      </c>
      <c r="K32" s="109"/>
      <c r="L32" s="118" t="str">
        <f>Marco!MH13</f>
        <v>Estados Unidos</v>
      </c>
      <c r="M32" s="119">
        <f>VLOOKUP(L32,Marco!$LM$11:$LU$14,2,FALSE)</f>
        <v>3</v>
      </c>
      <c r="N32" s="120">
        <f>VLOOKUP(L32,Marco!$LM$11:$LU$14,3,FALSE)</f>
        <v>3</v>
      </c>
      <c r="O32" s="120">
        <f>VLOOKUP(L32,Marco!$LM$11:$LU$14,4,FALSE)</f>
        <v>1</v>
      </c>
      <c r="P32" s="120">
        <f>VLOOKUP(L32,Marco!$LM$11:$LU$14,5,FALSE)</f>
        <v>0</v>
      </c>
      <c r="Q32" s="120">
        <f>VLOOKUP(L32,Marco!$LM$11:$LU$14,6,FALSE)</f>
        <v>2</v>
      </c>
      <c r="R32" s="120">
        <f>VLOOKUP(L32,Marco!$LM$11:$LU$14,7,FALSE)</f>
        <v>3</v>
      </c>
      <c r="S32" s="120">
        <f>VLOOKUP(L32,Marco!$LM$11:$LU$14,8,FALSE)</f>
        <v>4</v>
      </c>
      <c r="T32" s="121">
        <f>VLOOKUP(L32,Marco!$LM$11:$LU$14,9,FALSE)</f>
        <v>-1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106" t="s">
        <v>72</v>
      </c>
      <c r="G33" s="107">
        <v>2.0</v>
      </c>
      <c r="H33" s="108"/>
      <c r="I33" s="96" t="s">
        <v>66</v>
      </c>
      <c r="J33" s="97" t="s">
        <v>76</v>
      </c>
      <c r="K33" s="123"/>
      <c r="L33" s="124" t="str">
        <f>Marco!MH14</f>
        <v>Irã</v>
      </c>
      <c r="M33" s="125">
        <f>VLOOKUP(L33,Marco!$LM$11:$LU$14,2,FALSE)</f>
        <v>0</v>
      </c>
      <c r="N33" s="126">
        <f>VLOOKUP(L33,Marco!$LM$11:$LU$14,3,FALSE)</f>
        <v>3</v>
      </c>
      <c r="O33" s="126">
        <f>VLOOKUP(L33,Marco!$LM$11:$LU$14,4,FALSE)</f>
        <v>0</v>
      </c>
      <c r="P33" s="126">
        <f>VLOOKUP(L33,Marco!$LM$11:$LU$14,5,FALSE)</f>
        <v>0</v>
      </c>
      <c r="Q33" s="126">
        <f>VLOOKUP(L33,Marco!$LM$11:$LU$14,6,FALSE)</f>
        <v>3</v>
      </c>
      <c r="R33" s="126">
        <f>VLOOKUP(L33,Marco!$LM$11:$LU$14,7,FALSE)</f>
        <v>0</v>
      </c>
      <c r="S33" s="126">
        <f>VLOOKUP(L33,Marco!$LM$11:$LU$14,8,FALSE)</f>
        <v>7</v>
      </c>
      <c r="T33" s="127">
        <f>VLOOKUP(L33,Marco!$LM$11:$LU$14,9,FALSE)</f>
        <v>-7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3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1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7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1</v>
      </c>
      <c r="LR35" s="71">
        <f>IF(OR(E53="",G53=""),0,IF(E53&lt;G53,1,0))+IF(OR(E55="",G55=""),0,IF(E55&lt;G55,1,0))+IF(OR(G56="",E56=""),0,IF(G56&lt;E56,1,0))</f>
        <v>0</v>
      </c>
      <c r="LS35" s="71">
        <f>E53+E55+G56</f>
        <v>6</v>
      </c>
      <c r="LT35" s="71">
        <f>G53+G55+E56</f>
        <v>2</v>
      </c>
      <c r="LU35" s="71">
        <f t="shared" ref="LU35:LU38" si="36">LS35-LT35</f>
        <v>4</v>
      </c>
      <c r="LV35" s="70">
        <f t="shared" ref="LV35:LV38" si="37">LN35</f>
        <v>7</v>
      </c>
      <c r="LW35" s="70">
        <f t="shared" ref="LW35:LW38" si="38">LU35/10</f>
        <v>0.4</v>
      </c>
      <c r="LX35" s="70">
        <f t="shared" ref="LX35:LX38" si="39">LS35/100</f>
        <v>0.06</v>
      </c>
      <c r="LY35" s="70">
        <f t="shared" ref="LY35:LY38" si="40">SUM(LV35:LX35)</f>
        <v>7.46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7.46</v>
      </c>
      <c r="MD35" s="70">
        <f>RANK($MC$35,$MC$35:$MC$38,0)</f>
        <v>1</v>
      </c>
      <c r="ME35" s="70">
        <f>MD35</f>
        <v>1</v>
      </c>
      <c r="MF35" s="70">
        <v>1.0</v>
      </c>
      <c r="MG35" s="70">
        <f t="shared" ref="MG35:MG38" si="42">MATCH(MF35,$ME$35:$ME$38,0)</f>
        <v>1</v>
      </c>
      <c r="MH35" s="70" t="str">
        <f t="shared" ref="MH35:MH38" si="43">INDEX($LM$35:$LM$38,MG35)</f>
        <v>Espanha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4.0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0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3</v>
      </c>
      <c r="LS36" s="71">
        <f>G53+G54+E57</f>
        <v>0</v>
      </c>
      <c r="LT36" s="71">
        <f>E53+E54+G57</f>
        <v>4</v>
      </c>
      <c r="LU36" s="71">
        <f t="shared" si="36"/>
        <v>-4</v>
      </c>
      <c r="LV36" s="70">
        <f t="shared" si="37"/>
        <v>0</v>
      </c>
      <c r="LW36" s="70">
        <f t="shared" si="38"/>
        <v>-0.4</v>
      </c>
      <c r="LX36" s="70">
        <f t="shared" si="39"/>
        <v>0</v>
      </c>
      <c r="LY36" s="70">
        <f t="shared" si="40"/>
        <v>-0.4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-0.4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3</v>
      </c>
      <c r="MH36" s="70" t="str">
        <f t="shared" si="43"/>
        <v>Alemanha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1.0</v>
      </c>
      <c r="F37" s="106" t="s">
        <v>72</v>
      </c>
      <c r="G37" s="107">
        <v>2.0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7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2</v>
      </c>
      <c r="LQ37" s="71">
        <f>IF(OR(E52="",G52=""),0,IF(E52=G52,1,0))+IF(OR(G55="",E55=""),0,IF(G55=E55,1,0))+IF(OR(G57="",E57=""),0,IF(G57=E57,1,0))</f>
        <v>1</v>
      </c>
      <c r="LR37" s="71">
        <f>IF(OR(E52="",G52=""),0,IF(E52&lt;G52,1,0))+IF(OR(G55="",E55=""),0,IF(G55&lt;E55,1,0))+IF(OR(G57="",E57=""),0,IF(G57&lt;E57,1,0))</f>
        <v>0</v>
      </c>
      <c r="LS37" s="71">
        <f>E52+G55+G57</f>
        <v>4</v>
      </c>
      <c r="LT37" s="71">
        <f>G52+E55+E57</f>
        <v>2</v>
      </c>
      <c r="LU37" s="71">
        <f t="shared" si="36"/>
        <v>2</v>
      </c>
      <c r="LV37" s="70">
        <f t="shared" si="37"/>
        <v>7</v>
      </c>
      <c r="LW37" s="70">
        <f t="shared" si="38"/>
        <v>0.2</v>
      </c>
      <c r="LX37" s="70">
        <f t="shared" si="39"/>
        <v>0.04</v>
      </c>
      <c r="LY37" s="70">
        <f t="shared" si="40"/>
        <v>7.24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7.24</v>
      </c>
      <c r="MD37" s="70">
        <f>RANK($MC$37,$MC$35:$MC$38,0)</f>
        <v>2</v>
      </c>
      <c r="ME37" s="70">
        <f>IF(OR(AND(MD35=MD36,MD35=MD37,MD35=MD38),AND(MD37=MD35,MD37=MD36)),MD37+2,IF(OR(AND(MD37=MD36,MD37=MD38),MD37=MD35,MD37=MD36),MD37+1,MD37))</f>
        <v>2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3.0</v>
      </c>
      <c r="F38" s="115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Marco!MH19</f>
        <v>Argentina</v>
      </c>
      <c r="M38" s="119">
        <f>VLOOKUP(L38,Marco!$LM$19:$LU$22,2,FALSE)</f>
        <v>9</v>
      </c>
      <c r="N38" s="120">
        <f>VLOOKUP(L38,Marco!$LM$19:$LU$22,3,FALSE)</f>
        <v>3</v>
      </c>
      <c r="O38" s="120">
        <f>VLOOKUP(L38,Marco!$LM$19:$LU$22,4,FALSE)</f>
        <v>3</v>
      </c>
      <c r="P38" s="120">
        <f>VLOOKUP(L38,Marco!$LM$19:$LU$22,5,FALSE)</f>
        <v>0</v>
      </c>
      <c r="Q38" s="120">
        <f>VLOOKUP(L38,Marco!$LM$19:$LU$22,6,FALSE)</f>
        <v>0</v>
      </c>
      <c r="R38" s="120">
        <f>VLOOKUP(L38,Marco!$LM$19:$LU$22,7,FALSE)</f>
        <v>7</v>
      </c>
      <c r="S38" s="120">
        <f>VLOOKUP(L38,Marco!$LM$19:$LU$22,8,FALSE)</f>
        <v>1</v>
      </c>
      <c r="T38" s="121">
        <f>VLOOKUP(L38,Marco!$LM$19:$LU$22,9,FALSE)</f>
        <v>6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3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1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2</v>
      </c>
      <c r="LS38" s="71">
        <f>G52+E54+E56</f>
        <v>1</v>
      </c>
      <c r="LT38" s="71">
        <f>E52+G54+G56</f>
        <v>3</v>
      </c>
      <c r="LU38" s="71">
        <f t="shared" si="36"/>
        <v>-2</v>
      </c>
      <c r="LV38" s="70">
        <f t="shared" si="37"/>
        <v>3</v>
      </c>
      <c r="LW38" s="70">
        <f t="shared" si="38"/>
        <v>-0.2</v>
      </c>
      <c r="LX38" s="70">
        <f t="shared" si="39"/>
        <v>0.01</v>
      </c>
      <c r="LY38" s="70">
        <f t="shared" si="40"/>
        <v>2.81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2.81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2.0</v>
      </c>
      <c r="F39" s="106" t="s">
        <v>72</v>
      </c>
      <c r="G39" s="107">
        <v>1.0</v>
      </c>
      <c r="H39" s="108"/>
      <c r="I39" s="96" t="s">
        <v>77</v>
      </c>
      <c r="J39" s="97" t="s">
        <v>94</v>
      </c>
      <c r="K39" s="109"/>
      <c r="L39" s="118" t="str">
        <f>Marco!MH20</f>
        <v>Polônia</v>
      </c>
      <c r="M39" s="119">
        <f>VLOOKUP(L39,Marco!$LM$19:$LU$22,2,FALSE)</f>
        <v>6</v>
      </c>
      <c r="N39" s="120">
        <f>VLOOKUP(L39,Marco!$LM$19:$LU$22,3,FALSE)</f>
        <v>3</v>
      </c>
      <c r="O39" s="120">
        <f>VLOOKUP(L39,Marco!$LM$19:$LU$22,4,FALSE)</f>
        <v>1</v>
      </c>
      <c r="P39" s="120">
        <f>VLOOKUP(L39,Marco!$LM$19:$LU$22,5,FALSE)</f>
        <v>0</v>
      </c>
      <c r="Q39" s="120">
        <f>VLOOKUP(L39,Marco!$LM$19:$LU$22,6,FALSE)</f>
        <v>1</v>
      </c>
      <c r="R39" s="120">
        <f>VLOOKUP(L39,Marco!$LM$19:$LU$22,7,FALSE)</f>
        <v>5</v>
      </c>
      <c r="S39" s="120">
        <f>VLOOKUP(L39,Marco!$LM$19:$LU$22,8,FALSE)</f>
        <v>2</v>
      </c>
      <c r="T39" s="121">
        <f>VLOOKUP(L39,Marco!$LM$19:$LU$22,9,FALSE)</f>
        <v>3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0.0</v>
      </c>
      <c r="F40" s="106" t="s">
        <v>72</v>
      </c>
      <c r="G40" s="107">
        <v>1.0</v>
      </c>
      <c r="H40" s="108"/>
      <c r="I40" s="96" t="s">
        <v>71</v>
      </c>
      <c r="J40" s="97" t="s">
        <v>97</v>
      </c>
      <c r="K40" s="109"/>
      <c r="L40" s="118" t="str">
        <f>Marco!MH21</f>
        <v>México</v>
      </c>
      <c r="M40" s="119">
        <f>VLOOKUP(L40,Marco!$LM$19:$LU$22,2,FALSE)</f>
        <v>3</v>
      </c>
      <c r="N40" s="120">
        <f>VLOOKUP(L40,Marco!$LM$19:$LU$22,3,FALSE)</f>
        <v>3</v>
      </c>
      <c r="O40" s="120">
        <f>VLOOKUP(L40,Marco!$LM$19:$LU$22,4,FALSE)</f>
        <v>1</v>
      </c>
      <c r="P40" s="120">
        <f>VLOOKUP(L40,Marco!$LM$19:$LU$22,5,FALSE)</f>
        <v>0</v>
      </c>
      <c r="Q40" s="120">
        <f>VLOOKUP(L40,Marco!$LM$19:$LU$22,6,FALSE)</f>
        <v>2</v>
      </c>
      <c r="R40" s="120">
        <f>VLOOKUP(L40,Marco!$LM$19:$LU$22,7,FALSE)</f>
        <v>4</v>
      </c>
      <c r="S40" s="120">
        <f>VLOOKUP(L40,Marco!$LM$19:$LU$22,8,FALSE)</f>
        <v>4</v>
      </c>
      <c r="T40" s="121">
        <f>VLOOKUP(L40,Marco!$LM$19:$LU$22,9,FALSE)</f>
        <v>0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3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0.0</v>
      </c>
      <c r="F41" s="106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Marco!MH22</f>
        <v>Arábia Saudita</v>
      </c>
      <c r="M41" s="125">
        <f>VLOOKUP(L41,Marco!$LM$19:$LU$22,2,FALSE)</f>
        <v>0</v>
      </c>
      <c r="N41" s="126">
        <f>VLOOKUP(L41,Marco!$LM$19:$LU$22,3,FALSE)</f>
        <v>3</v>
      </c>
      <c r="O41" s="126">
        <f>VLOOKUP(L41,Marco!$LM$19:$LU$22,4,FALSE)</f>
        <v>0</v>
      </c>
      <c r="P41" s="126">
        <f>VLOOKUP(L41,Marco!$LM$19:$LU$22,5,FALSE)</f>
        <v>0</v>
      </c>
      <c r="Q41" s="126">
        <f>VLOOKUP(L41,Marco!$LM$19:$LU$22,6,FALSE)</f>
        <v>3</v>
      </c>
      <c r="R41" s="126">
        <f>VLOOKUP(L41,Marco!$LM$19:$LU$22,7,FALSE)</f>
        <v>0</v>
      </c>
      <c r="S41" s="126">
        <f>VLOOKUP(L41,Marco!$LM$19:$LU$22,8,FALSE)</f>
        <v>9</v>
      </c>
      <c r="T41" s="127">
        <f>VLOOKUP(L41,Marco!$LM$19:$LU$22,9,FALSE)</f>
        <v>-9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3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1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9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3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8</v>
      </c>
      <c r="LT43" s="71">
        <f>G61+G62+E64</f>
        <v>1</v>
      </c>
      <c r="LU43" s="71">
        <f t="shared" ref="LU43:LU46" si="45">LS43-LT43</f>
        <v>7</v>
      </c>
      <c r="LV43" s="70">
        <f t="shared" ref="LV43:LV46" si="46">LN43</f>
        <v>9</v>
      </c>
      <c r="LW43" s="70">
        <f t="shared" ref="LW43:LW46" si="47">LU43/10</f>
        <v>0.7</v>
      </c>
      <c r="LX43" s="70">
        <f t="shared" ref="LX43:LX46" si="48">LS43/100</f>
        <v>0.08</v>
      </c>
      <c r="LY43" s="70">
        <f t="shared" ref="LY43:LY46" si="49">SUM(LV43:LX43)</f>
        <v>9.78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9.78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3.0</v>
      </c>
      <c r="F44" s="106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4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1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1</v>
      </c>
      <c r="LS44" s="71">
        <f>G61+G63+E65</f>
        <v>3</v>
      </c>
      <c r="LT44" s="71">
        <f>E61+E63+G65</f>
        <v>4</v>
      </c>
      <c r="LU44" s="71">
        <f t="shared" si="45"/>
        <v>-1</v>
      </c>
      <c r="LV44" s="70">
        <f t="shared" si="46"/>
        <v>4</v>
      </c>
      <c r="LW44" s="70">
        <f t="shared" si="47"/>
        <v>-0.1</v>
      </c>
      <c r="LX44" s="70">
        <f t="shared" si="48"/>
        <v>0.03</v>
      </c>
      <c r="LY44" s="70">
        <f t="shared" si="49"/>
        <v>3.93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3.93</v>
      </c>
      <c r="MD44" s="70">
        <f>RANK($MC$44,$MC$43:$MC$46,0)</f>
        <v>2</v>
      </c>
      <c r="ME44" s="70">
        <f>IF(OR(AND(MD43=MD44,MD43=MD45,MD43=MD46),AND(MD44=MD43,MD44=MD45),AND(MD44=MD43,MD44=MD46),MD44=MD43),MD44+1,MD44)</f>
        <v>2</v>
      </c>
      <c r="MF44" s="70">
        <v>2.0</v>
      </c>
      <c r="MG44" s="70">
        <f t="shared" si="51"/>
        <v>2</v>
      </c>
      <c r="MH44" s="70" t="str">
        <f t="shared" si="52"/>
        <v>Canadá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1.0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0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3</v>
      </c>
      <c r="LS45" s="71">
        <f>E60+G62+G65</f>
        <v>1</v>
      </c>
      <c r="LT45" s="71">
        <f>G60+E62+E65</f>
        <v>6</v>
      </c>
      <c r="LU45" s="71">
        <f t="shared" si="45"/>
        <v>-5</v>
      </c>
      <c r="LV45" s="70">
        <f t="shared" si="46"/>
        <v>0</v>
      </c>
      <c r="LW45" s="70">
        <f t="shared" si="47"/>
        <v>-0.5</v>
      </c>
      <c r="LX45" s="70">
        <f t="shared" si="48"/>
        <v>0.01</v>
      </c>
      <c r="LY45" s="70">
        <f t="shared" si="49"/>
        <v>-0.49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-0.49</v>
      </c>
      <c r="MD45" s="70">
        <f>RANK($MC$45,$MC$43:$MC$46,0)</f>
        <v>4</v>
      </c>
      <c r="ME45" s="70">
        <f>IF(OR(AND(MD43=MD44,MD43=MD45,MD43=MD46),AND(MD45=MD43,MD45=MD44)),MD45+2,IF(OR(AND(MD45=MD44,MD45=MD46),MD45=MD43,MD45=MD44),MD45+1,MD45))</f>
        <v>4</v>
      </c>
      <c r="MF45" s="70">
        <v>3.0</v>
      </c>
      <c r="MG45" s="70">
        <f t="shared" si="51"/>
        <v>4</v>
      </c>
      <c r="MH45" s="70" t="str">
        <f t="shared" si="52"/>
        <v>Croácia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0.0</v>
      </c>
      <c r="F46" s="115" t="s">
        <v>72</v>
      </c>
      <c r="G46" s="116">
        <v>0.0</v>
      </c>
      <c r="H46" s="117"/>
      <c r="I46" s="96" t="s">
        <v>87</v>
      </c>
      <c r="J46" s="97" t="s">
        <v>106</v>
      </c>
      <c r="K46" s="109"/>
      <c r="L46" s="118" t="str">
        <f>Marco!MH27</f>
        <v>Dinamarca</v>
      </c>
      <c r="M46" s="119">
        <f>VLOOKUP(L46,Marco!$LM$27:$LU$30,2,FALSE)</f>
        <v>7</v>
      </c>
      <c r="N46" s="120">
        <f>VLOOKUP(L46,Marco!$LM$27:$LU$30,3,FALSE)</f>
        <v>3</v>
      </c>
      <c r="O46" s="120">
        <f>VLOOKUP(L46,Marco!$LM$27:$LU$30,4,FALSE)</f>
        <v>2</v>
      </c>
      <c r="P46" s="120">
        <f>VLOOKUP(L46,Marco!$LM$27:$LU$30,5,FALSE)</f>
        <v>1</v>
      </c>
      <c r="Q46" s="120">
        <f>VLOOKUP(L46,Marco!$LM$27:$LU$30,6,FALSE)</f>
        <v>0</v>
      </c>
      <c r="R46" s="120">
        <f>VLOOKUP(L46,Marco!$LM$27:$LU$30,7,FALSE)</f>
        <v>6</v>
      </c>
      <c r="S46" s="120">
        <f>VLOOKUP(L46,Marco!$LM$27:$LU$30,8,FALSE)</f>
        <v>1</v>
      </c>
      <c r="T46" s="121">
        <f>VLOOKUP(L46,Marco!$LM$27:$LU$30,9,FALSE)</f>
        <v>5</v>
      </c>
      <c r="U46" s="53"/>
      <c r="V46" s="59" t="s">
        <v>78</v>
      </c>
      <c r="W46" s="122" t="str">
        <f t="shared" ref="W46:W47" si="53">IF(N46&lt;&gt;3,"",L46)</f>
        <v>Dinamarca</v>
      </c>
      <c r="X46" s="236">
        <f>IF(AND(W46&lt;&gt;"",'Resultado Oficial'!W46&lt;&gt;"",'Resultado Oficial'!W47&lt;&gt;""),IF(W46='Resultado Oficial'!W46,5,IF(W46='Resultado Oficial'!W47,2,0)),"")</f>
        <v>0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4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1</v>
      </c>
      <c r="LQ46" s="71">
        <f>IF(OR(G60="",E60=""),0,IF(G60=E60,1,0))+IF(OR(E63="",G63=""),0,IF(E63=G63,1,0))+IF(OR(E64="",G64=""),0,IF(E64=G64,1,0))</f>
        <v>1</v>
      </c>
      <c r="LR46" s="71">
        <f>IF(OR(G60="",E60=""),0,IF(G60&lt;E60,1,0))+IF(OR(E63="",G63=""),0,IF(E63&lt;G63,1,0))+IF(OR(E64="",G64=""),0,IF(E64&lt;G64,1,0))</f>
        <v>1</v>
      </c>
      <c r="LS46" s="71">
        <f>G60+E63+E64</f>
        <v>3</v>
      </c>
      <c r="LT46" s="71">
        <f>E60+G63+G64</f>
        <v>4</v>
      </c>
      <c r="LU46" s="71">
        <f t="shared" si="45"/>
        <v>-1</v>
      </c>
      <c r="LV46" s="70">
        <f t="shared" si="46"/>
        <v>4</v>
      </c>
      <c r="LW46" s="70">
        <f t="shared" si="47"/>
        <v>-0.1</v>
      </c>
      <c r="LX46" s="70">
        <f t="shared" si="48"/>
        <v>0.03</v>
      </c>
      <c r="LY46" s="70">
        <f t="shared" si="49"/>
        <v>3.93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3.93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3</v>
      </c>
      <c r="MF46" s="70">
        <v>4.0</v>
      </c>
      <c r="MG46" s="70">
        <f t="shared" si="51"/>
        <v>3</v>
      </c>
      <c r="MH46" s="70" t="str">
        <f t="shared" si="52"/>
        <v>Marrocos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1.0</v>
      </c>
      <c r="F47" s="106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Marco!MH28</f>
        <v>França</v>
      </c>
      <c r="M47" s="119">
        <f>VLOOKUP(L47,Marco!$LM$27:$LU$30,2,FALSE)</f>
        <v>7</v>
      </c>
      <c r="N47" s="120">
        <f>VLOOKUP(L47,Marco!$LM$27:$LU$30,3,FALSE)</f>
        <v>3</v>
      </c>
      <c r="O47" s="120">
        <f>VLOOKUP(L47,Marco!$LM$27:$LU$30,4,FALSE)</f>
        <v>2</v>
      </c>
      <c r="P47" s="120">
        <f>VLOOKUP(L47,Marco!$LM$27:$LU$30,5,FALSE)</f>
        <v>1</v>
      </c>
      <c r="Q47" s="120">
        <f>VLOOKUP(L47,Marco!$LM$27:$LU$30,6,FALSE)</f>
        <v>0</v>
      </c>
      <c r="R47" s="120">
        <f>VLOOKUP(L47,Marco!$LM$27:$LU$30,7,FALSE)</f>
        <v>6</v>
      </c>
      <c r="S47" s="120">
        <f>VLOOKUP(L47,Marco!$LM$27:$LU$30,8,FALSE)</f>
        <v>2</v>
      </c>
      <c r="T47" s="121">
        <f>VLOOKUP(L47,Marco!$LM$27:$LU$30,9,FALSE)</f>
        <v>4</v>
      </c>
      <c r="U47" s="53"/>
      <c r="V47" s="59" t="s">
        <v>81</v>
      </c>
      <c r="W47" s="122" t="str">
        <f t="shared" si="53"/>
        <v>França</v>
      </c>
      <c r="X47" s="236">
        <f>IF(AND(W47&lt;&gt;"",'Resultado Oficial'!W46&lt;&gt;"",'Resultado Oficial'!W47&lt;&gt;""),IF(W47='Resultado Oficial'!W47,5,IF(W47='Resultado Oficial'!W46,2,0)),"")</f>
        <v>2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0.0</v>
      </c>
      <c r="F48" s="106" t="s">
        <v>72</v>
      </c>
      <c r="G48" s="107">
        <v>2.0</v>
      </c>
      <c r="H48" s="108"/>
      <c r="I48" s="96" t="s">
        <v>89</v>
      </c>
      <c r="J48" s="97" t="s">
        <v>106</v>
      </c>
      <c r="K48" s="109"/>
      <c r="L48" s="118" t="str">
        <f>Marco!MH29</f>
        <v>Tunísia</v>
      </c>
      <c r="M48" s="119">
        <f>VLOOKUP(L48,Marco!$LM$27:$LU$30,2,FALSE)</f>
        <v>2</v>
      </c>
      <c r="N48" s="120">
        <f>VLOOKUP(L48,Marco!$LM$27:$LU$30,3,FALSE)</f>
        <v>3</v>
      </c>
      <c r="O48" s="120">
        <f>VLOOKUP(L48,Marco!$LM$27:$LU$30,4,FALSE)</f>
        <v>0</v>
      </c>
      <c r="P48" s="120">
        <f>VLOOKUP(L48,Marco!$LM$27:$LU$30,5,FALSE)</f>
        <v>1</v>
      </c>
      <c r="Q48" s="120">
        <f>VLOOKUP(L48,Marco!$LM$27:$LU$30,6,FALSE)</f>
        <v>2</v>
      </c>
      <c r="R48" s="120">
        <f>VLOOKUP(L48,Marco!$LM$27:$LU$30,7,FALSE)</f>
        <v>1</v>
      </c>
      <c r="S48" s="120">
        <f>VLOOKUP(L48,Marco!$LM$27:$LU$30,8,FALSE)</f>
        <v>7</v>
      </c>
      <c r="T48" s="121">
        <f>VLOOKUP(L48,Marco!$LM$27:$LU$30,9,FALSE)</f>
        <v>-6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1.0</v>
      </c>
      <c r="F49" s="106" t="s">
        <v>72</v>
      </c>
      <c r="G49" s="107">
        <v>4.0</v>
      </c>
      <c r="H49" s="108"/>
      <c r="I49" s="96" t="s">
        <v>85</v>
      </c>
      <c r="J49" s="97" t="s">
        <v>99</v>
      </c>
      <c r="K49" s="123"/>
      <c r="L49" s="124" t="str">
        <f>Marco!MH30</f>
        <v>Austrália</v>
      </c>
      <c r="M49" s="125">
        <f>VLOOKUP(L49,Marco!$LM$27:$LU$30,2,FALSE)</f>
        <v>1</v>
      </c>
      <c r="N49" s="126">
        <f>VLOOKUP(L49,Marco!$LM$27:$LU$30,3,FALSE)</f>
        <v>3</v>
      </c>
      <c r="O49" s="126">
        <f>VLOOKUP(L49,Marco!$LM$27:$LU$30,4,FALSE)</f>
        <v>0</v>
      </c>
      <c r="P49" s="126">
        <f>VLOOKUP(L49,Marco!$LM$27:$LU$30,5,FALSE)</f>
        <v>1</v>
      </c>
      <c r="Q49" s="126">
        <f>VLOOKUP(L49,Marco!$LM$27:$LU$30,6,FALSE)</f>
        <v>2</v>
      </c>
      <c r="R49" s="126">
        <f>VLOOKUP(L49,Marco!$LM$27:$LU$30,7,FALSE)</f>
        <v>0</v>
      </c>
      <c r="S49" s="126">
        <f>VLOOKUP(L49,Marco!$LM$27:$LU$30,8,FALSE)</f>
        <v>3</v>
      </c>
      <c r="T49" s="127">
        <f>VLOOKUP(L49,Marco!$LM$27:$LU$30,9,FALSE)</f>
        <v>-3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9</v>
      </c>
      <c r="LT51" s="71">
        <f>G69+G71+E73</f>
        <v>1</v>
      </c>
      <c r="LU51" s="71">
        <f t="shared" ref="LU51:LU54" si="54">LS51-LT51</f>
        <v>8</v>
      </c>
      <c r="LV51" s="70">
        <f t="shared" ref="LV51:LV54" si="55">LN51</f>
        <v>9</v>
      </c>
      <c r="LW51" s="70">
        <f t="shared" ref="LW51:LW54" si="56">LU51/10</f>
        <v>0.8</v>
      </c>
      <c r="LX51" s="70">
        <f t="shared" ref="LX51:LX54" si="57">LS51/100</f>
        <v>0.09</v>
      </c>
      <c r="LY51" s="70">
        <f t="shared" ref="LY51:LY54" si="58">SUM(LV51:LX51)</f>
        <v>9.89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9.89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1.0</v>
      </c>
      <c r="F52" s="106" t="s">
        <v>72</v>
      </c>
      <c r="G52" s="107">
        <v>0.0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6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2</v>
      </c>
      <c r="LQ52" s="71">
        <f>IF(OR(G69="",E69=""),0,IF(G69=E69,1,0))+IF(OR(G70="",E70=""),0,IF(G70=E70,1,0))+IF(OR(E72="",G72=""),0,IF(E72=G72,1,0))</f>
        <v>0</v>
      </c>
      <c r="LR52" s="71">
        <f>IF(OR(G69="",E69=""),0,IF(G69&lt;E69,1,0))+IF(OR(G70="",E70=""),0,IF(G70&lt;E70,1,0))+IF(OR(E72="",G72=""),0,IF(E72&lt;G72,1,0))</f>
        <v>1</v>
      </c>
      <c r="LS52" s="71">
        <f>G69+G70+E72</f>
        <v>3</v>
      </c>
      <c r="LT52" s="71">
        <f>E69+E70+G72</f>
        <v>3</v>
      </c>
      <c r="LU52" s="71">
        <f t="shared" si="54"/>
        <v>0</v>
      </c>
      <c r="LV52" s="70">
        <f t="shared" si="55"/>
        <v>6</v>
      </c>
      <c r="LW52" s="70">
        <f t="shared" si="56"/>
        <v>0</v>
      </c>
      <c r="LX52" s="70">
        <f t="shared" si="57"/>
        <v>0.03</v>
      </c>
      <c r="LY52" s="70">
        <f t="shared" si="58"/>
        <v>6.03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6.03</v>
      </c>
      <c r="MD52" s="70">
        <f>RANK($MC$52,$MC$51:$MC$54,0)</f>
        <v>2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2.0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3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1</v>
      </c>
      <c r="LQ53" s="71">
        <f>IF(OR(E68="",G68=""),0,IF(E68=G68,1,0))+IF(OR(G71="",E71=""),0,IF(G71=E71,1,0))+IF(OR(G72="",E72=""),0,IF(G72=E72,1,0))</f>
        <v>0</v>
      </c>
      <c r="LR53" s="71">
        <f>IF(OR(E68="",G68=""),0,IF(E68&lt;G68,1,0))+IF(OR(G71="",E71=""),0,IF(G71&lt;E71,1,0))+IF(OR(G72="",E72=""),0,IF(G72&lt;E72,1,0))</f>
        <v>2</v>
      </c>
      <c r="LS53" s="71">
        <f>E68+G71+G72</f>
        <v>4</v>
      </c>
      <c r="LT53" s="71">
        <f>G68+E71+E72</f>
        <v>6</v>
      </c>
      <c r="LU53" s="71">
        <f t="shared" si="54"/>
        <v>-2</v>
      </c>
      <c r="LV53" s="70">
        <f t="shared" si="55"/>
        <v>3</v>
      </c>
      <c r="LW53" s="70">
        <f t="shared" si="56"/>
        <v>-0.2</v>
      </c>
      <c r="LX53" s="70">
        <f t="shared" si="57"/>
        <v>0.04</v>
      </c>
      <c r="LY53" s="70">
        <f t="shared" si="58"/>
        <v>2.84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2.84</v>
      </c>
      <c r="MD53" s="70">
        <f>RANK($MC$53,$MC$51:$MC$54,0)</f>
        <v>3</v>
      </c>
      <c r="ME53" s="70">
        <f>IF(OR(AND(MD51=MD52,MD51=MD53,MD51=MD54),AND(MD53=MD51,MD53=MD52)),MD53+2,IF(OR(AND(MD53=MD52,MD53=MD54),MD53=MD51,MD53=MD52),MD53+1,MD53))</f>
        <v>3</v>
      </c>
      <c r="MF53" s="70">
        <v>3.0</v>
      </c>
      <c r="MG53" s="70">
        <f t="shared" si="60"/>
        <v>3</v>
      </c>
      <c r="MH53" s="70" t="str">
        <f t="shared" si="61"/>
        <v>Suiça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1.0</v>
      </c>
      <c r="F54" s="115" t="s">
        <v>72</v>
      </c>
      <c r="G54" s="116">
        <v>0.0</v>
      </c>
      <c r="H54" s="117"/>
      <c r="I54" s="96" t="s">
        <v>96</v>
      </c>
      <c r="J54" s="97" t="s">
        <v>115</v>
      </c>
      <c r="K54" s="109"/>
      <c r="L54" s="118" t="str">
        <f>Marco!MH35</f>
        <v>Espanha</v>
      </c>
      <c r="M54" s="119">
        <f>VLOOKUP(L54,Marco!$LM$35:$LU$38,2,FALSE)</f>
        <v>7</v>
      </c>
      <c r="N54" s="120">
        <f>VLOOKUP(L54,Marco!$LM$35:$LU$38,3,FALSE)</f>
        <v>3</v>
      </c>
      <c r="O54" s="120">
        <f>VLOOKUP(L54,Marco!$LM$35:$LU$38,4,FALSE)</f>
        <v>2</v>
      </c>
      <c r="P54" s="120">
        <f>VLOOKUP(L54,Marco!$LM$35:$LU$38,5,FALSE)</f>
        <v>1</v>
      </c>
      <c r="Q54" s="120">
        <f>VLOOKUP(L54,Marco!$LM$35:$LU$38,6,FALSE)</f>
        <v>0</v>
      </c>
      <c r="R54" s="120">
        <f>VLOOKUP(L54,Marco!$LM$35:$LU$38,7,FALSE)</f>
        <v>6</v>
      </c>
      <c r="S54" s="120">
        <f>VLOOKUP(L54,Marco!$LM$35:$LU$38,8,FALSE)</f>
        <v>2</v>
      </c>
      <c r="T54" s="121">
        <f>VLOOKUP(L54,Marco!$LM$35:$LU$38,9,FALSE)</f>
        <v>4</v>
      </c>
      <c r="U54" s="53"/>
      <c r="V54" s="59" t="s">
        <v>78</v>
      </c>
      <c r="W54" s="122" t="str">
        <f t="shared" ref="W54:W55" si="62">IF(N54&lt;&gt;3,"",L54)</f>
        <v>Espanha</v>
      </c>
      <c r="X54" s="236">
        <f>IF(AND(W54&lt;&gt;"",'Resultado Oficial'!W54&lt;&gt;"",'Resultado Oficial'!W55&lt;&gt;""),IF(W54='Resultado Oficial'!W54,5,IF(W54='Resultado Oficial'!W55,2,0)),"")</f>
        <v>2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0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0</v>
      </c>
      <c r="LR54" s="71">
        <f>IF(OR(G68="",E68=""),0,IF(G68&lt;E68,1,0))+IF(OR(E70="",G70=""),0,IF(E70&lt;G70,1,0))+IF(OR(E73="",G73=""),0,IF(E73&lt;G73,1,0))</f>
        <v>3</v>
      </c>
      <c r="LS54" s="71">
        <f>G68+E70+E73</f>
        <v>1</v>
      </c>
      <c r="LT54" s="71">
        <f>E68+G70+G73</f>
        <v>7</v>
      </c>
      <c r="LU54" s="71">
        <f t="shared" si="54"/>
        <v>-6</v>
      </c>
      <c r="LV54" s="70">
        <f t="shared" si="55"/>
        <v>0</v>
      </c>
      <c r="LW54" s="70">
        <f t="shared" si="56"/>
        <v>-0.6</v>
      </c>
      <c r="LX54" s="70">
        <f t="shared" si="57"/>
        <v>0.01</v>
      </c>
      <c r="LY54" s="70">
        <f t="shared" si="58"/>
        <v>-0.59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-0.59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2.0</v>
      </c>
      <c r="F55" s="106" t="s">
        <v>72</v>
      </c>
      <c r="G55" s="107">
        <v>2.0</v>
      </c>
      <c r="H55" s="108"/>
      <c r="I55" s="96" t="s">
        <v>98</v>
      </c>
      <c r="J55" s="97" t="s">
        <v>73</v>
      </c>
      <c r="K55" s="109"/>
      <c r="L55" s="118" t="str">
        <f>Marco!MH36</f>
        <v>Alemanha</v>
      </c>
      <c r="M55" s="119">
        <f>VLOOKUP(L55,Marco!$LM$35:$LU$38,2,FALSE)</f>
        <v>7</v>
      </c>
      <c r="N55" s="120">
        <f>VLOOKUP(L55,Marco!$LM$35:$LU$38,3,FALSE)</f>
        <v>3</v>
      </c>
      <c r="O55" s="120">
        <f>VLOOKUP(L55,Marco!$LM$35:$LU$38,4,FALSE)</f>
        <v>2</v>
      </c>
      <c r="P55" s="120">
        <f>VLOOKUP(L55,Marco!$LM$35:$LU$38,5,FALSE)</f>
        <v>1</v>
      </c>
      <c r="Q55" s="120">
        <f>VLOOKUP(L55,Marco!$LM$35:$LU$38,6,FALSE)</f>
        <v>0</v>
      </c>
      <c r="R55" s="120">
        <f>VLOOKUP(L55,Marco!$LM$35:$LU$38,7,FALSE)</f>
        <v>4</v>
      </c>
      <c r="S55" s="120">
        <f>VLOOKUP(L55,Marco!$LM$35:$LU$38,8,FALSE)</f>
        <v>2</v>
      </c>
      <c r="T55" s="121">
        <f>VLOOKUP(L55,Marco!$LM$35:$LU$38,9,FALSE)</f>
        <v>2</v>
      </c>
      <c r="U55" s="53"/>
      <c r="V55" s="59" t="s">
        <v>81</v>
      </c>
      <c r="W55" s="122" t="str">
        <f t="shared" si="62"/>
        <v>Alemanha</v>
      </c>
      <c r="X55" s="236">
        <f>IF(AND(W55&lt;&gt;"",'Resultado Oficial'!W54&lt;&gt;"",'Resultado Oficial'!W55&lt;&gt;""),IF(W55='Resultado Oficial'!W55,5,IF(W55='Resultado Oficial'!W54,2,0)),"")</f>
        <v>0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6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0.0</v>
      </c>
      <c r="F56" s="106" t="s">
        <v>72</v>
      </c>
      <c r="G56" s="107">
        <v>2.0</v>
      </c>
      <c r="H56" s="108"/>
      <c r="I56" s="96" t="s">
        <v>93</v>
      </c>
      <c r="J56" s="97" t="s">
        <v>80</v>
      </c>
      <c r="K56" s="109"/>
      <c r="L56" s="118" t="str">
        <f>Marco!MH37</f>
        <v>Japão</v>
      </c>
      <c r="M56" s="119">
        <f>VLOOKUP(L56,Marco!$LM$35:$LU$38,2,FALSE)</f>
        <v>3</v>
      </c>
      <c r="N56" s="120">
        <f>VLOOKUP(L56,Marco!$LM$35:$LU$38,3,FALSE)</f>
        <v>3</v>
      </c>
      <c r="O56" s="120">
        <f>VLOOKUP(L56,Marco!$LM$35:$LU$38,4,FALSE)</f>
        <v>1</v>
      </c>
      <c r="P56" s="120">
        <f>VLOOKUP(L56,Marco!$LM$35:$LU$38,5,FALSE)</f>
        <v>0</v>
      </c>
      <c r="Q56" s="120">
        <f>VLOOKUP(L56,Marco!$LM$35:$LU$38,6,FALSE)</f>
        <v>2</v>
      </c>
      <c r="R56" s="120">
        <f>VLOOKUP(L56,Marco!$LM$35:$LU$38,7,FALSE)</f>
        <v>1</v>
      </c>
      <c r="S56" s="120">
        <f>VLOOKUP(L56,Marco!$LM$35:$LU$38,8,FALSE)</f>
        <v>3</v>
      </c>
      <c r="T56" s="121">
        <f>VLOOKUP(L56,Marco!$LM$35:$LU$38,9,FALSE)</f>
        <v>-2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106" t="s">
        <v>72</v>
      </c>
      <c r="G57" s="107">
        <v>1.0</v>
      </c>
      <c r="H57" s="108"/>
      <c r="I57" s="96" t="s">
        <v>98</v>
      </c>
      <c r="J57" s="97" t="s">
        <v>73</v>
      </c>
      <c r="K57" s="123"/>
      <c r="L57" s="124" t="str">
        <f>Marco!MH38</f>
        <v>Costa Rica</v>
      </c>
      <c r="M57" s="125">
        <f>VLOOKUP(L57,Marco!$LM$35:$LU$38,2,FALSE)</f>
        <v>0</v>
      </c>
      <c r="N57" s="126">
        <f>VLOOKUP(L57,Marco!$LM$35:$LU$38,3,FALSE)</f>
        <v>3</v>
      </c>
      <c r="O57" s="126">
        <f>VLOOKUP(L57,Marco!$LM$35:$LU$38,4,FALSE)</f>
        <v>0</v>
      </c>
      <c r="P57" s="126">
        <f>VLOOKUP(L57,Marco!$LM$35:$LU$38,5,FALSE)</f>
        <v>0</v>
      </c>
      <c r="Q57" s="126">
        <f>VLOOKUP(L57,Marco!$LM$35:$LU$38,6,FALSE)</f>
        <v>3</v>
      </c>
      <c r="R57" s="126">
        <f>VLOOKUP(L57,Marco!$LM$35:$LU$38,7,FALSE)</f>
        <v>0</v>
      </c>
      <c r="S57" s="126">
        <f>VLOOKUP(L57,Marco!$LM$35:$LU$38,8,FALSE)</f>
        <v>4</v>
      </c>
      <c r="T57" s="127">
        <f>VLOOKUP(L57,Marco!$LM$35:$LU$38,9,FALSE)</f>
        <v>-4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3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9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3</v>
      </c>
      <c r="LQ59" s="71">
        <f>IF(OR(E77="",G77=""),0,IF(E77=G77,1,0))+IF(OR(E79="",G79=""),0,IF(E79=G79,1,0))+IF(OR(G81="",E81=""),0,IF(G81=E81,1,0))</f>
        <v>0</v>
      </c>
      <c r="LR59" s="71">
        <f>IF(OR(E77="",G77=""),0,IF(E77&lt;G77,1,0))+IF(OR(E79="",G79=""),0,IF(E79&lt;G79,1,0))+IF(OR(G81="",E81=""),0,IF(G81&lt;E81,1,0))</f>
        <v>0</v>
      </c>
      <c r="LS59" s="71">
        <f>E77+E79+G81</f>
        <v>7</v>
      </c>
      <c r="LT59" s="71">
        <f>G77+G79+E81</f>
        <v>2</v>
      </c>
      <c r="LU59" s="71">
        <f t="shared" ref="LU59:LU62" si="63">LS59-LT59</f>
        <v>5</v>
      </c>
      <c r="LV59" s="70">
        <f t="shared" ref="LV59:LV62" si="64">LN59</f>
        <v>9</v>
      </c>
      <c r="LW59" s="70">
        <f t="shared" ref="LW59:LW62" si="65">LU59/10</f>
        <v>0.5</v>
      </c>
      <c r="LX59" s="70">
        <f t="shared" ref="LX59:LX62" si="66">LS59/100</f>
        <v>0.07</v>
      </c>
      <c r="LY59" s="70">
        <f t="shared" ref="LY59:LY62" si="67">SUM(LV59:LX59)</f>
        <v>9.57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9.57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1.0</v>
      </c>
      <c r="F60" s="106" t="s">
        <v>72</v>
      </c>
      <c r="G60" s="107">
        <v>2.0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0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0</v>
      </c>
      <c r="LR60" s="71">
        <f>IF(OR(G77="",E77=""),0,IF(G77&lt;E77,1,0))+IF(OR(G78="",E78=""),0,IF(G78&lt;E78,1,0))+IF(OR(E80="",G80=""),0,IF(E80&lt;G80,1,0))</f>
        <v>3</v>
      </c>
      <c r="LS60" s="71">
        <f>G77+G78+E80</f>
        <v>2</v>
      </c>
      <c r="LT60" s="71">
        <f>E77+E78+G80</f>
        <v>7</v>
      </c>
      <c r="LU60" s="71">
        <f t="shared" si="63"/>
        <v>-5</v>
      </c>
      <c r="LV60" s="70">
        <f t="shared" si="64"/>
        <v>0</v>
      </c>
      <c r="LW60" s="70">
        <f t="shared" si="65"/>
        <v>-0.5</v>
      </c>
      <c r="LX60" s="70">
        <f t="shared" si="66"/>
        <v>0.02</v>
      </c>
      <c r="LY60" s="70">
        <f t="shared" si="67"/>
        <v>-0.48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-0.48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9"/>
        <v>3</v>
      </c>
      <c r="MH60" s="70" t="str">
        <f t="shared" si="70"/>
        <v>Uruguai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3.0</v>
      </c>
      <c r="F61" s="106" t="s">
        <v>72</v>
      </c>
      <c r="G61" s="107">
        <v>1.0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6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0</v>
      </c>
      <c r="LR61" s="71">
        <f>IF(OR(E76="",G76=""),0,IF(E76&lt;G76,1,0))+IF(OR(G79="",E79=""),0,IF(G79&lt;E79,1,0))+IF(OR(G80="",E80=""),0,IF(G80&lt;E80,1,0))</f>
        <v>1</v>
      </c>
      <c r="LS61" s="71">
        <f>E76+G79+G80</f>
        <v>4</v>
      </c>
      <c r="LT61" s="71">
        <f>G76+E79+E80</f>
        <v>3</v>
      </c>
      <c r="LU61" s="71">
        <f t="shared" si="63"/>
        <v>1</v>
      </c>
      <c r="LV61" s="70">
        <f t="shared" si="64"/>
        <v>6</v>
      </c>
      <c r="LW61" s="70">
        <f t="shared" si="65"/>
        <v>0.1</v>
      </c>
      <c r="LX61" s="70">
        <f t="shared" si="66"/>
        <v>0.04</v>
      </c>
      <c r="LY61" s="70">
        <f t="shared" si="67"/>
        <v>6.14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6.14</v>
      </c>
      <c r="MD61" s="70">
        <f>RANK($MC$61,$MC$59:$MC$62,0)</f>
        <v>2</v>
      </c>
      <c r="ME61" s="70">
        <f>IF(OR(AND(MD59=MD60,MD59=MD61,MD59=MD62),AND(MD61=MD59,MD61=MD60)),MD61+2,IF(OR(AND(MD61=MD60,MD61=MD62),MD61=MD59,MD61=MD60),MD61+1,MD61))</f>
        <v>2</v>
      </c>
      <c r="MF61" s="70">
        <v>3.0</v>
      </c>
      <c r="MG61" s="70">
        <f t="shared" si="69"/>
        <v>4</v>
      </c>
      <c r="MH61" s="70" t="str">
        <f t="shared" si="70"/>
        <v>Coréia do Sul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3.0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Marco!MH43</f>
        <v>Bélgica</v>
      </c>
      <c r="M62" s="119">
        <f>VLOOKUP(L62,Marco!$LM$43:$LU$46,2,FALSE)</f>
        <v>9</v>
      </c>
      <c r="N62" s="120">
        <f>VLOOKUP(L62,Marco!$LM$43:$LU$46,3,FALSE)</f>
        <v>3</v>
      </c>
      <c r="O62" s="120">
        <f>VLOOKUP(L62,Marco!$LM$43:$LU$46,4,FALSE)</f>
        <v>3</v>
      </c>
      <c r="P62" s="120">
        <f>VLOOKUP(L62,Marco!$LM$43:$LU$46,5,FALSE)</f>
        <v>0</v>
      </c>
      <c r="Q62" s="120">
        <f>VLOOKUP(L62,Marco!$LM$43:$LU$46,6,FALSE)</f>
        <v>0</v>
      </c>
      <c r="R62" s="120">
        <f>VLOOKUP(L62,Marco!$LM$43:$LU$46,7,FALSE)</f>
        <v>8</v>
      </c>
      <c r="S62" s="120">
        <f>VLOOKUP(L62,Marco!$LM$43:$LU$46,8,FALSE)</f>
        <v>1</v>
      </c>
      <c r="T62" s="121">
        <f>VLOOKUP(L62,Marco!$LM$43:$LU$46,9,FALSE)</f>
        <v>7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3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1</v>
      </c>
      <c r="LQ62" s="71">
        <f>IF(OR(G76="",E76=""),0,IF(G76=E76,1,0))+IF(OR(E78="",G78=""),0,IF(E78=G78,1,0))+IF(OR(E81="",G81=""),0,IF(E81=G81,1,0))</f>
        <v>0</v>
      </c>
      <c r="LR62" s="71">
        <f>IF(OR(G76="",E76=""),0,IF(G76&lt;E76,1,0))+IF(OR(E78="",G78=""),0,IF(E78&lt;G78,1,0))+IF(OR(E81="",G81=""),0,IF(E81&lt;G81,1,0))</f>
        <v>2</v>
      </c>
      <c r="LS62" s="71">
        <f>G76+E78+E81</f>
        <v>3</v>
      </c>
      <c r="LT62" s="71">
        <f>E76+G78+G81</f>
        <v>4</v>
      </c>
      <c r="LU62" s="71">
        <f t="shared" si="63"/>
        <v>-1</v>
      </c>
      <c r="LV62" s="70">
        <f t="shared" si="64"/>
        <v>3</v>
      </c>
      <c r="LW62" s="70">
        <f t="shared" si="65"/>
        <v>-0.1</v>
      </c>
      <c r="LX62" s="70">
        <f t="shared" si="66"/>
        <v>0.03</v>
      </c>
      <c r="LY62" s="70">
        <f t="shared" si="67"/>
        <v>2.93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2.93</v>
      </c>
      <c r="MD62" s="70">
        <f>RANK($MC$62,$MC$59:$MC$62,0)</f>
        <v>3</v>
      </c>
      <c r="ME62" s="70">
        <f>IF(AND(MD59=MD60,MD59=MD61,MD59=MD62),MD62+3,IF(OR(AND(MD62=MD61,MD62=MD60),AND(MD62=MD60,MD62=MD59)),MD62+2,IF(OR(MD62=MD61,MD62=MD60,MD62=MD59),MD62+1,MD62)))</f>
        <v>3</v>
      </c>
      <c r="MF62" s="70">
        <v>4.0</v>
      </c>
      <c r="MG62" s="70">
        <f t="shared" si="69"/>
        <v>2</v>
      </c>
      <c r="MH62" s="70" t="str">
        <f t="shared" si="70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1.0</v>
      </c>
      <c r="F63" s="106" t="s">
        <v>72</v>
      </c>
      <c r="G63" s="107">
        <v>1.0</v>
      </c>
      <c r="H63" s="108"/>
      <c r="I63" s="96" t="s">
        <v>105</v>
      </c>
      <c r="J63" s="97" t="s">
        <v>80</v>
      </c>
      <c r="K63" s="109"/>
      <c r="L63" s="118" t="str">
        <f>Marco!MH44</f>
        <v>Canadá</v>
      </c>
      <c r="M63" s="119">
        <f>VLOOKUP(L63,Marco!$LM$43:$LU$46,2,FALSE)</f>
        <v>4</v>
      </c>
      <c r="N63" s="120">
        <f>VLOOKUP(L63,Marco!$LM$43:$LU$46,3,FALSE)</f>
        <v>3</v>
      </c>
      <c r="O63" s="120">
        <f>VLOOKUP(L63,Marco!$LM$43:$LU$46,4,FALSE)</f>
        <v>1</v>
      </c>
      <c r="P63" s="120">
        <f>VLOOKUP(L63,Marco!$LM$43:$LU$46,5,FALSE)</f>
        <v>1</v>
      </c>
      <c r="Q63" s="120">
        <f>VLOOKUP(L63,Marco!$LM$43:$LU$46,6,FALSE)</f>
        <v>1</v>
      </c>
      <c r="R63" s="120">
        <f>VLOOKUP(L63,Marco!$LM$43:$LU$46,7,FALSE)</f>
        <v>3</v>
      </c>
      <c r="S63" s="120">
        <f>VLOOKUP(L63,Marco!$LM$43:$LU$46,8,FALSE)</f>
        <v>4</v>
      </c>
      <c r="T63" s="121">
        <f>VLOOKUP(L63,Marco!$LM$43:$LU$46,9,FALSE)</f>
        <v>-1</v>
      </c>
      <c r="U63" s="53"/>
      <c r="V63" s="59" t="s">
        <v>81</v>
      </c>
      <c r="W63" s="122" t="str">
        <f t="shared" si="71"/>
        <v>Canadá</v>
      </c>
      <c r="X63" s="236">
        <f>IF(AND(W63&lt;&gt;"",'Resultado Oficial'!W62&lt;&gt;"",'Resultado Oficial'!W63&lt;&gt;""),IF(W63='Resultado Oficial'!W63,5,IF(W63='Resultado Oficial'!W62,2,0)),"")</f>
        <v>0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0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0.0</v>
      </c>
      <c r="F64" s="106" t="s">
        <v>72</v>
      </c>
      <c r="G64" s="107">
        <v>2.0</v>
      </c>
      <c r="H64" s="108"/>
      <c r="I64" s="96" t="s">
        <v>103</v>
      </c>
      <c r="J64" s="97" t="s">
        <v>88</v>
      </c>
      <c r="K64" s="109"/>
      <c r="L64" s="118" t="str">
        <f>Marco!MH45</f>
        <v>Croácia</v>
      </c>
      <c r="M64" s="119">
        <f>VLOOKUP(L64,Marco!$LM$43:$LU$46,2,FALSE)</f>
        <v>4</v>
      </c>
      <c r="N64" s="120">
        <f>VLOOKUP(L64,Marco!$LM$43:$LU$46,3,FALSE)</f>
        <v>3</v>
      </c>
      <c r="O64" s="120">
        <f>VLOOKUP(L64,Marco!$LM$43:$LU$46,4,FALSE)</f>
        <v>1</v>
      </c>
      <c r="P64" s="120">
        <f>VLOOKUP(L64,Marco!$LM$43:$LU$46,5,FALSE)</f>
        <v>1</v>
      </c>
      <c r="Q64" s="120">
        <f>VLOOKUP(L64,Marco!$LM$43:$LU$46,6,FALSE)</f>
        <v>1</v>
      </c>
      <c r="R64" s="120">
        <f>VLOOKUP(L64,Marco!$LM$43:$LU$46,7,FALSE)</f>
        <v>3</v>
      </c>
      <c r="S64" s="120">
        <f>VLOOKUP(L64,Marco!$LM$43:$LU$46,8,FALSE)</f>
        <v>4</v>
      </c>
      <c r="T64" s="121">
        <f>VLOOKUP(L64,Marco!$LM$43:$LU$46,9,FALSE)</f>
        <v>-1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1.0</v>
      </c>
      <c r="F65" s="106" t="s">
        <v>72</v>
      </c>
      <c r="G65" s="107">
        <v>0.0</v>
      </c>
      <c r="H65" s="108"/>
      <c r="I65" s="96" t="s">
        <v>107</v>
      </c>
      <c r="J65" s="97" t="s">
        <v>76</v>
      </c>
      <c r="K65" s="123"/>
      <c r="L65" s="124" t="str">
        <f>Marco!MH46</f>
        <v>Marrocos</v>
      </c>
      <c r="M65" s="125">
        <f>VLOOKUP(L65,Marco!$LM$43:$LU$46,2,FALSE)</f>
        <v>0</v>
      </c>
      <c r="N65" s="126">
        <f>VLOOKUP(L65,Marco!$LM$43:$LU$46,3,FALSE)</f>
        <v>3</v>
      </c>
      <c r="O65" s="126">
        <f>VLOOKUP(L65,Marco!$LM$43:$LU$46,4,FALSE)</f>
        <v>0</v>
      </c>
      <c r="P65" s="126">
        <f>VLOOKUP(L65,Marco!$LM$43:$LU$46,5,FALSE)</f>
        <v>0</v>
      </c>
      <c r="Q65" s="126">
        <f>VLOOKUP(L65,Marco!$LM$43:$LU$46,6,FALSE)</f>
        <v>3</v>
      </c>
      <c r="R65" s="126">
        <f>VLOOKUP(L65,Marco!$LM$43:$LU$46,7,FALSE)</f>
        <v>1</v>
      </c>
      <c r="S65" s="126">
        <f>VLOOKUP(L65,Marco!$LM$43:$LU$46,8,FALSE)</f>
        <v>6</v>
      </c>
      <c r="T65" s="127">
        <f>VLOOKUP(L65,Marco!$LM$43:$LU$46,9,FALSE)</f>
        <v>-5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2.0</v>
      </c>
      <c r="F68" s="106" t="s">
        <v>72</v>
      </c>
      <c r="G68" s="107">
        <v>1.0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6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106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10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0.0</v>
      </c>
      <c r="F70" s="115" t="s">
        <v>72</v>
      </c>
      <c r="G70" s="116">
        <v>1.0</v>
      </c>
      <c r="H70" s="117"/>
      <c r="I70" s="96" t="s">
        <v>113</v>
      </c>
      <c r="J70" s="97" t="s">
        <v>106</v>
      </c>
      <c r="K70" s="109"/>
      <c r="L70" s="118" t="str">
        <f>Marco!MH51</f>
        <v>Brasil</v>
      </c>
      <c r="M70" s="119">
        <f>VLOOKUP(L70,Marco!$LM$51:$LU$54,2,FALSE)</f>
        <v>9</v>
      </c>
      <c r="N70" s="120">
        <f>VLOOKUP(L70,Marco!$LM$51:$LU$54,3,FALSE)</f>
        <v>3</v>
      </c>
      <c r="O70" s="120">
        <f>VLOOKUP(L70,Marco!$LM$51:$LU$54,4,FALSE)</f>
        <v>3</v>
      </c>
      <c r="P70" s="120">
        <f>VLOOKUP(L70,Marco!$LM$51:$LU$54,5,FALSE)</f>
        <v>0</v>
      </c>
      <c r="Q70" s="120">
        <f>VLOOKUP(L70,Marco!$LM$51:$LU$54,6,FALSE)</f>
        <v>0</v>
      </c>
      <c r="R70" s="120">
        <f>VLOOKUP(L70,Marco!$LM$51:$LU$54,7,FALSE)</f>
        <v>9</v>
      </c>
      <c r="S70" s="120">
        <f>VLOOKUP(L70,Marco!$LM$51:$LU$54,8,FALSE)</f>
        <v>1</v>
      </c>
      <c r="T70" s="121">
        <f>VLOOKUP(L70,Marco!$LM$51:$LU$54,9,FALSE)</f>
        <v>8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0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3.0</v>
      </c>
      <c r="F71" s="106" t="s">
        <v>72</v>
      </c>
      <c r="G71" s="107">
        <v>1.0</v>
      </c>
      <c r="H71" s="108"/>
      <c r="I71" s="96" t="s">
        <v>114</v>
      </c>
      <c r="J71" s="97" t="s">
        <v>97</v>
      </c>
      <c r="K71" s="109"/>
      <c r="L71" s="118" t="str">
        <f>Marco!MH52</f>
        <v>Sérvia</v>
      </c>
      <c r="M71" s="119">
        <f>VLOOKUP(L71,Marco!$LM$51:$LU$54,2,FALSE)</f>
        <v>6</v>
      </c>
      <c r="N71" s="120">
        <f>VLOOKUP(L71,Marco!$LM$51:$LU$54,3,FALSE)</f>
        <v>3</v>
      </c>
      <c r="O71" s="120">
        <f>VLOOKUP(L71,Marco!$LM$51:$LU$54,4,FALSE)</f>
        <v>2</v>
      </c>
      <c r="P71" s="120">
        <f>VLOOKUP(L71,Marco!$LM$51:$LU$54,5,FALSE)</f>
        <v>0</v>
      </c>
      <c r="Q71" s="120">
        <f>VLOOKUP(L71,Marco!$LM$51:$LU$54,6,FALSE)</f>
        <v>1</v>
      </c>
      <c r="R71" s="120">
        <f>VLOOKUP(L71,Marco!$LM$51:$LU$54,7,FALSE)</f>
        <v>3</v>
      </c>
      <c r="S71" s="120">
        <f>VLOOKUP(L71,Marco!$LM$51:$LU$54,8,FALSE)</f>
        <v>3</v>
      </c>
      <c r="T71" s="121">
        <f>VLOOKUP(L71,Marco!$LM$51:$LU$54,9,FALSE)</f>
        <v>0</v>
      </c>
      <c r="U71" s="53"/>
      <c r="V71" s="59" t="s">
        <v>81</v>
      </c>
      <c r="W71" s="122" t="str">
        <f t="shared" si="72"/>
        <v>Sérvia</v>
      </c>
      <c r="X71" s="236">
        <f>IF(AND(W71&lt;&gt;"",'Resultado Oficial'!W70&lt;&gt;"",'Resultado Oficial'!W71&lt;&gt;""),IF(W71='Resultado Oficial'!W71,5,IF(W71='Resultado Oficial'!W70,2,0)),"")</f>
        <v>0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3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2.0</v>
      </c>
      <c r="F72" s="258" t="s">
        <v>72</v>
      </c>
      <c r="G72" s="107">
        <v>1.0</v>
      </c>
      <c r="H72" s="108"/>
      <c r="I72" s="96" t="s">
        <v>114</v>
      </c>
      <c r="J72" s="97" t="s">
        <v>97</v>
      </c>
      <c r="K72" s="109"/>
      <c r="L72" s="118" t="str">
        <f>Marco!MH53</f>
        <v>Suiça</v>
      </c>
      <c r="M72" s="119">
        <f>VLOOKUP(L72,Marco!$LM$51:$LU$54,2,FALSE)</f>
        <v>3</v>
      </c>
      <c r="N72" s="120">
        <f>VLOOKUP(L72,Marco!$LM$51:$LU$54,3,FALSE)</f>
        <v>3</v>
      </c>
      <c r="O72" s="120">
        <f>VLOOKUP(L72,Marco!$LM$51:$LU$54,4,FALSE)</f>
        <v>1</v>
      </c>
      <c r="P72" s="120">
        <f>VLOOKUP(L72,Marco!$LM$51:$LU$54,5,FALSE)</f>
        <v>0</v>
      </c>
      <c r="Q72" s="120">
        <f>VLOOKUP(L72,Marco!$LM$51:$LU$54,6,FALSE)</f>
        <v>2</v>
      </c>
      <c r="R72" s="120">
        <f>VLOOKUP(L72,Marco!$LM$51:$LU$54,7,FALSE)</f>
        <v>4</v>
      </c>
      <c r="S72" s="120">
        <f>VLOOKUP(L72,Marco!$LM$51:$LU$54,8,FALSE)</f>
        <v>6</v>
      </c>
      <c r="T72" s="121">
        <f>VLOOKUP(L72,Marco!$LM$51:$LU$54,9,FALSE)</f>
        <v>-2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0.0</v>
      </c>
      <c r="F73" s="106" t="s">
        <v>72</v>
      </c>
      <c r="G73" s="107">
        <v>4.0</v>
      </c>
      <c r="H73" s="108"/>
      <c r="I73" s="96" t="s">
        <v>111</v>
      </c>
      <c r="J73" s="97" t="s">
        <v>94</v>
      </c>
      <c r="K73" s="123"/>
      <c r="L73" s="124" t="str">
        <f>Marco!MH54</f>
        <v>Camarões</v>
      </c>
      <c r="M73" s="125">
        <f>VLOOKUP(L73,Marco!$LM$51:$LU$54,2,FALSE)</f>
        <v>0</v>
      </c>
      <c r="N73" s="126">
        <f>VLOOKUP(L73,Marco!$LM$51:$LU$54,3,FALSE)</f>
        <v>3</v>
      </c>
      <c r="O73" s="126">
        <f>VLOOKUP(L73,Marco!$LM$51:$LU$54,4,FALSE)</f>
        <v>0</v>
      </c>
      <c r="P73" s="126">
        <f>VLOOKUP(L73,Marco!$LM$51:$LU$54,5,FALSE)</f>
        <v>0</v>
      </c>
      <c r="Q73" s="126">
        <f>VLOOKUP(L73,Marco!$LM$51:$LU$54,6,FALSE)</f>
        <v>3</v>
      </c>
      <c r="R73" s="126">
        <f>VLOOKUP(L73,Marco!$LM$51:$LU$54,7,FALSE)</f>
        <v>1</v>
      </c>
      <c r="S73" s="126">
        <f>VLOOKUP(L73,Marco!$LM$51:$LU$54,8,FALSE)</f>
        <v>7</v>
      </c>
      <c r="T73" s="127">
        <f>VLOOKUP(L73,Marco!$LM$51:$LU$54,9,FALSE)</f>
        <v>-6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1.0</v>
      </c>
      <c r="F76" s="106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3.0</v>
      </c>
      <c r="F77" s="106" t="s">
        <v>72</v>
      </c>
      <c r="G77" s="107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3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2.0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Marco!MH59</f>
        <v>Portugal</v>
      </c>
      <c r="M78" s="119">
        <f>VLOOKUP(L78,Marco!$LM$59:$LU$62,2,FALSE)</f>
        <v>9</v>
      </c>
      <c r="N78" s="120">
        <f>VLOOKUP(L78,Marco!$LM$59:$LU$62,3,FALSE)</f>
        <v>3</v>
      </c>
      <c r="O78" s="120">
        <f>VLOOKUP(L78,Marco!$LM$59:$LU$62,4,FALSE)</f>
        <v>3</v>
      </c>
      <c r="P78" s="120">
        <f>VLOOKUP(L78,Marco!$LM$59:$LU$62,5,FALSE)</f>
        <v>0</v>
      </c>
      <c r="Q78" s="120">
        <f>VLOOKUP(L78,Marco!$LM$59:$LU$62,6,FALSE)</f>
        <v>0</v>
      </c>
      <c r="R78" s="120">
        <f>VLOOKUP(L78,Marco!$LM$59:$LU$62,7,FALSE)</f>
        <v>7</v>
      </c>
      <c r="S78" s="120">
        <f>VLOOKUP(L78,Marco!$LM$59:$LU$62,8,FALSE)</f>
        <v>2</v>
      </c>
      <c r="T78" s="121">
        <f>VLOOKUP(L78,Marco!$LM$59:$LU$62,9,FALSE)</f>
        <v>5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2.0</v>
      </c>
      <c r="F79" s="106" t="s">
        <v>72</v>
      </c>
      <c r="G79" s="107">
        <v>1.0</v>
      </c>
      <c r="H79" s="108"/>
      <c r="I79" s="96" t="s">
        <v>122</v>
      </c>
      <c r="J79" s="97" t="s">
        <v>94</v>
      </c>
      <c r="K79" s="109"/>
      <c r="L79" s="118" t="str">
        <f>Marco!MH60</f>
        <v>Uruguai</v>
      </c>
      <c r="M79" s="119">
        <f>VLOOKUP(L79,Marco!$LM$59:$LU$62,2,FALSE)</f>
        <v>6</v>
      </c>
      <c r="N79" s="120">
        <f>VLOOKUP(L79,Marco!$LM$59:$LU$62,3,FALSE)</f>
        <v>3</v>
      </c>
      <c r="O79" s="120">
        <f>VLOOKUP(L79,Marco!$LM$59:$LU$62,4,FALSE)</f>
        <v>2</v>
      </c>
      <c r="P79" s="120">
        <f>VLOOKUP(L79,Marco!$LM$59:$LU$62,5,FALSE)</f>
        <v>0</v>
      </c>
      <c r="Q79" s="120">
        <f>VLOOKUP(L79,Marco!$LM$59:$LU$62,6,FALSE)</f>
        <v>1</v>
      </c>
      <c r="R79" s="120">
        <f>VLOOKUP(L79,Marco!$LM$59:$LU$62,7,FALSE)</f>
        <v>4</v>
      </c>
      <c r="S79" s="120">
        <f>VLOOKUP(L79,Marco!$LM$59:$LU$62,8,FALSE)</f>
        <v>3</v>
      </c>
      <c r="T79" s="121">
        <f>VLOOKUP(L79,Marco!$LM$59:$LU$62,9,FALSE)</f>
        <v>1</v>
      </c>
      <c r="U79" s="53"/>
      <c r="V79" s="59" t="s">
        <v>81</v>
      </c>
      <c r="W79" s="122" t="str">
        <f t="shared" si="73"/>
        <v>Uruguai</v>
      </c>
      <c r="X79" s="236">
        <f>IF(AND(W79&lt;&gt;"",'Resultado Oficial'!W78&lt;&gt;"",'Resultado Oficial'!W79&lt;&gt;""),IF(W79='Resultado Oficial'!W79,5,IF(W79='Resultado Oficial'!W78,2,0)),"")</f>
        <v>0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3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106" t="s">
        <v>72</v>
      </c>
      <c r="G80" s="107">
        <v>2.0</v>
      </c>
      <c r="H80" s="108"/>
      <c r="I80" s="96" t="s">
        <v>122</v>
      </c>
      <c r="J80" s="97" t="s">
        <v>106</v>
      </c>
      <c r="K80" s="109"/>
      <c r="L80" s="118" t="str">
        <f>Marco!MH61</f>
        <v>Coréia do Sul</v>
      </c>
      <c r="M80" s="119">
        <f>VLOOKUP(L80,Marco!$LM$59:$LU$62,2,FALSE)</f>
        <v>3</v>
      </c>
      <c r="N80" s="120">
        <f>VLOOKUP(L80,Marco!$LM$59:$LU$62,3,FALSE)</f>
        <v>3</v>
      </c>
      <c r="O80" s="120">
        <f>VLOOKUP(L80,Marco!$LM$59:$LU$62,4,FALSE)</f>
        <v>1</v>
      </c>
      <c r="P80" s="120">
        <f>VLOOKUP(L80,Marco!$LM$59:$LU$62,5,FALSE)</f>
        <v>0</v>
      </c>
      <c r="Q80" s="120">
        <f>VLOOKUP(L80,Marco!$LM$59:$LU$62,6,FALSE)</f>
        <v>2</v>
      </c>
      <c r="R80" s="120">
        <f>VLOOKUP(L80,Marco!$LM$59:$LU$62,7,FALSE)</f>
        <v>3</v>
      </c>
      <c r="S80" s="120">
        <f>VLOOKUP(L80,Marco!$LM$59:$LU$62,8,FALSE)</f>
        <v>4</v>
      </c>
      <c r="T80" s="121">
        <f>VLOOKUP(L80,Marco!$LM$59:$LU$62,9,FALSE)</f>
        <v>-1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3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1.0</v>
      </c>
      <c r="F81" s="106" t="s">
        <v>72</v>
      </c>
      <c r="G81" s="107">
        <v>2.0</v>
      </c>
      <c r="H81" s="108"/>
      <c r="I81" s="96" t="s">
        <v>119</v>
      </c>
      <c r="J81" s="97" t="s">
        <v>99</v>
      </c>
      <c r="K81" s="123"/>
      <c r="L81" s="124" t="str">
        <f>Marco!MH62</f>
        <v>Gana</v>
      </c>
      <c r="M81" s="125">
        <f>VLOOKUP(L81,Marco!$LM$59:$LU$62,2,FALSE)</f>
        <v>0</v>
      </c>
      <c r="N81" s="126">
        <f>VLOOKUP(L81,Marco!$LM$59:$LU$62,3,FALSE)</f>
        <v>3</v>
      </c>
      <c r="O81" s="126">
        <f>VLOOKUP(L81,Marco!$LM$59:$LU$62,4,FALSE)</f>
        <v>0</v>
      </c>
      <c r="P81" s="126">
        <f>VLOOKUP(L81,Marco!$LM$59:$LU$62,5,FALSE)</f>
        <v>0</v>
      </c>
      <c r="Q81" s="126">
        <f>VLOOKUP(L81,Marco!$LM$59:$LU$62,6,FALSE)</f>
        <v>3</v>
      </c>
      <c r="R81" s="126">
        <f>VLOOKUP(L81,Marco!$LM$59:$LU$62,7,FALSE)</f>
        <v>2</v>
      </c>
      <c r="S81" s="126">
        <f>VLOOKUP(L81,Marco!$LM$59:$LU$62,8,FALSE)</f>
        <v>7</v>
      </c>
      <c r="T81" s="127">
        <f>VLOOKUP(L81,Marco!$LM$59:$LU$62,9,FALSE)</f>
        <v>-5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244" t="s">
        <v>72</v>
      </c>
      <c r="G85" s="260">
        <v>1.0</v>
      </c>
      <c r="H85" s="158"/>
      <c r="I85" s="157" t="str">
        <f>IF(N31=3,L31,"2º do grupo B")</f>
        <v>País de Gales</v>
      </c>
      <c r="J85" s="159"/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3.0</v>
      </c>
      <c r="F86" s="244" t="s">
        <v>72</v>
      </c>
      <c r="G86" s="260">
        <v>1.0</v>
      </c>
      <c r="H86" s="158"/>
      <c r="I86" s="157" t="str">
        <f>IF(N47=3,L47,"2º do grupo D")</f>
        <v>França</v>
      </c>
      <c r="J86" s="159"/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1.0</v>
      </c>
      <c r="F87" s="244" t="s">
        <v>72</v>
      </c>
      <c r="G87" s="260">
        <v>2.0</v>
      </c>
      <c r="H87" s="158"/>
      <c r="I87" s="157" t="str">
        <f>IF(N23=3,L23,"2º do grupo A")</f>
        <v>Senegal</v>
      </c>
      <c r="J87" s="159"/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Dinamarca</v>
      </c>
      <c r="D88" s="158"/>
      <c r="E88" s="259">
        <v>2.0</v>
      </c>
      <c r="F88" s="244" t="s">
        <v>72</v>
      </c>
      <c r="G88" s="260">
        <v>0.0</v>
      </c>
      <c r="H88" s="158"/>
      <c r="I88" s="157" t="str">
        <f>IF(N39=3,L39,"2º do grupo C")</f>
        <v>Polônia</v>
      </c>
      <c r="J88" s="159"/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Espanha</v>
      </c>
      <c r="D89" s="158"/>
      <c r="E89" s="259">
        <v>3.0</v>
      </c>
      <c r="F89" s="244" t="s">
        <v>72</v>
      </c>
      <c r="G89" s="260">
        <v>0.0</v>
      </c>
      <c r="H89" s="158"/>
      <c r="I89" s="157" t="str">
        <f>IF(N63=3,L63,"2º do grupo F")</f>
        <v>Canadá</v>
      </c>
      <c r="J89" s="159"/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4.0</v>
      </c>
      <c r="F90" s="244" t="s">
        <v>72</v>
      </c>
      <c r="G90" s="260">
        <v>1.0</v>
      </c>
      <c r="H90" s="158"/>
      <c r="I90" s="157" t="str">
        <f>IF(N79=3,L79,"2º do grupo H")</f>
        <v>Uruguai</v>
      </c>
      <c r="J90" s="159"/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58"/>
      <c r="E91" s="259">
        <v>0.0</v>
      </c>
      <c r="F91" s="244" t="s">
        <v>72</v>
      </c>
      <c r="G91" s="260">
        <v>1.0</v>
      </c>
      <c r="H91" s="158"/>
      <c r="I91" s="157" t="str">
        <f>IF(N55=3,L55,"2º do grupo E")</f>
        <v>Alemanha</v>
      </c>
      <c r="J91" s="159"/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2.0</v>
      </c>
      <c r="F92" s="244" t="s">
        <v>72</v>
      </c>
      <c r="G92" s="260">
        <v>1.0</v>
      </c>
      <c r="H92" s="158"/>
      <c r="I92" s="157" t="str">
        <f>IF(N71=3,L71,"2º do grupo G")</f>
        <v>Sérvia</v>
      </c>
      <c r="J92" s="159"/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58"/>
      <c r="E95" s="259">
        <v>2.0</v>
      </c>
      <c r="F95" s="244" t="s">
        <v>72</v>
      </c>
      <c r="G95" s="260">
        <v>3.0</v>
      </c>
      <c r="H95" s="158"/>
      <c r="I95" s="157" t="str">
        <f>IF(OR(G86="",E86="",AND(G86=E86,OR(H86="",D86=""))),"Vencedor do 50",IF(G86=E86,IF(H86&gt;D86,I86,C86),IF(G86&gt;E86,I86,C86)))</f>
        <v>Argentina</v>
      </c>
      <c r="J95" s="159"/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Brasil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Espanha</v>
      </c>
      <c r="D96" s="158"/>
      <c r="E96" s="259">
        <v>1.0</v>
      </c>
      <c r="F96" s="244" t="s">
        <v>72</v>
      </c>
      <c r="G96" s="260">
        <v>2.0</v>
      </c>
      <c r="H96" s="158"/>
      <c r="I96" s="157" t="str">
        <f>IF(OR(G90="",E90="",AND(G90=E90,OR(H90="",D90=""))),"Vencedor do 52",IF(G90=E90,IF(H90&gt;D90,I90,C90),IF(G90&gt;E90,I90,C90)))</f>
        <v>Brasil</v>
      </c>
      <c r="J96" s="159"/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Senegal</v>
      </c>
      <c r="D97" s="158"/>
      <c r="E97" s="259">
        <v>1.0</v>
      </c>
      <c r="F97" s="244" t="s">
        <v>72</v>
      </c>
      <c r="G97" s="260">
        <v>2.0</v>
      </c>
      <c r="H97" s="158"/>
      <c r="I97" s="157" t="str">
        <f>IF(OR(G88="",E88="",AND(G88=E88,OR(H88="",D88=""))),"Vencedor do 54",IF(G88=E88,IF(H88&gt;D88,I88,C88),IF(G88&gt;E88,I88,C88)))</f>
        <v>Dinamarca</v>
      </c>
      <c r="J97" s="159"/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Alemanha</v>
      </c>
      <c r="D98" s="158"/>
      <c r="E98" s="259">
        <v>3.0</v>
      </c>
      <c r="F98" s="244" t="s">
        <v>72</v>
      </c>
      <c r="G98" s="260">
        <v>2.0</v>
      </c>
      <c r="H98" s="158"/>
      <c r="I98" s="157" t="str">
        <f>IF(OR(G92="",E92="",AND(G92=E92,OR(H92="",D92=""))),"Vencedor do 56",IF(G92=E92,IF(H92&gt;D92,I92,C92),IF(G92&gt;E92,I92,C92)))</f>
        <v>Portugal</v>
      </c>
      <c r="J98" s="159"/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58"/>
      <c r="E101" s="259">
        <v>0.0</v>
      </c>
      <c r="F101" s="244" t="s">
        <v>72</v>
      </c>
      <c r="G101" s="260">
        <v>1.0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/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Dinamarca</v>
      </c>
      <c r="D102" s="158"/>
      <c r="E102" s="259">
        <v>1.0</v>
      </c>
      <c r="F102" s="244" t="s">
        <v>72</v>
      </c>
      <c r="G102" s="260">
        <v>2.0</v>
      </c>
      <c r="H102" s="158"/>
      <c r="I102" s="157" t="str">
        <f>IF(OR(G98="",E98="",AND(G98=E98,OR(H98="",D98=""))),"Vencedor do 60",IF(G98=E98,IF(H98&gt;D98,I98,C98),IF(G98&gt;E98,I98,C98)))</f>
        <v>Alemanha</v>
      </c>
      <c r="J102" s="159"/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Argentina</v>
      </c>
      <c r="D105" s="158"/>
      <c r="E105" s="259">
        <v>2.0</v>
      </c>
      <c r="F105" s="244" t="s">
        <v>72</v>
      </c>
      <c r="G105" s="260">
        <v>1.0</v>
      </c>
      <c r="H105" s="158"/>
      <c r="I105" s="183" t="str">
        <f>IF(OR(G102="",E102="",AND(G102=E102,OR(H102="",D102=""))),"    ",IF(G102=E102,IF(H102&lt;D102,I102,C102),IF(G102&lt;E102,I102,C102)))</f>
        <v>Dinamarca</v>
      </c>
      <c r="J105" s="159"/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Brasil</v>
      </c>
      <c r="D108" s="249"/>
      <c r="E108" s="261">
        <v>2.0</v>
      </c>
      <c r="F108" s="251" t="s">
        <v>72</v>
      </c>
      <c r="G108" s="262">
        <v>0.0</v>
      </c>
      <c r="H108" s="249"/>
      <c r="I108" s="202" t="str">
        <f>IF(OR(G102="",E102="",AND(G102=E102,OR(H102="",D102=""))),"  ",IF(G102=E102,IF(H102&gt;D102,I102,C102),IF(G102&gt;E102,I102,C102)))</f>
        <v>Alemanha</v>
      </c>
      <c r="J108" s="253"/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3</v>
      </c>
      <c r="LS3" s="71">
        <f>E20+E22+G25</f>
        <v>1</v>
      </c>
      <c r="LT3" s="71">
        <f>G20+G22+E25</f>
        <v>6</v>
      </c>
      <c r="LU3" s="71">
        <f t="shared" ref="LU3:LU6" si="1">LS3-LT3</f>
        <v>-5</v>
      </c>
      <c r="LV3" s="70">
        <f t="shared" ref="LV3:LV6" si="2">LN3</f>
        <v>0</v>
      </c>
      <c r="LW3" s="70">
        <f t="shared" ref="LW3:LW6" si="3">LU3/10</f>
        <v>-0.5</v>
      </c>
      <c r="LX3" s="70">
        <f t="shared" ref="LX3:LX6" si="4">LS3/100</f>
        <v>0.01</v>
      </c>
      <c r="LY3" s="70">
        <f t="shared" ref="LY3:LY6" si="5">SUM(LV3:LX3)</f>
        <v>-0.49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-0.49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3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2</v>
      </c>
      <c r="LQ4" s="71">
        <f>IF(OR(G20="",E20=""),0,IF(G20=E20,1,0))+IF(OR(G23="",E23=""),0,IF(G23=E23,1,0))+IF(OR(E25="",G25=""),0,IF(E25=G25,1,0))</f>
        <v>0</v>
      </c>
      <c r="LR4" s="71">
        <f>IF(OR(G20="",E20=""),0,IF(G20&lt;E20,1,0))+IF(OR(G23="",E23=""),0,IF(G23&lt;E23,1,0))+IF(OR(E25="",G25=""),0,IF(E25&lt;G25,1,0))</f>
        <v>1</v>
      </c>
      <c r="LS4" s="71">
        <f>G20+G23+E25</f>
        <v>5</v>
      </c>
      <c r="LT4" s="71">
        <f>E20+E23+G25</f>
        <v>3</v>
      </c>
      <c r="LU4" s="71">
        <f t="shared" si="1"/>
        <v>2</v>
      </c>
      <c r="LV4" s="70">
        <f t="shared" si="2"/>
        <v>3</v>
      </c>
      <c r="LW4" s="70">
        <f t="shared" si="3"/>
        <v>0.2</v>
      </c>
      <c r="LX4" s="70">
        <f t="shared" si="4"/>
        <v>0.05</v>
      </c>
      <c r="LY4" s="70">
        <f t="shared" si="5"/>
        <v>3.25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3.25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6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1</v>
      </c>
      <c r="LS5" s="71">
        <f>E21+G22+G24</f>
        <v>2</v>
      </c>
      <c r="LT5" s="71">
        <f>G21+E22+E24</f>
        <v>1</v>
      </c>
      <c r="LU5" s="71">
        <f t="shared" si="1"/>
        <v>1</v>
      </c>
      <c r="LV5" s="70">
        <f t="shared" si="2"/>
        <v>6</v>
      </c>
      <c r="LW5" s="70">
        <f t="shared" si="3"/>
        <v>0.1</v>
      </c>
      <c r="LX5" s="70">
        <f t="shared" si="4"/>
        <v>0.02</v>
      </c>
      <c r="LY5" s="70">
        <f t="shared" si="5"/>
        <v>6.12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6.12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22.5" customHeight="1">
      <c r="A6" s="222" t="s">
        <v>166</v>
      </c>
      <c r="B6" s="223"/>
      <c r="C6" s="223"/>
      <c r="D6" s="224"/>
      <c r="E6" s="256" t="s">
        <v>178</v>
      </c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6</v>
      </c>
      <c r="LT6" s="71">
        <f>E21+G23+G25</f>
        <v>0</v>
      </c>
      <c r="LU6" s="71">
        <f t="shared" si="1"/>
        <v>6</v>
      </c>
      <c r="LV6" s="70">
        <f t="shared" si="2"/>
        <v>9</v>
      </c>
      <c r="LW6" s="70">
        <f t="shared" si="3"/>
        <v>0.6</v>
      </c>
      <c r="LX6" s="70">
        <f t="shared" si="4"/>
        <v>0.06</v>
      </c>
      <c r="LY6" s="70">
        <f t="shared" si="5"/>
        <v>9.66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9.66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28"/>
      <c r="E7" s="256" t="s">
        <v>179</v>
      </c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209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180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85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Oficial'!D113,20,IF('Gogó'!D11='Resultado Oficial'!D114,20,0)))))</f>
        <v>20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8</v>
      </c>
      <c r="LT11" s="71">
        <f>G28+G31+E32</f>
        <v>1</v>
      </c>
      <c r="LU11" s="71">
        <f t="shared" ref="LU11:LU14" si="10">LS11-LT11</f>
        <v>7</v>
      </c>
      <c r="LV11" s="70">
        <f t="shared" ref="LV11:LV14" si="11">LN11</f>
        <v>9</v>
      </c>
      <c r="LW11" s="70">
        <f t="shared" ref="LW11:LW14" si="12">LU11/10</f>
        <v>0.7</v>
      </c>
      <c r="LX11" s="70">
        <f t="shared" ref="LX11:LX14" si="13">LS11/100</f>
        <v>0.08</v>
      </c>
      <c r="LY11" s="70">
        <f t="shared" ref="LY11:LY14" si="14">SUM(LV11:LX11)</f>
        <v>9.78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9.78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71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Oficial'!D113,20,IF('Gogó'!D12='Resultado Oficial'!D114,20,0)))))</f>
        <v>20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0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3</v>
      </c>
      <c r="LS12" s="71">
        <f>G28+G30+E33</f>
        <v>1</v>
      </c>
      <c r="LT12" s="71">
        <f>E28+E30+G33</f>
        <v>6</v>
      </c>
      <c r="LU12" s="71">
        <f t="shared" si="10"/>
        <v>-5</v>
      </c>
      <c r="LV12" s="70">
        <f t="shared" si="11"/>
        <v>0</v>
      </c>
      <c r="LW12" s="70">
        <f t="shared" si="12"/>
        <v>-0.5</v>
      </c>
      <c r="LX12" s="70">
        <f t="shared" si="13"/>
        <v>0.01</v>
      </c>
      <c r="LY12" s="70">
        <f t="shared" si="14"/>
        <v>-0.49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-0.49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4</v>
      </c>
      <c r="MH12" s="70" t="str">
        <f t="shared" si="17"/>
        <v>País de Gales</v>
      </c>
    </row>
    <row r="13" ht="22.5" customHeight="1">
      <c r="A13" s="222" t="s">
        <v>139</v>
      </c>
      <c r="B13" s="223"/>
      <c r="C13" s="223"/>
      <c r="D13" s="208" t="s">
        <v>111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Oficial'!D112,20,IF('Gogó'!D13='Resultado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3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0</v>
      </c>
      <c r="LR13" s="71">
        <f>IF(OR(E29="",G29=""),0,IF(E29&lt;G29,1,0))+IF(OR(G31="",E31=""),0,IF(G31&lt;E31,1,0))+IF(OR(G33="",E33=""),0,IF(G33&lt;E33,1,0))</f>
        <v>2</v>
      </c>
      <c r="LS13" s="71">
        <f>E29+G31+G33</f>
        <v>1</v>
      </c>
      <c r="LT13" s="71">
        <f>G29+E31+E33</f>
        <v>3</v>
      </c>
      <c r="LU13" s="71">
        <f t="shared" si="10"/>
        <v>-2</v>
      </c>
      <c r="LV13" s="70">
        <f t="shared" si="11"/>
        <v>3</v>
      </c>
      <c r="LW13" s="70">
        <f t="shared" si="12"/>
        <v>-0.2</v>
      </c>
      <c r="LX13" s="70">
        <f t="shared" si="13"/>
        <v>0.01</v>
      </c>
      <c r="LY13" s="70">
        <f t="shared" si="14"/>
        <v>2.81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2.81</v>
      </c>
      <c r="MD13" s="70">
        <f>RANK($MC$13,$MC$11:$MC$14,0)</f>
        <v>3</v>
      </c>
      <c r="ME13" s="70">
        <f>IF(OR(AND(MD11=MD12,MD11=MD13,MD11=MD14),AND(MD13=MD11,MD13=MD12)),MD13+2,IF(OR(AND(MD13=MD12,MD13=MD14),MD13=MD11,MD13=MD12),MD13+1,MD13))</f>
        <v>3</v>
      </c>
      <c r="MF13" s="70">
        <v>3.0</v>
      </c>
      <c r="MG13" s="70">
        <f t="shared" si="16"/>
        <v>3</v>
      </c>
      <c r="MH13" s="70" t="str">
        <f t="shared" si="17"/>
        <v>Estados Unidos</v>
      </c>
    </row>
    <row r="14" ht="22.5" customHeight="1">
      <c r="A14" s="222" t="s">
        <v>140</v>
      </c>
      <c r="B14" s="223"/>
      <c r="C14" s="223"/>
      <c r="D14" s="208" t="s">
        <v>181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Oficial'!D112,20,IF('Gogó'!D14='Resultado Oficial'!D113,20,0)))))</f>
        <v>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6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2</v>
      </c>
      <c r="LQ14" s="71">
        <f>IF(OR(G29="",E29=""),0,IF(G29=E29,1,0))+IF(OR(E30="",G30=""),0,IF(E30=G30,1,0))+IF(OR(E32="",G32=""),0,IF(E32=G32,1,0))</f>
        <v>0</v>
      </c>
      <c r="LR14" s="71">
        <f>IF(OR(G29="",E29=""),0,IF(G29&lt;E29,1,0))+IF(OR(E30="",G30=""),0,IF(E30&lt;G30,1,0))+IF(OR(E32="",G32=""),0,IF(E32&lt;G32,1,0))</f>
        <v>1</v>
      </c>
      <c r="LS14" s="71">
        <f>G29+E30+E32</f>
        <v>4</v>
      </c>
      <c r="LT14" s="71">
        <f>E29+G30+G32</f>
        <v>4</v>
      </c>
      <c r="LU14" s="71">
        <f t="shared" si="10"/>
        <v>0</v>
      </c>
      <c r="LV14" s="70">
        <f t="shared" si="11"/>
        <v>6</v>
      </c>
      <c r="LW14" s="70">
        <f t="shared" si="12"/>
        <v>0</v>
      </c>
      <c r="LX14" s="70">
        <f t="shared" si="13"/>
        <v>0.04</v>
      </c>
      <c r="LY14" s="70">
        <f t="shared" si="14"/>
        <v>6.04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6.04</v>
      </c>
      <c r="MD14" s="70">
        <f>RANK($MC$14,$MC$11:$MC$14,0)</f>
        <v>2</v>
      </c>
      <c r="ME14" s="70">
        <f>IF(AND(MD11=MD12,MD11=MD13,MD11=MD14),MD14+3,IF(OR(AND(MD14=MD13,MD14=MD12),AND(MD14=MD12,MD14=MD11)),MD14+2,IF(OR(MD14=MD13,MD14=MD12,MD14=MD11),MD14+1,MD14)))</f>
        <v>2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114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7</v>
      </c>
      <c r="LT19" s="71">
        <f>G36+G39+E40</f>
        <v>2</v>
      </c>
      <c r="LU19" s="71">
        <f t="shared" ref="LU19:LU22" si="18">LS19-LT19</f>
        <v>5</v>
      </c>
      <c r="LV19" s="70">
        <f t="shared" ref="LV19:LV22" si="19">LN19</f>
        <v>7</v>
      </c>
      <c r="LW19" s="70">
        <f t="shared" ref="LW19:LW22" si="20">LU19/10</f>
        <v>0.5</v>
      </c>
      <c r="LX19" s="70">
        <f t="shared" ref="LX19:LX22" si="21">LS19/100</f>
        <v>0.07</v>
      </c>
      <c r="LY19" s="70">
        <f t="shared" ref="LY19:LY22" si="22">SUM(LV19:LX19)</f>
        <v>7.57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7.57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1.0</v>
      </c>
      <c r="F20" s="93" t="s">
        <v>72</v>
      </c>
      <c r="G20" s="94">
        <v>2.0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3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0</v>
      </c>
      <c r="LT20" s="71">
        <f>E36+E38+G41</f>
        <v>7</v>
      </c>
      <c r="LU20" s="71">
        <f t="shared" si="18"/>
        <v>-7</v>
      </c>
      <c r="LV20" s="70">
        <f t="shared" si="19"/>
        <v>0</v>
      </c>
      <c r="LW20" s="70">
        <f t="shared" si="20"/>
        <v>-0.7</v>
      </c>
      <c r="LX20" s="70">
        <f t="shared" si="21"/>
        <v>0</v>
      </c>
      <c r="LY20" s="70">
        <f t="shared" si="22"/>
        <v>-0.7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-0.7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0.0</v>
      </c>
      <c r="F21" s="106" t="s">
        <v>72</v>
      </c>
      <c r="G21" s="107">
        <v>1.0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3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4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1</v>
      </c>
      <c r="LS21" s="71">
        <f>E37+G39+G41</f>
        <v>5</v>
      </c>
      <c r="LT21" s="71">
        <f>G37+E39+E41</f>
        <v>3</v>
      </c>
      <c r="LU21" s="71">
        <f t="shared" si="18"/>
        <v>2</v>
      </c>
      <c r="LV21" s="70">
        <f t="shared" si="19"/>
        <v>4</v>
      </c>
      <c r="LW21" s="70">
        <f t="shared" si="20"/>
        <v>0.2</v>
      </c>
      <c r="LX21" s="70">
        <f t="shared" si="21"/>
        <v>0.05</v>
      </c>
      <c r="LY21" s="70">
        <f t="shared" si="22"/>
        <v>4.25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4.25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1.0</v>
      </c>
      <c r="H22" s="117"/>
      <c r="I22" s="96" t="s">
        <v>61</v>
      </c>
      <c r="J22" s="97" t="s">
        <v>76</v>
      </c>
      <c r="K22" s="109"/>
      <c r="L22" s="118" t="str">
        <f>'Gogó'!MH3</f>
        <v>Holanda</v>
      </c>
      <c r="M22" s="119">
        <f>VLOOKUP(L22,'Gogó'!$LM$3:$LU$6,2,FALSE)</f>
        <v>9</v>
      </c>
      <c r="N22" s="120">
        <f>VLOOKUP(L22,'Gogó'!$LM$3:$LU$6,3,FALSE)</f>
        <v>3</v>
      </c>
      <c r="O22" s="120">
        <f>VLOOKUP(L22,'Gogó'!$LM$3:$LU$6,4,FALSE)</f>
        <v>3</v>
      </c>
      <c r="P22" s="120">
        <f>VLOOKUP(L22,'Gogó'!$LM$3:$LU$6,5,FALSE)</f>
        <v>0</v>
      </c>
      <c r="Q22" s="120">
        <f>VLOOKUP(L22,'Gogó'!$LM$3:$LU$6,6,FALSE)</f>
        <v>0</v>
      </c>
      <c r="R22" s="120">
        <f>VLOOKUP(L22,'Gogó'!$LM$3:$LU$6,7,FALSE)</f>
        <v>6</v>
      </c>
      <c r="S22" s="120">
        <f>VLOOKUP(L22,'Gogó'!$LM$3:$LU$6,8,FALSE)</f>
        <v>0</v>
      </c>
      <c r="T22" s="121">
        <f>VLOOKUP(L22,'Gogó'!$LM$3:$LU$6,9,FALSE)</f>
        <v>6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3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6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1</v>
      </c>
      <c r="LQ22" s="71">
        <f>IF(OR(G37="",E37=""),0,IF(G37=E37,1,0))+IF(OR(E38="",G38=""),0,IF(E38=G38,1,0))+IF(OR(E40="",G40=""),0,IF(E40=G40,1,0))</f>
        <v>0</v>
      </c>
      <c r="LR22" s="71">
        <f>IF(OR(G37="",E37=""),0,IF(G37&lt;E37,1,0))+IF(OR(E38="",G38=""),0,IF(E38&lt;G38,1,0))+IF(OR(E40="",G40=""),0,IF(E40&lt;G40,1,0))</f>
        <v>1</v>
      </c>
      <c r="LS22" s="71">
        <f>G37+E38+E40</f>
        <v>4</v>
      </c>
      <c r="LT22" s="71">
        <f>E37+G38+G40</f>
        <v>4</v>
      </c>
      <c r="LU22" s="71">
        <f t="shared" si="18"/>
        <v>0</v>
      </c>
      <c r="LV22" s="70">
        <f t="shared" si="19"/>
        <v>6</v>
      </c>
      <c r="LW22" s="70">
        <f t="shared" si="20"/>
        <v>0</v>
      </c>
      <c r="LX22" s="70">
        <f t="shared" si="21"/>
        <v>0.04</v>
      </c>
      <c r="LY22" s="70">
        <f t="shared" si="22"/>
        <v>6.04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6.04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106" t="s">
        <v>72</v>
      </c>
      <c r="G23" s="107">
        <v>0.0</v>
      </c>
      <c r="H23" s="108"/>
      <c r="I23" s="96" t="s">
        <v>60</v>
      </c>
      <c r="J23" s="97" t="s">
        <v>80</v>
      </c>
      <c r="K23" s="109"/>
      <c r="L23" s="118" t="str">
        <f>'Gogó'!MH4</f>
        <v>Senegal</v>
      </c>
      <c r="M23" s="119">
        <f>VLOOKUP(L23,'Gogó'!$LM$3:$LU$6,2,FALSE)</f>
        <v>6</v>
      </c>
      <c r="N23" s="120">
        <f>VLOOKUP(L23,'Gogó'!$LM$3:$LU$6,3,FALSE)</f>
        <v>3</v>
      </c>
      <c r="O23" s="120">
        <f>VLOOKUP(L23,'Gogó'!$LM$3:$LU$6,4,FALSE)</f>
        <v>2</v>
      </c>
      <c r="P23" s="120">
        <f>VLOOKUP(L23,'Gogó'!$LM$3:$LU$6,5,FALSE)</f>
        <v>0</v>
      </c>
      <c r="Q23" s="120">
        <f>VLOOKUP(L23,'Gogó'!$LM$3:$LU$6,6,FALSE)</f>
        <v>1</v>
      </c>
      <c r="R23" s="120">
        <f>VLOOKUP(L23,'Gogó'!$LM$3:$LU$6,7,FALSE)</f>
        <v>2</v>
      </c>
      <c r="S23" s="120">
        <f>VLOOKUP(L23,'Gogó'!$LM$3:$LU$6,8,FALSE)</f>
        <v>1</v>
      </c>
      <c r="T23" s="121">
        <f>VLOOKUP(L23,'Gogó'!$LM$3:$LU$6,9,FALSE)</f>
        <v>1</v>
      </c>
      <c r="U23" s="52"/>
      <c r="V23" s="59" t="s">
        <v>81</v>
      </c>
      <c r="W23" s="122" t="str">
        <f t="shared" si="26"/>
        <v>Senegal</v>
      </c>
      <c r="X23" s="236">
        <f>IF(AND(W23&lt;&gt;"",'Resultado Oficial'!W22&lt;&gt;"",'Resultado Oficial'!W23&lt;&gt;""),IF(W23='Resultado Oficial'!W23,5,IF(W23='Resultado Oficial'!W22,2,0)),"")</f>
        <v>5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0.0</v>
      </c>
      <c r="F24" s="106" t="s">
        <v>72</v>
      </c>
      <c r="G24" s="107">
        <v>1.0</v>
      </c>
      <c r="H24" s="108"/>
      <c r="I24" s="96" t="s">
        <v>61</v>
      </c>
      <c r="J24" s="97" t="s">
        <v>80</v>
      </c>
      <c r="K24" s="109"/>
      <c r="L24" s="118" t="str">
        <f>'Gogó'!MH5</f>
        <v>Equador</v>
      </c>
      <c r="M24" s="119">
        <f>VLOOKUP(L24,'Gogó'!$LM$3:$LU$6,2,FALSE)</f>
        <v>3</v>
      </c>
      <c r="N24" s="120">
        <f>VLOOKUP(L24,'Gogó'!$LM$3:$LU$6,3,FALSE)</f>
        <v>3</v>
      </c>
      <c r="O24" s="120">
        <f>VLOOKUP(L24,'Gogó'!$LM$3:$LU$6,4,FALSE)</f>
        <v>2</v>
      </c>
      <c r="P24" s="120">
        <f>VLOOKUP(L24,'Gogó'!$LM$3:$LU$6,5,FALSE)</f>
        <v>0</v>
      </c>
      <c r="Q24" s="120">
        <f>VLOOKUP(L24,'Gogó'!$LM$3:$LU$6,6,FALSE)</f>
        <v>1</v>
      </c>
      <c r="R24" s="120">
        <f>VLOOKUP(L24,'Gogó'!$LM$3:$LU$6,7,FALSE)</f>
        <v>5</v>
      </c>
      <c r="S24" s="120">
        <f>VLOOKUP(L24,'Gogó'!$LM$3:$LU$6,8,FALSE)</f>
        <v>3</v>
      </c>
      <c r="T24" s="121">
        <f>VLOOKUP(L24,'Gogó'!$LM$3:$LU$6,9,FALSE)</f>
        <v>2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6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3.0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'Gogó'!MH6</f>
        <v>Catar</v>
      </c>
      <c r="M25" s="125">
        <f>VLOOKUP(L25,'Gogó'!$LM$3:$LU$6,2,FALSE)</f>
        <v>0</v>
      </c>
      <c r="N25" s="126">
        <f>VLOOKUP(L25,'Gogó'!$LM$3:$LU$6,3,FALSE)</f>
        <v>3</v>
      </c>
      <c r="O25" s="126">
        <f>VLOOKUP(L25,'Gogó'!$LM$3:$LU$6,4,FALSE)</f>
        <v>0</v>
      </c>
      <c r="P25" s="126">
        <f>VLOOKUP(L25,'Gogó'!$LM$3:$LU$6,5,FALSE)</f>
        <v>0</v>
      </c>
      <c r="Q25" s="126">
        <f>VLOOKUP(L25,'Gogó'!$LM$3:$LU$6,6,FALSE)</f>
        <v>3</v>
      </c>
      <c r="R25" s="126">
        <f>VLOOKUP(L25,'Gogó'!$LM$3:$LU$6,7,FALSE)</f>
        <v>1</v>
      </c>
      <c r="S25" s="126">
        <f>VLOOKUP(L25,'Gogó'!$LM$3:$LU$6,8,FALSE)</f>
        <v>6</v>
      </c>
      <c r="T25" s="127">
        <f>VLOOKUP(L25,'Gogó'!$LM$3:$LU$6,9,FALSE)</f>
        <v>-5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9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3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0</v>
      </c>
      <c r="LS27" s="71">
        <f>E45+E47+G49</f>
        <v>9</v>
      </c>
      <c r="LT27" s="71">
        <f>G45+G47+E49</f>
        <v>2</v>
      </c>
      <c r="LU27" s="71">
        <f t="shared" ref="LU27:LU30" si="27">LS27-LT27</f>
        <v>7</v>
      </c>
      <c r="LV27" s="70">
        <f t="shared" ref="LV27:LV30" si="28">LN27</f>
        <v>9</v>
      </c>
      <c r="LW27" s="70">
        <f t="shared" ref="LW27:LW30" si="29">LU27/10</f>
        <v>0.7</v>
      </c>
      <c r="LX27" s="70">
        <f t="shared" ref="LX27:LX30" si="30">LS27/100</f>
        <v>0.09</v>
      </c>
      <c r="LY27" s="70">
        <f t="shared" ref="LY27:LY30" si="31">SUM(LV27:LX27)</f>
        <v>9.79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9.79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3.0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3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1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2</v>
      </c>
      <c r="LS28" s="71">
        <f>G45+G46+E48</f>
        <v>3</v>
      </c>
      <c r="LT28" s="71">
        <f>E45+E46+G48</f>
        <v>7</v>
      </c>
      <c r="LU28" s="71">
        <f t="shared" si="27"/>
        <v>-4</v>
      </c>
      <c r="LV28" s="70">
        <f t="shared" si="28"/>
        <v>3</v>
      </c>
      <c r="LW28" s="70">
        <f t="shared" si="29"/>
        <v>-0.4</v>
      </c>
      <c r="LX28" s="70">
        <f t="shared" si="30"/>
        <v>0.03</v>
      </c>
      <c r="LY28" s="70">
        <f t="shared" si="31"/>
        <v>2.63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2.63</v>
      </c>
      <c r="MD28" s="70">
        <f>RANK($MC$28,$MC$27:$MC$30,0)</f>
        <v>3</v>
      </c>
      <c r="ME28" s="70">
        <f>IF(OR(AND(MD27=MD28,MD27=MD29,MD27=MD30),AND(MD28=MD27,MD28=MD29),AND(MD28=MD27,MD28=MD30),MD28=MD27),MD28+1,MD28)</f>
        <v>3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0.0</v>
      </c>
      <c r="F29" s="106" t="s">
        <v>72</v>
      </c>
      <c r="G29" s="107">
        <v>1.0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6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1</v>
      </c>
      <c r="LS29" s="71">
        <f>E44+G47+G48</f>
        <v>7</v>
      </c>
      <c r="LT29" s="71">
        <f>G44+E47+E48</f>
        <v>2</v>
      </c>
      <c r="LU29" s="71">
        <f t="shared" si="27"/>
        <v>5</v>
      </c>
      <c r="LV29" s="70">
        <f t="shared" si="28"/>
        <v>6</v>
      </c>
      <c r="LW29" s="70">
        <f t="shared" si="29"/>
        <v>0.5</v>
      </c>
      <c r="LX29" s="70">
        <f t="shared" si="30"/>
        <v>0.07</v>
      </c>
      <c r="LY29" s="70">
        <f t="shared" si="31"/>
        <v>6.57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6.57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2</v>
      </c>
      <c r="MH29" s="70" t="str">
        <f t="shared" si="34"/>
        <v>Austrália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2.0</v>
      </c>
      <c r="F30" s="115" t="s">
        <v>72</v>
      </c>
      <c r="G30" s="116">
        <v>1.0</v>
      </c>
      <c r="H30" s="117"/>
      <c r="I30" s="96" t="s">
        <v>65</v>
      </c>
      <c r="J30" s="97" t="s">
        <v>88</v>
      </c>
      <c r="K30" s="109"/>
      <c r="L30" s="118" t="str">
        <f>'Gogó'!MH11</f>
        <v>Inglaterra</v>
      </c>
      <c r="M30" s="119">
        <f>VLOOKUP(L30,'Gogó'!$LM$11:$LU$14,2,FALSE)</f>
        <v>9</v>
      </c>
      <c r="N30" s="120">
        <f>VLOOKUP(L30,'Gogó'!$LM$11:$LU$14,3,FALSE)</f>
        <v>3</v>
      </c>
      <c r="O30" s="120">
        <f>VLOOKUP(L30,'Gogó'!$LM$11:$LU$14,4,FALSE)</f>
        <v>3</v>
      </c>
      <c r="P30" s="120">
        <f>VLOOKUP(L30,'Gogó'!$LM$11:$LU$14,5,FALSE)</f>
        <v>0</v>
      </c>
      <c r="Q30" s="120">
        <f>VLOOKUP(L30,'Gogó'!$LM$11:$LU$14,6,FALSE)</f>
        <v>0</v>
      </c>
      <c r="R30" s="120">
        <f>VLOOKUP(L30,'Gogó'!$LM$11:$LU$14,7,FALSE)</f>
        <v>8</v>
      </c>
      <c r="S30" s="120">
        <f>VLOOKUP(L30,'Gogó'!$LM$11:$LU$14,8,FALSE)</f>
        <v>1</v>
      </c>
      <c r="T30" s="121">
        <f>VLOOKUP(L30,'Gogó'!$LM$11:$LU$14,9,FALSE)</f>
        <v>7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0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0</v>
      </c>
      <c r="LR30" s="71">
        <f>IF(OR(G44="",E44=""),0,IF(G44&lt;E44,1,0))+IF(OR(E46="",G46=""),0,IF(E46&lt;G46,1,0))+IF(OR(E49="",G49=""),0,IF(E49&lt;G49,1,0))</f>
        <v>3</v>
      </c>
      <c r="LS30" s="71">
        <f>G44+E46+E49</f>
        <v>1</v>
      </c>
      <c r="LT30" s="71">
        <f>E44+G46+G49</f>
        <v>9</v>
      </c>
      <c r="LU30" s="71">
        <f t="shared" si="27"/>
        <v>-8</v>
      </c>
      <c r="LV30" s="70">
        <f t="shared" si="28"/>
        <v>0</v>
      </c>
      <c r="LW30" s="70">
        <f t="shared" si="29"/>
        <v>-0.8</v>
      </c>
      <c r="LX30" s="70">
        <f t="shared" si="30"/>
        <v>0.01</v>
      </c>
      <c r="LY30" s="70">
        <f t="shared" si="31"/>
        <v>-0.79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-0.79</v>
      </c>
      <c r="MD30" s="70">
        <f>RANK($MC$30,$MC$27:$MC$30,0)</f>
        <v>4</v>
      </c>
      <c r="ME30" s="70">
        <f>IF(AND(MD27=MD28,MD27=MD29,MD27=MD30),MD30+3,IF(OR(AND(MD30=MD29,MD30=MD28),AND(MD30=MD28,MD30=MD27)),MD30+2,IF(OR(MD30=MD29,MD30=MD28,MD30=MD27),MD30+1,MD30)))</f>
        <v>4</v>
      </c>
      <c r="MF30" s="70">
        <v>4.0</v>
      </c>
      <c r="MG30" s="70">
        <f t="shared" si="33"/>
        <v>4</v>
      </c>
      <c r="MH30" s="70" t="str">
        <f t="shared" si="34"/>
        <v>Tunísia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106" t="s">
        <v>72</v>
      </c>
      <c r="G31" s="107">
        <v>0.0</v>
      </c>
      <c r="H31" s="108"/>
      <c r="I31" s="96" t="s">
        <v>66</v>
      </c>
      <c r="J31" s="97" t="s">
        <v>73</v>
      </c>
      <c r="K31" s="109"/>
      <c r="L31" s="118" t="str">
        <f>'Gogó'!MH12</f>
        <v>País de Gales</v>
      </c>
      <c r="M31" s="119">
        <f>VLOOKUP(L31,'Gogó'!$LM$11:$LU$14,2,FALSE)</f>
        <v>6</v>
      </c>
      <c r="N31" s="120">
        <f>VLOOKUP(L31,'Gogó'!$LM$11:$LU$14,3,FALSE)</f>
        <v>3</v>
      </c>
      <c r="O31" s="120">
        <f>VLOOKUP(L31,'Gogó'!$LM$11:$LU$14,4,FALSE)</f>
        <v>2</v>
      </c>
      <c r="P31" s="120">
        <f>VLOOKUP(L31,'Gogó'!$LM$11:$LU$14,5,FALSE)</f>
        <v>0</v>
      </c>
      <c r="Q31" s="120">
        <f>VLOOKUP(L31,'Gogó'!$LM$11:$LU$14,6,FALSE)</f>
        <v>1</v>
      </c>
      <c r="R31" s="120">
        <f>VLOOKUP(L31,'Gogó'!$LM$11:$LU$14,7,FALSE)</f>
        <v>4</v>
      </c>
      <c r="S31" s="120">
        <f>VLOOKUP(L31,'Gogó'!$LM$11:$LU$14,8,FALSE)</f>
        <v>4</v>
      </c>
      <c r="T31" s="121">
        <f>VLOOKUP(L31,'Gogó'!$LM$11:$LU$14,9,FALSE)</f>
        <v>0</v>
      </c>
      <c r="U31" s="53"/>
      <c r="V31" s="59" t="s">
        <v>81</v>
      </c>
      <c r="W31" s="122" t="str">
        <f t="shared" si="35"/>
        <v>País de Gales</v>
      </c>
      <c r="X31" s="236">
        <f>IF(AND(W31&lt;&gt;"",'Resultado Oficial'!W30&lt;&gt;"",'Resultado Oficial'!W31&lt;&gt;""),IF(W31='Resultado Oficial'!W31,5,IF(W31='Resultado Oficial'!W30,2,0)),"")</f>
        <v>0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1.0</v>
      </c>
      <c r="F32" s="106" t="s">
        <v>72</v>
      </c>
      <c r="G32" s="107">
        <v>3.0</v>
      </c>
      <c r="H32" s="108"/>
      <c r="I32" s="96" t="s">
        <v>64</v>
      </c>
      <c r="J32" s="97" t="s">
        <v>88</v>
      </c>
      <c r="K32" s="109"/>
      <c r="L32" s="118" t="str">
        <f>'Gogó'!MH13</f>
        <v>Estados Unidos</v>
      </c>
      <c r="M32" s="119">
        <f>VLOOKUP(L32,'Gogó'!$LM$11:$LU$14,2,FALSE)</f>
        <v>3</v>
      </c>
      <c r="N32" s="120">
        <f>VLOOKUP(L32,'Gogó'!$LM$11:$LU$14,3,FALSE)</f>
        <v>3</v>
      </c>
      <c r="O32" s="120">
        <f>VLOOKUP(L32,'Gogó'!$LM$11:$LU$14,4,FALSE)</f>
        <v>1</v>
      </c>
      <c r="P32" s="120">
        <f>VLOOKUP(L32,'Gogó'!$LM$11:$LU$14,5,FALSE)</f>
        <v>0</v>
      </c>
      <c r="Q32" s="120">
        <f>VLOOKUP(L32,'Gogó'!$LM$11:$LU$14,6,FALSE)</f>
        <v>2</v>
      </c>
      <c r="R32" s="120">
        <f>VLOOKUP(L32,'Gogó'!$LM$11:$LU$14,7,FALSE)</f>
        <v>1</v>
      </c>
      <c r="S32" s="120">
        <f>VLOOKUP(L32,'Gogó'!$LM$11:$LU$14,8,FALSE)</f>
        <v>3</v>
      </c>
      <c r="T32" s="121">
        <f>VLOOKUP(L32,'Gogó'!$LM$11:$LU$14,9,FALSE)</f>
        <v>-2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106" t="s">
        <v>72</v>
      </c>
      <c r="G33" s="107">
        <v>1.0</v>
      </c>
      <c r="H33" s="108"/>
      <c r="I33" s="96" t="s">
        <v>66</v>
      </c>
      <c r="J33" s="97" t="s">
        <v>76</v>
      </c>
      <c r="K33" s="123"/>
      <c r="L33" s="124" t="str">
        <f>'Gogó'!MH14</f>
        <v>Irã</v>
      </c>
      <c r="M33" s="125">
        <f>VLOOKUP(L33,'Gogó'!$LM$11:$LU$14,2,FALSE)</f>
        <v>0</v>
      </c>
      <c r="N33" s="126">
        <f>VLOOKUP(L33,'Gogó'!$LM$11:$LU$14,3,FALSE)</f>
        <v>3</v>
      </c>
      <c r="O33" s="126">
        <f>VLOOKUP(L33,'Gogó'!$LM$11:$LU$14,4,FALSE)</f>
        <v>0</v>
      </c>
      <c r="P33" s="126">
        <f>VLOOKUP(L33,'Gogó'!$LM$11:$LU$14,5,FALSE)</f>
        <v>0</v>
      </c>
      <c r="Q33" s="126">
        <f>VLOOKUP(L33,'Gogó'!$LM$11:$LU$14,6,FALSE)</f>
        <v>3</v>
      </c>
      <c r="R33" s="126">
        <f>VLOOKUP(L33,'Gogó'!$LM$11:$LU$14,7,FALSE)</f>
        <v>1</v>
      </c>
      <c r="S33" s="126">
        <f>VLOOKUP(L33,'Gogó'!$LM$11:$LU$14,8,FALSE)</f>
        <v>6</v>
      </c>
      <c r="T33" s="127">
        <f>VLOOKUP(L33,'Gogó'!$LM$11:$LU$14,9,FALSE)</f>
        <v>-5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10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0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6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0</v>
      </c>
      <c r="LR35" s="71">
        <f>IF(OR(E53="",G53=""),0,IF(E53&lt;G53,1,0))+IF(OR(E55="",G55=""),0,IF(E55&lt;G55,1,0))+IF(OR(G56="",E56=""),0,IF(G56&lt;E56,1,0))</f>
        <v>1</v>
      </c>
      <c r="LS35" s="71">
        <f>E53+E55+G56</f>
        <v>6</v>
      </c>
      <c r="LT35" s="71">
        <f>G53+G55+E56</f>
        <v>2</v>
      </c>
      <c r="LU35" s="71">
        <f t="shared" ref="LU35:LU38" si="36">LS35-LT35</f>
        <v>4</v>
      </c>
      <c r="LV35" s="70">
        <f t="shared" ref="LV35:LV38" si="37">LN35</f>
        <v>6</v>
      </c>
      <c r="LW35" s="70">
        <f t="shared" ref="LW35:LW38" si="38">LU35/10</f>
        <v>0.4</v>
      </c>
      <c r="LX35" s="70">
        <f t="shared" ref="LX35:LX38" si="39">LS35/100</f>
        <v>0.06</v>
      </c>
      <c r="LY35" s="70">
        <f t="shared" ref="LY35:LY38" si="40">SUM(LV35:LX35)</f>
        <v>6.46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6.46</v>
      </c>
      <c r="MD35" s="70">
        <f>RANK($MC$35,$MC$35:$MC$38,0)</f>
        <v>2</v>
      </c>
      <c r="ME35" s="70">
        <f>MD35</f>
        <v>2</v>
      </c>
      <c r="MF35" s="70">
        <v>1.0</v>
      </c>
      <c r="MG35" s="70">
        <f t="shared" ref="MG35:MG38" si="42">MATCH(MF35,$ME$35:$ME$38,0)</f>
        <v>3</v>
      </c>
      <c r="MH35" s="70" t="str">
        <f t="shared" ref="MH35:MH38" si="43">INDEX($LM$35:$LM$38,MG35)</f>
        <v>Alemanha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3.0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1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1</v>
      </c>
      <c r="LR36" s="71">
        <f>IF(OR(G53="",E53=""),0,IF(G53&lt;E53,1,0))+IF(OR(G54="",E54=""),0,IF(G54&lt;E54,1,0))+IF(OR(E57="",G57=""),0,IF(E57&lt;G57,1,0))</f>
        <v>2</v>
      </c>
      <c r="LS36" s="71">
        <f>G53+G54+E57</f>
        <v>0</v>
      </c>
      <c r="LT36" s="71">
        <f>E53+E54+G57</f>
        <v>3</v>
      </c>
      <c r="LU36" s="71">
        <f t="shared" si="36"/>
        <v>-3</v>
      </c>
      <c r="LV36" s="70">
        <f t="shared" si="37"/>
        <v>1</v>
      </c>
      <c r="LW36" s="70">
        <f t="shared" si="38"/>
        <v>-0.3</v>
      </c>
      <c r="LX36" s="70">
        <f t="shared" si="39"/>
        <v>0</v>
      </c>
      <c r="LY36" s="70">
        <f t="shared" si="40"/>
        <v>0.7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0.7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1</v>
      </c>
      <c r="MH36" s="70" t="str">
        <f t="shared" si="43"/>
        <v>Espanha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1.0</v>
      </c>
      <c r="F37" s="106" t="s">
        <v>72</v>
      </c>
      <c r="G37" s="107">
        <v>2.0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9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3</v>
      </c>
      <c r="LQ37" s="71">
        <f>IF(OR(E52="",G52=""),0,IF(E52=G52,1,0))+IF(OR(G55="",E55=""),0,IF(G55=E55,1,0))+IF(OR(G57="",E57=""),0,IF(G57=E57,1,0))</f>
        <v>0</v>
      </c>
      <c r="LR37" s="71">
        <f>IF(OR(E52="",G52=""),0,IF(E52&lt;G52,1,0))+IF(OR(G55="",E55=""),0,IF(G55&lt;E55,1,0))+IF(OR(G57="",E57=""),0,IF(G57&lt;E57,1,0))</f>
        <v>0</v>
      </c>
      <c r="LS37" s="71">
        <f>E52+G55+G57</f>
        <v>6</v>
      </c>
      <c r="LT37" s="71">
        <f>G52+E55+E57</f>
        <v>1</v>
      </c>
      <c r="LU37" s="71">
        <f t="shared" si="36"/>
        <v>5</v>
      </c>
      <c r="LV37" s="70">
        <f t="shared" si="37"/>
        <v>9</v>
      </c>
      <c r="LW37" s="70">
        <f t="shared" si="38"/>
        <v>0.5</v>
      </c>
      <c r="LX37" s="70">
        <f t="shared" si="39"/>
        <v>0.06</v>
      </c>
      <c r="LY37" s="70">
        <f t="shared" si="40"/>
        <v>9.56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9.56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1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1.0</v>
      </c>
      <c r="F38" s="115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'Gogó'!MH19</f>
        <v>Argentina</v>
      </c>
      <c r="M38" s="119">
        <f>VLOOKUP(L38,'Gogó'!$LM$19:$LU$22,2,FALSE)</f>
        <v>7</v>
      </c>
      <c r="N38" s="120">
        <f>VLOOKUP(L38,'Gogó'!$LM$19:$LU$22,3,FALSE)</f>
        <v>3</v>
      </c>
      <c r="O38" s="120">
        <f>VLOOKUP(L38,'Gogó'!$LM$19:$LU$22,4,FALSE)</f>
        <v>2</v>
      </c>
      <c r="P38" s="120">
        <f>VLOOKUP(L38,'Gogó'!$LM$19:$LU$22,5,FALSE)</f>
        <v>1</v>
      </c>
      <c r="Q38" s="120">
        <f>VLOOKUP(L38,'Gogó'!$LM$19:$LU$22,6,FALSE)</f>
        <v>0</v>
      </c>
      <c r="R38" s="120">
        <f>VLOOKUP(L38,'Gogó'!$LM$19:$LU$22,7,FALSE)</f>
        <v>7</v>
      </c>
      <c r="S38" s="120">
        <f>VLOOKUP(L38,'Gogó'!$LM$19:$LU$22,8,FALSE)</f>
        <v>2</v>
      </c>
      <c r="T38" s="121">
        <f>VLOOKUP(L38,'Gogó'!$LM$19:$LU$22,9,FALSE)</f>
        <v>5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2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1</v>
      </c>
      <c r="LR38" s="71">
        <f>IF(OR(G52="",E52=""),0,IF(G52&lt;E52,1,0))+IF(OR(E54="",G54=""),0,IF(E54&lt;G54,1,0))+IF(OR(E56="",G56=""),0,IF(E56&lt;G56,1,0))</f>
        <v>2</v>
      </c>
      <c r="LS38" s="71">
        <f>G52+E54+E56</f>
        <v>0</v>
      </c>
      <c r="LT38" s="71">
        <f>E52+G54+G56</f>
        <v>6</v>
      </c>
      <c r="LU38" s="71">
        <f t="shared" si="36"/>
        <v>-6</v>
      </c>
      <c r="LV38" s="70">
        <f t="shared" si="37"/>
        <v>2</v>
      </c>
      <c r="LW38" s="70">
        <f t="shared" si="38"/>
        <v>-0.6</v>
      </c>
      <c r="LX38" s="70">
        <f t="shared" si="39"/>
        <v>0</v>
      </c>
      <c r="LY38" s="70">
        <f t="shared" si="40"/>
        <v>1.4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1.4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1.0</v>
      </c>
      <c r="F39" s="106" t="s">
        <v>72</v>
      </c>
      <c r="G39" s="107">
        <v>1.0</v>
      </c>
      <c r="H39" s="108"/>
      <c r="I39" s="96" t="s">
        <v>77</v>
      </c>
      <c r="J39" s="97" t="s">
        <v>94</v>
      </c>
      <c r="K39" s="109"/>
      <c r="L39" s="118" t="str">
        <f>'Gogó'!MH20</f>
        <v>Polônia</v>
      </c>
      <c r="M39" s="119">
        <f>VLOOKUP(L39,'Gogó'!$LM$19:$LU$22,2,FALSE)</f>
        <v>6</v>
      </c>
      <c r="N39" s="120">
        <f>VLOOKUP(L39,'Gogó'!$LM$19:$LU$22,3,FALSE)</f>
        <v>3</v>
      </c>
      <c r="O39" s="120">
        <f>VLOOKUP(L39,'Gogó'!$LM$19:$LU$22,4,FALSE)</f>
        <v>1</v>
      </c>
      <c r="P39" s="120">
        <f>VLOOKUP(L39,'Gogó'!$LM$19:$LU$22,5,FALSE)</f>
        <v>0</v>
      </c>
      <c r="Q39" s="120">
        <f>VLOOKUP(L39,'Gogó'!$LM$19:$LU$22,6,FALSE)</f>
        <v>1</v>
      </c>
      <c r="R39" s="120">
        <f>VLOOKUP(L39,'Gogó'!$LM$19:$LU$22,7,FALSE)</f>
        <v>4</v>
      </c>
      <c r="S39" s="120">
        <f>VLOOKUP(L39,'Gogó'!$LM$19:$LU$22,8,FALSE)</f>
        <v>4</v>
      </c>
      <c r="T39" s="121">
        <f>VLOOKUP(L39,'Gogó'!$LM$19:$LU$22,9,FALSE)</f>
        <v>0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0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1.0</v>
      </c>
      <c r="F40" s="106" t="s">
        <v>72</v>
      </c>
      <c r="G40" s="107">
        <v>3.0</v>
      </c>
      <c r="H40" s="108"/>
      <c r="I40" s="96" t="s">
        <v>71</v>
      </c>
      <c r="J40" s="97" t="s">
        <v>97</v>
      </c>
      <c r="K40" s="109"/>
      <c r="L40" s="118" t="str">
        <f>'Gogó'!MH21</f>
        <v>México</v>
      </c>
      <c r="M40" s="119">
        <f>VLOOKUP(L40,'Gogó'!$LM$19:$LU$22,2,FALSE)</f>
        <v>4</v>
      </c>
      <c r="N40" s="120">
        <f>VLOOKUP(L40,'Gogó'!$LM$19:$LU$22,3,FALSE)</f>
        <v>3</v>
      </c>
      <c r="O40" s="120">
        <f>VLOOKUP(L40,'Gogó'!$LM$19:$LU$22,4,FALSE)</f>
        <v>1</v>
      </c>
      <c r="P40" s="120">
        <f>VLOOKUP(L40,'Gogó'!$LM$19:$LU$22,5,FALSE)</f>
        <v>1</v>
      </c>
      <c r="Q40" s="120">
        <f>VLOOKUP(L40,'Gogó'!$LM$19:$LU$22,6,FALSE)</f>
        <v>1</v>
      </c>
      <c r="R40" s="120">
        <f>VLOOKUP(L40,'Gogó'!$LM$19:$LU$22,7,FALSE)</f>
        <v>5</v>
      </c>
      <c r="S40" s="120">
        <f>VLOOKUP(L40,'Gogó'!$LM$19:$LU$22,8,FALSE)</f>
        <v>3</v>
      </c>
      <c r="T40" s="121">
        <f>VLOOKUP(L40,'Gogó'!$LM$19:$LU$22,9,FALSE)</f>
        <v>2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6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0.0</v>
      </c>
      <c r="F41" s="106" t="s">
        <v>72</v>
      </c>
      <c r="G41" s="107">
        <v>3.0</v>
      </c>
      <c r="H41" s="108"/>
      <c r="I41" s="96" t="s">
        <v>77</v>
      </c>
      <c r="J41" s="97" t="s">
        <v>94</v>
      </c>
      <c r="K41" s="123"/>
      <c r="L41" s="124" t="str">
        <f>'Gogó'!MH22</f>
        <v>Arábia Saudita</v>
      </c>
      <c r="M41" s="125">
        <f>VLOOKUP(L41,'Gogó'!$LM$19:$LU$22,2,FALSE)</f>
        <v>0</v>
      </c>
      <c r="N41" s="126">
        <f>VLOOKUP(L41,'Gogó'!$LM$19:$LU$22,3,FALSE)</f>
        <v>3</v>
      </c>
      <c r="O41" s="126">
        <f>VLOOKUP(L41,'Gogó'!$LM$19:$LU$22,4,FALSE)</f>
        <v>0</v>
      </c>
      <c r="P41" s="126">
        <f>VLOOKUP(L41,'Gogó'!$LM$19:$LU$22,5,FALSE)</f>
        <v>0</v>
      </c>
      <c r="Q41" s="126">
        <f>VLOOKUP(L41,'Gogó'!$LM$19:$LU$22,6,FALSE)</f>
        <v>3</v>
      </c>
      <c r="R41" s="126">
        <f>VLOOKUP(L41,'Gogó'!$LM$19:$LU$22,7,FALSE)</f>
        <v>0</v>
      </c>
      <c r="S41" s="126">
        <f>VLOOKUP(L41,'Gogó'!$LM$19:$LU$22,8,FALSE)</f>
        <v>7</v>
      </c>
      <c r="T41" s="127">
        <f>VLOOKUP(L41,'Gogó'!$LM$19:$LU$22,9,FALSE)</f>
        <v>-7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3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1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7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2</v>
      </c>
      <c r="LQ43" s="71">
        <f>IF(OR(E61="",G61=""),0,IF(E61=G61,1,0))+IF(OR(E62="",G62=""),0,IF(E62=G62,1,0))+IF(OR(G64="",E64=""),0,IF(G64=E64,1,0))</f>
        <v>1</v>
      </c>
      <c r="LR43" s="71">
        <f>IF(OR(E61="",G61=""),0,IF(E61&lt;G61,1,0))+IF(OR(E62="",G62=""),0,IF(E62&lt;G62,1,0))+IF(OR(G64="",E64=""),0,IF(G64&lt;E64,1,0))</f>
        <v>0</v>
      </c>
      <c r="LS43" s="71">
        <f>E61+E62+G64</f>
        <v>5</v>
      </c>
      <c r="LT43" s="71">
        <f>G61+G62+E64</f>
        <v>2</v>
      </c>
      <c r="LU43" s="71">
        <f t="shared" ref="LU43:LU46" si="45">LS43-LT43</f>
        <v>3</v>
      </c>
      <c r="LV43" s="70">
        <f t="shared" ref="LV43:LV46" si="46">LN43</f>
        <v>7</v>
      </c>
      <c r="LW43" s="70">
        <f t="shared" ref="LW43:LW46" si="47">LU43/10</f>
        <v>0.3</v>
      </c>
      <c r="LX43" s="70">
        <f t="shared" ref="LX43:LX46" si="48">LS43/100</f>
        <v>0.05</v>
      </c>
      <c r="LY43" s="70">
        <f t="shared" ref="LY43:LY46" si="49">SUM(LV43:LX43)</f>
        <v>7.35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7.35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3.0</v>
      </c>
      <c r="F44" s="106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1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2</v>
      </c>
      <c r="LS44" s="71">
        <f>G61+G63+E65</f>
        <v>1</v>
      </c>
      <c r="LT44" s="71">
        <f>E61+E63+G65</f>
        <v>4</v>
      </c>
      <c r="LU44" s="71">
        <f t="shared" si="45"/>
        <v>-3</v>
      </c>
      <c r="LV44" s="70">
        <f t="shared" si="46"/>
        <v>1</v>
      </c>
      <c r="LW44" s="70">
        <f t="shared" si="47"/>
        <v>-0.3</v>
      </c>
      <c r="LX44" s="70">
        <f t="shared" si="48"/>
        <v>0.01</v>
      </c>
      <c r="LY44" s="70">
        <f t="shared" si="49"/>
        <v>0.71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0.71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3.0</v>
      </c>
      <c r="F45" s="106" t="s">
        <v>72</v>
      </c>
      <c r="G45" s="107">
        <v>1.0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3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1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2</v>
      </c>
      <c r="LS45" s="71">
        <f>E60+G62+G65</f>
        <v>2</v>
      </c>
      <c r="LT45" s="71">
        <f>G60+E62+E65</f>
        <v>4</v>
      </c>
      <c r="LU45" s="71">
        <f t="shared" si="45"/>
        <v>-2</v>
      </c>
      <c r="LV45" s="70">
        <f t="shared" si="46"/>
        <v>3</v>
      </c>
      <c r="LW45" s="70">
        <f t="shared" si="47"/>
        <v>-0.2</v>
      </c>
      <c r="LX45" s="70">
        <f t="shared" si="48"/>
        <v>0.02</v>
      </c>
      <c r="LY45" s="70">
        <f t="shared" si="49"/>
        <v>2.82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2.82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1.0</v>
      </c>
      <c r="F46" s="115" t="s">
        <v>72</v>
      </c>
      <c r="G46" s="116">
        <v>2.0</v>
      </c>
      <c r="H46" s="117"/>
      <c r="I46" s="96" t="s">
        <v>87</v>
      </c>
      <c r="J46" s="97" t="s">
        <v>106</v>
      </c>
      <c r="K46" s="109"/>
      <c r="L46" s="118" t="str">
        <f>'Gogó'!MH27</f>
        <v>França</v>
      </c>
      <c r="M46" s="119">
        <f>VLOOKUP(L46,'Gogó'!$LM$27:$LU$30,2,FALSE)</f>
        <v>9</v>
      </c>
      <c r="N46" s="120">
        <f>VLOOKUP(L46,'Gogó'!$LM$27:$LU$30,3,FALSE)</f>
        <v>3</v>
      </c>
      <c r="O46" s="120">
        <f>VLOOKUP(L46,'Gogó'!$LM$27:$LU$30,4,FALSE)</f>
        <v>3</v>
      </c>
      <c r="P46" s="120">
        <f>VLOOKUP(L46,'Gogó'!$LM$27:$LU$30,5,FALSE)</f>
        <v>0</v>
      </c>
      <c r="Q46" s="120">
        <f>VLOOKUP(L46,'Gogó'!$LM$27:$LU$30,6,FALSE)</f>
        <v>0</v>
      </c>
      <c r="R46" s="120">
        <f>VLOOKUP(L46,'Gogó'!$LM$27:$LU$30,7,FALSE)</f>
        <v>9</v>
      </c>
      <c r="S46" s="120">
        <f>VLOOKUP(L46,'Gogó'!$LM$27:$LU$30,8,FALSE)</f>
        <v>2</v>
      </c>
      <c r="T46" s="121">
        <f>VLOOKUP(L46,'Gogó'!$LM$27:$LU$30,9,FALSE)</f>
        <v>7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6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5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1</v>
      </c>
      <c r="LQ46" s="71">
        <f>IF(OR(G60="",E60=""),0,IF(G60=E60,1,0))+IF(OR(E63="",G63=""),0,IF(E63=G63,1,0))+IF(OR(E64="",G64=""),0,IF(E64=G64,1,0))</f>
        <v>2</v>
      </c>
      <c r="LR46" s="71">
        <f>IF(OR(G60="",E60=""),0,IF(G60&lt;E60,1,0))+IF(OR(E63="",G63=""),0,IF(E63&lt;G63,1,0))+IF(OR(E64="",G64=""),0,IF(E64&lt;G64,1,0))</f>
        <v>0</v>
      </c>
      <c r="LS46" s="71">
        <f>G60+E63+E64</f>
        <v>6</v>
      </c>
      <c r="LT46" s="71">
        <f>E60+G63+G64</f>
        <v>4</v>
      </c>
      <c r="LU46" s="71">
        <f t="shared" si="45"/>
        <v>2</v>
      </c>
      <c r="LV46" s="70">
        <f t="shared" si="46"/>
        <v>5</v>
      </c>
      <c r="LW46" s="70">
        <f t="shared" si="47"/>
        <v>0.2</v>
      </c>
      <c r="LX46" s="70">
        <f t="shared" si="48"/>
        <v>0.06</v>
      </c>
      <c r="LY46" s="70">
        <f t="shared" si="49"/>
        <v>5.26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5.26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2</v>
      </c>
      <c r="MH46" s="70" t="str">
        <f t="shared" si="52"/>
        <v>Canadá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2.0</v>
      </c>
      <c r="F47" s="106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'Gogó'!MH28</f>
        <v>Dinamarca</v>
      </c>
      <c r="M47" s="119">
        <f>VLOOKUP(L47,'Gogó'!$LM$27:$LU$30,2,FALSE)</f>
        <v>6</v>
      </c>
      <c r="N47" s="120">
        <f>VLOOKUP(L47,'Gogó'!$LM$27:$LU$30,3,FALSE)</f>
        <v>3</v>
      </c>
      <c r="O47" s="120">
        <f>VLOOKUP(L47,'Gogó'!$LM$27:$LU$30,4,FALSE)</f>
        <v>2</v>
      </c>
      <c r="P47" s="120">
        <f>VLOOKUP(L47,'Gogó'!$LM$27:$LU$30,5,FALSE)</f>
        <v>0</v>
      </c>
      <c r="Q47" s="120">
        <f>VLOOKUP(L47,'Gogó'!$LM$27:$LU$30,6,FALSE)</f>
        <v>1</v>
      </c>
      <c r="R47" s="120">
        <f>VLOOKUP(L47,'Gogó'!$LM$27:$LU$30,7,FALSE)</f>
        <v>7</v>
      </c>
      <c r="S47" s="120">
        <f>VLOOKUP(L47,'Gogó'!$LM$27:$LU$30,8,FALSE)</f>
        <v>2</v>
      </c>
      <c r="T47" s="121">
        <f>VLOOKUP(L47,'Gogó'!$LM$27:$LU$30,9,FALSE)</f>
        <v>5</v>
      </c>
      <c r="U47" s="53"/>
      <c r="V47" s="59" t="s">
        <v>81</v>
      </c>
      <c r="W47" s="122" t="str">
        <f t="shared" si="53"/>
        <v>Dinamarca</v>
      </c>
      <c r="X47" s="236">
        <f>IF(AND(W47&lt;&gt;"",'Resultado Oficial'!W46&lt;&gt;"",'Resultado Oficial'!W47&lt;&gt;""),IF(W47='Resultado Oficial'!W47,5,IF(W47='Resultado Oficial'!W46,2,0)),"")</f>
        <v>0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10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0.0</v>
      </c>
      <c r="F48" s="106" t="s">
        <v>72</v>
      </c>
      <c r="G48" s="107">
        <v>3.0</v>
      </c>
      <c r="H48" s="108"/>
      <c r="I48" s="96" t="s">
        <v>89</v>
      </c>
      <c r="J48" s="97" t="s">
        <v>106</v>
      </c>
      <c r="K48" s="109"/>
      <c r="L48" s="118" t="str">
        <f>'Gogó'!MH29</f>
        <v>Austrália</v>
      </c>
      <c r="M48" s="119">
        <f>VLOOKUP(L48,'Gogó'!$LM$27:$LU$30,2,FALSE)</f>
        <v>3</v>
      </c>
      <c r="N48" s="120">
        <f>VLOOKUP(L48,'Gogó'!$LM$27:$LU$30,3,FALSE)</f>
        <v>3</v>
      </c>
      <c r="O48" s="120">
        <f>VLOOKUP(L48,'Gogó'!$LM$27:$LU$30,4,FALSE)</f>
        <v>1</v>
      </c>
      <c r="P48" s="120">
        <f>VLOOKUP(L48,'Gogó'!$LM$27:$LU$30,5,FALSE)</f>
        <v>0</v>
      </c>
      <c r="Q48" s="120">
        <f>VLOOKUP(L48,'Gogó'!$LM$27:$LU$30,6,FALSE)</f>
        <v>2</v>
      </c>
      <c r="R48" s="120">
        <f>VLOOKUP(L48,'Gogó'!$LM$27:$LU$30,7,FALSE)</f>
        <v>3</v>
      </c>
      <c r="S48" s="120">
        <f>VLOOKUP(L48,'Gogó'!$LM$27:$LU$30,8,FALSE)</f>
        <v>7</v>
      </c>
      <c r="T48" s="121">
        <f>VLOOKUP(L48,'Gogó'!$LM$27:$LU$30,9,FALSE)</f>
        <v>-4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0.0</v>
      </c>
      <c r="F49" s="106" t="s">
        <v>72</v>
      </c>
      <c r="G49" s="107">
        <v>4.0</v>
      </c>
      <c r="H49" s="108"/>
      <c r="I49" s="96" t="s">
        <v>85</v>
      </c>
      <c r="J49" s="97" t="s">
        <v>99</v>
      </c>
      <c r="K49" s="123"/>
      <c r="L49" s="124" t="str">
        <f>'Gogó'!MH30</f>
        <v>Tunísia</v>
      </c>
      <c r="M49" s="125">
        <f>VLOOKUP(L49,'Gogó'!$LM$27:$LU$30,2,FALSE)</f>
        <v>0</v>
      </c>
      <c r="N49" s="126">
        <f>VLOOKUP(L49,'Gogó'!$LM$27:$LU$30,3,FALSE)</f>
        <v>3</v>
      </c>
      <c r="O49" s="126">
        <f>VLOOKUP(L49,'Gogó'!$LM$27:$LU$30,4,FALSE)</f>
        <v>0</v>
      </c>
      <c r="P49" s="126">
        <f>VLOOKUP(L49,'Gogó'!$LM$27:$LU$30,5,FALSE)</f>
        <v>0</v>
      </c>
      <c r="Q49" s="126">
        <f>VLOOKUP(L49,'Gogó'!$LM$27:$LU$30,6,FALSE)</f>
        <v>3</v>
      </c>
      <c r="R49" s="126">
        <f>VLOOKUP(L49,'Gogó'!$LM$27:$LU$30,7,FALSE)</f>
        <v>1</v>
      </c>
      <c r="S49" s="126">
        <f>VLOOKUP(L49,'Gogó'!$LM$27:$LU$30,8,FALSE)</f>
        <v>9</v>
      </c>
      <c r="T49" s="127">
        <f>VLOOKUP(L49,'Gogó'!$LM$27:$LU$30,9,FALSE)</f>
        <v>-8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6</v>
      </c>
      <c r="LT51" s="71">
        <f>G69+G71+E73</f>
        <v>1</v>
      </c>
      <c r="LU51" s="71">
        <f t="shared" ref="LU51:LU54" si="54">LS51-LT51</f>
        <v>5</v>
      </c>
      <c r="LV51" s="70">
        <f t="shared" ref="LV51:LV54" si="55">LN51</f>
        <v>9</v>
      </c>
      <c r="LW51" s="70">
        <f t="shared" ref="LW51:LW54" si="56">LU51/10</f>
        <v>0.5</v>
      </c>
      <c r="LX51" s="70">
        <f t="shared" ref="LX51:LX54" si="57">LS51/100</f>
        <v>0.06</v>
      </c>
      <c r="LY51" s="70">
        <f t="shared" ref="LY51:LY54" si="58">SUM(LV51:LX51)</f>
        <v>9.56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9.56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3.0</v>
      </c>
      <c r="F52" s="106" t="s">
        <v>72</v>
      </c>
      <c r="G52" s="107">
        <v>0.0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3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1</v>
      </c>
      <c r="LQ52" s="71">
        <f>IF(OR(G69="",E69=""),0,IF(G69=E69,1,0))+IF(OR(G70="",E70=""),0,IF(G70=E70,1,0))+IF(OR(E72="",G72=""),0,IF(E72=G72,1,0))</f>
        <v>0</v>
      </c>
      <c r="LR52" s="71">
        <f>IF(OR(G69="",E69=""),0,IF(G69&lt;E69,1,0))+IF(OR(G70="",E70=""),0,IF(G70&lt;E70,1,0))+IF(OR(E72="",G72=""),0,IF(E72&lt;G72,1,0))</f>
        <v>2</v>
      </c>
      <c r="LS52" s="71">
        <f>G69+G70+E72</f>
        <v>5</v>
      </c>
      <c r="LT52" s="71">
        <f>E69+E70+G72</f>
        <v>4</v>
      </c>
      <c r="LU52" s="71">
        <f t="shared" si="54"/>
        <v>1</v>
      </c>
      <c r="LV52" s="70">
        <f t="shared" si="55"/>
        <v>3</v>
      </c>
      <c r="LW52" s="70">
        <f t="shared" si="56"/>
        <v>0.1</v>
      </c>
      <c r="LX52" s="70">
        <f t="shared" si="57"/>
        <v>0.05</v>
      </c>
      <c r="LY52" s="70">
        <f t="shared" si="58"/>
        <v>3.15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3.15</v>
      </c>
      <c r="MD52" s="70">
        <f>RANK($MC$52,$MC$51:$MC$54,0)</f>
        <v>3</v>
      </c>
      <c r="ME52" s="70">
        <f>IF(OR(AND(MD51=MD52,MD51=MD53,MD51=MD54),AND(MD52=MD51,MD52=MD53),AND(MD52=MD51,MD52=MD54),MD52=MD51),MD52+1,MD52)</f>
        <v>3</v>
      </c>
      <c r="MF52" s="70">
        <v>2.0</v>
      </c>
      <c r="MG52" s="70">
        <f t="shared" si="60"/>
        <v>3</v>
      </c>
      <c r="MH52" s="70" t="str">
        <f t="shared" si="61"/>
        <v>Suiça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2.0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6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2</v>
      </c>
      <c r="LQ53" s="71">
        <f>IF(OR(E68="",G68=""),0,IF(E68=G68,1,0))+IF(OR(G71="",E71=""),0,IF(G71=E71,1,0))+IF(OR(G72="",E72=""),0,IF(G72=E72,1,0))</f>
        <v>0</v>
      </c>
      <c r="LR53" s="71">
        <f>IF(OR(E68="",G68=""),0,IF(E68&lt;G68,1,0))+IF(OR(G71="",E71=""),0,IF(G71&lt;E71,1,0))+IF(OR(G72="",E72=""),0,IF(G72&lt;E72,1,0))</f>
        <v>1</v>
      </c>
      <c r="LS53" s="71">
        <f>E68+G71+G72</f>
        <v>4</v>
      </c>
      <c r="LT53" s="71">
        <f>G68+E71+E72</f>
        <v>3</v>
      </c>
      <c r="LU53" s="71">
        <f t="shared" si="54"/>
        <v>1</v>
      </c>
      <c r="LV53" s="70">
        <f t="shared" si="55"/>
        <v>6</v>
      </c>
      <c r="LW53" s="70">
        <f t="shared" si="56"/>
        <v>0.1</v>
      </c>
      <c r="LX53" s="70">
        <f t="shared" si="57"/>
        <v>0.04</v>
      </c>
      <c r="LY53" s="70">
        <f t="shared" si="58"/>
        <v>6.14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6.14</v>
      </c>
      <c r="MD53" s="70">
        <f>RANK($MC$53,$MC$51:$MC$54,0)</f>
        <v>2</v>
      </c>
      <c r="ME53" s="70">
        <f>IF(OR(AND(MD51=MD52,MD51=MD53,MD51=MD54),AND(MD53=MD51,MD53=MD52)),MD53+2,IF(OR(AND(MD53=MD52,MD53=MD54),MD53=MD51,MD53=MD52),MD53+1,MD53))</f>
        <v>2</v>
      </c>
      <c r="MF53" s="70">
        <v>3.0</v>
      </c>
      <c r="MG53" s="70">
        <f t="shared" si="60"/>
        <v>2</v>
      </c>
      <c r="MH53" s="70" t="str">
        <f t="shared" si="61"/>
        <v>Sérvia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0.0</v>
      </c>
      <c r="F54" s="115" t="s">
        <v>72</v>
      </c>
      <c r="G54" s="116">
        <v>0.0</v>
      </c>
      <c r="H54" s="117"/>
      <c r="I54" s="96" t="s">
        <v>96</v>
      </c>
      <c r="J54" s="97" t="s">
        <v>115</v>
      </c>
      <c r="K54" s="109"/>
      <c r="L54" s="118" t="str">
        <f>'Gogó'!MH35</f>
        <v>Alemanha</v>
      </c>
      <c r="M54" s="119">
        <f>VLOOKUP(L54,'Gogó'!$LM$35:$LU$38,2,FALSE)</f>
        <v>9</v>
      </c>
      <c r="N54" s="120">
        <f>VLOOKUP(L54,'Gogó'!$LM$35:$LU$38,3,FALSE)</f>
        <v>3</v>
      </c>
      <c r="O54" s="120">
        <f>VLOOKUP(L54,'Gogó'!$LM$35:$LU$38,4,FALSE)</f>
        <v>3</v>
      </c>
      <c r="P54" s="120">
        <f>VLOOKUP(L54,'Gogó'!$LM$35:$LU$38,5,FALSE)</f>
        <v>0</v>
      </c>
      <c r="Q54" s="120">
        <f>VLOOKUP(L54,'Gogó'!$LM$35:$LU$38,6,FALSE)</f>
        <v>0</v>
      </c>
      <c r="R54" s="120">
        <f>VLOOKUP(L54,'Gogó'!$LM$35:$LU$38,7,FALSE)</f>
        <v>6</v>
      </c>
      <c r="S54" s="120">
        <f>VLOOKUP(L54,'Gogó'!$LM$35:$LU$38,8,FALSE)</f>
        <v>1</v>
      </c>
      <c r="T54" s="121">
        <f>VLOOKUP(L54,'Gogó'!$LM$35:$LU$38,9,FALSE)</f>
        <v>5</v>
      </c>
      <c r="U54" s="53"/>
      <c r="V54" s="59" t="s">
        <v>78</v>
      </c>
      <c r="W54" s="122" t="str">
        <f t="shared" ref="W54:W55" si="62">IF(N54&lt;&gt;3,"",L54)</f>
        <v>Alemanha</v>
      </c>
      <c r="X54" s="236">
        <f>IF(AND(W54&lt;&gt;"",'Resultado Oficial'!W54&lt;&gt;"",'Resultado Oficial'!W55&lt;&gt;""),IF(W54='Resultado Oficial'!W54,5,IF(W54='Resultado Oficial'!W55,2,0)),"")</f>
        <v>0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0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0</v>
      </c>
      <c r="LR54" s="71">
        <f>IF(OR(G68="",E68=""),0,IF(G68&lt;E68,1,0))+IF(OR(E70="",G70=""),0,IF(E70&lt;G70,1,0))+IF(OR(E73="",G73=""),0,IF(E73&lt;G73,1,0))</f>
        <v>3</v>
      </c>
      <c r="LS54" s="71">
        <f>G68+E70+E73</f>
        <v>1</v>
      </c>
      <c r="LT54" s="71">
        <f>E68+G70+G73</f>
        <v>8</v>
      </c>
      <c r="LU54" s="71">
        <f t="shared" si="54"/>
        <v>-7</v>
      </c>
      <c r="LV54" s="70">
        <f t="shared" si="55"/>
        <v>0</v>
      </c>
      <c r="LW54" s="70">
        <f t="shared" si="56"/>
        <v>-0.7</v>
      </c>
      <c r="LX54" s="70">
        <f t="shared" si="57"/>
        <v>0.01</v>
      </c>
      <c r="LY54" s="70">
        <f t="shared" si="58"/>
        <v>-0.69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-0.69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1.0</v>
      </c>
      <c r="F55" s="106" t="s">
        <v>72</v>
      </c>
      <c r="G55" s="107">
        <v>2.0</v>
      </c>
      <c r="H55" s="108"/>
      <c r="I55" s="96" t="s">
        <v>98</v>
      </c>
      <c r="J55" s="97" t="s">
        <v>73</v>
      </c>
      <c r="K55" s="109"/>
      <c r="L55" s="118" t="str">
        <f>'Gogó'!MH36</f>
        <v>Espanha</v>
      </c>
      <c r="M55" s="119">
        <f>VLOOKUP(L55,'Gogó'!$LM$35:$LU$38,2,FALSE)</f>
        <v>6</v>
      </c>
      <c r="N55" s="120">
        <f>VLOOKUP(L55,'Gogó'!$LM$35:$LU$38,3,FALSE)</f>
        <v>3</v>
      </c>
      <c r="O55" s="120">
        <f>VLOOKUP(L55,'Gogó'!$LM$35:$LU$38,4,FALSE)</f>
        <v>2</v>
      </c>
      <c r="P55" s="120">
        <f>VLOOKUP(L55,'Gogó'!$LM$35:$LU$38,5,FALSE)</f>
        <v>0</v>
      </c>
      <c r="Q55" s="120">
        <f>VLOOKUP(L55,'Gogó'!$LM$35:$LU$38,6,FALSE)</f>
        <v>1</v>
      </c>
      <c r="R55" s="120">
        <f>VLOOKUP(L55,'Gogó'!$LM$35:$LU$38,7,FALSE)</f>
        <v>6</v>
      </c>
      <c r="S55" s="120">
        <f>VLOOKUP(L55,'Gogó'!$LM$35:$LU$38,8,FALSE)</f>
        <v>2</v>
      </c>
      <c r="T55" s="121">
        <f>VLOOKUP(L55,'Gogó'!$LM$35:$LU$38,9,FALSE)</f>
        <v>4</v>
      </c>
      <c r="U55" s="53"/>
      <c r="V55" s="59" t="s">
        <v>81</v>
      </c>
      <c r="W55" s="122" t="str">
        <f t="shared" si="62"/>
        <v>Espanha</v>
      </c>
      <c r="X55" s="236">
        <f>IF(AND(W55&lt;&gt;"",'Resultado Oficial'!W54&lt;&gt;"",'Resultado Oficial'!W55&lt;&gt;""),IF(W55='Resultado Oficial'!W55,5,IF(W55='Resultado Oficial'!W54,2,0)),"")</f>
        <v>5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0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0.0</v>
      </c>
      <c r="F56" s="106" t="s">
        <v>72</v>
      </c>
      <c r="G56" s="107">
        <v>3.0</v>
      </c>
      <c r="H56" s="108"/>
      <c r="I56" s="96" t="s">
        <v>93</v>
      </c>
      <c r="J56" s="97" t="s">
        <v>80</v>
      </c>
      <c r="K56" s="109"/>
      <c r="L56" s="118" t="str">
        <f>'Gogó'!MH37</f>
        <v>Japão</v>
      </c>
      <c r="M56" s="119">
        <f>VLOOKUP(L56,'Gogó'!$LM$35:$LU$38,2,FALSE)</f>
        <v>2</v>
      </c>
      <c r="N56" s="120">
        <f>VLOOKUP(L56,'Gogó'!$LM$35:$LU$38,3,FALSE)</f>
        <v>3</v>
      </c>
      <c r="O56" s="120">
        <f>VLOOKUP(L56,'Gogó'!$LM$35:$LU$38,4,FALSE)</f>
        <v>0</v>
      </c>
      <c r="P56" s="120">
        <f>VLOOKUP(L56,'Gogó'!$LM$35:$LU$38,5,FALSE)</f>
        <v>1</v>
      </c>
      <c r="Q56" s="120">
        <f>VLOOKUP(L56,'Gogó'!$LM$35:$LU$38,6,FALSE)</f>
        <v>2</v>
      </c>
      <c r="R56" s="120">
        <f>VLOOKUP(L56,'Gogó'!$LM$35:$LU$38,7,FALSE)</f>
        <v>0</v>
      </c>
      <c r="S56" s="120">
        <f>VLOOKUP(L56,'Gogó'!$LM$35:$LU$38,8,FALSE)</f>
        <v>6</v>
      </c>
      <c r="T56" s="121">
        <f>VLOOKUP(L56,'Gogó'!$LM$35:$LU$38,9,FALSE)</f>
        <v>-6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106" t="s">
        <v>72</v>
      </c>
      <c r="G57" s="107">
        <v>1.0</v>
      </c>
      <c r="H57" s="108"/>
      <c r="I57" s="96" t="s">
        <v>98</v>
      </c>
      <c r="J57" s="97" t="s">
        <v>73</v>
      </c>
      <c r="K57" s="123"/>
      <c r="L57" s="124" t="str">
        <f>'Gogó'!MH38</f>
        <v>Costa Rica</v>
      </c>
      <c r="M57" s="125">
        <f>VLOOKUP(L57,'Gogó'!$LM$35:$LU$38,2,FALSE)</f>
        <v>1</v>
      </c>
      <c r="N57" s="126">
        <f>VLOOKUP(L57,'Gogó'!$LM$35:$LU$38,3,FALSE)</f>
        <v>3</v>
      </c>
      <c r="O57" s="126">
        <f>VLOOKUP(L57,'Gogó'!$LM$35:$LU$38,4,FALSE)</f>
        <v>0</v>
      </c>
      <c r="P57" s="126">
        <f>VLOOKUP(L57,'Gogó'!$LM$35:$LU$38,5,FALSE)</f>
        <v>1</v>
      </c>
      <c r="Q57" s="126">
        <f>VLOOKUP(L57,'Gogó'!$LM$35:$LU$38,6,FALSE)</f>
        <v>2</v>
      </c>
      <c r="R57" s="126">
        <f>VLOOKUP(L57,'Gogó'!$LM$35:$LU$38,7,FALSE)</f>
        <v>0</v>
      </c>
      <c r="S57" s="126">
        <f>VLOOKUP(L57,'Gogó'!$LM$35:$LU$38,8,FALSE)</f>
        <v>3</v>
      </c>
      <c r="T57" s="127">
        <f>VLOOKUP(L57,'Gogó'!$LM$35:$LU$38,9,FALSE)</f>
        <v>-3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3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7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1</v>
      </c>
      <c r="LR59" s="71">
        <f>IF(OR(E77="",G77=""),0,IF(E77&lt;G77,1,0))+IF(OR(E79="",G79=""),0,IF(E79&lt;G79,1,0))+IF(OR(G81="",E81=""),0,IF(G81&lt;E81,1,0))</f>
        <v>0</v>
      </c>
      <c r="LS59" s="71">
        <f>E77+E79+G81</f>
        <v>7</v>
      </c>
      <c r="LT59" s="71">
        <f>G77+G79+E81</f>
        <v>2</v>
      </c>
      <c r="LU59" s="71">
        <f t="shared" ref="LU59:LU62" si="63">LS59-LT59</f>
        <v>5</v>
      </c>
      <c r="LV59" s="70">
        <f t="shared" ref="LV59:LV62" si="64">LN59</f>
        <v>7</v>
      </c>
      <c r="LW59" s="70">
        <f t="shared" ref="LW59:LW62" si="65">LU59/10</f>
        <v>0.5</v>
      </c>
      <c r="LX59" s="70">
        <f t="shared" ref="LX59:LX62" si="66">LS59/100</f>
        <v>0.07</v>
      </c>
      <c r="LY59" s="70">
        <f t="shared" ref="LY59:LY62" si="67">SUM(LV59:LX59)</f>
        <v>7.57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7.57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1.0</v>
      </c>
      <c r="F60" s="106" t="s">
        <v>72</v>
      </c>
      <c r="G60" s="107">
        <v>3.0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1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1</v>
      </c>
      <c r="LR60" s="71">
        <f>IF(OR(G77="",E77=""),0,IF(G77&lt;E77,1,0))+IF(OR(G78="",E78=""),0,IF(G78&lt;E78,1,0))+IF(OR(E80="",G80=""),0,IF(E80&lt;G80,1,0))</f>
        <v>2</v>
      </c>
      <c r="LS60" s="71">
        <f>G77+G78+E80</f>
        <v>1</v>
      </c>
      <c r="LT60" s="71">
        <f>E77+E78+G80</f>
        <v>7</v>
      </c>
      <c r="LU60" s="71">
        <f t="shared" si="63"/>
        <v>-6</v>
      </c>
      <c r="LV60" s="70">
        <f t="shared" si="64"/>
        <v>1</v>
      </c>
      <c r="LW60" s="70">
        <f t="shared" si="65"/>
        <v>-0.6</v>
      </c>
      <c r="LX60" s="70">
        <f t="shared" si="66"/>
        <v>0.01</v>
      </c>
      <c r="LY60" s="70">
        <f t="shared" si="67"/>
        <v>0.41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0.41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9"/>
        <v>3</v>
      </c>
      <c r="MH60" s="70" t="str">
        <f t="shared" si="70"/>
        <v>Uruguai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2.0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7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0</v>
      </c>
      <c r="LS61" s="71">
        <f>E76+G79+G80</f>
        <v>7</v>
      </c>
      <c r="LT61" s="71">
        <f>G76+E79+E80</f>
        <v>2</v>
      </c>
      <c r="LU61" s="71">
        <f t="shared" si="63"/>
        <v>5</v>
      </c>
      <c r="LV61" s="70">
        <f t="shared" si="64"/>
        <v>7</v>
      </c>
      <c r="LW61" s="70">
        <f t="shared" si="65"/>
        <v>0.5</v>
      </c>
      <c r="LX61" s="70">
        <f t="shared" si="66"/>
        <v>0.07</v>
      </c>
      <c r="LY61" s="70">
        <f t="shared" si="67"/>
        <v>7.57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7.57</v>
      </c>
      <c r="MD61" s="70">
        <f>RANK($MC$61,$MC$59:$MC$62,0)</f>
        <v>1</v>
      </c>
      <c r="ME61" s="70">
        <f>IF(OR(AND(MD59=MD60,MD59=MD61,MD59=MD62),AND(MD61=MD59,MD61=MD60)),MD61+2,IF(OR(AND(MD61=MD60,MD61=MD62),MD61=MD59,MD61=MD60),MD61+1,MD61))</f>
        <v>2</v>
      </c>
      <c r="MF61" s="70">
        <v>3.0</v>
      </c>
      <c r="MG61" s="70">
        <f t="shared" si="69"/>
        <v>4</v>
      </c>
      <c r="MH61" s="70" t="str">
        <f t="shared" si="70"/>
        <v>Coréia do Sul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1.0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'Gogó'!MH43</f>
        <v>Bélgica</v>
      </c>
      <c r="M62" s="119">
        <f>VLOOKUP(L62,'Gogó'!$LM$43:$LU$46,2,FALSE)</f>
        <v>7</v>
      </c>
      <c r="N62" s="120">
        <f>VLOOKUP(L62,'Gogó'!$LM$43:$LU$46,3,FALSE)</f>
        <v>3</v>
      </c>
      <c r="O62" s="120">
        <f>VLOOKUP(L62,'Gogó'!$LM$43:$LU$46,4,FALSE)</f>
        <v>2</v>
      </c>
      <c r="P62" s="120">
        <f>VLOOKUP(L62,'Gogó'!$LM$43:$LU$46,5,FALSE)</f>
        <v>1</v>
      </c>
      <c r="Q62" s="120">
        <f>VLOOKUP(L62,'Gogó'!$LM$43:$LU$46,6,FALSE)</f>
        <v>0</v>
      </c>
      <c r="R62" s="120">
        <f>VLOOKUP(L62,'Gogó'!$LM$43:$LU$46,7,FALSE)</f>
        <v>5</v>
      </c>
      <c r="S62" s="120">
        <f>VLOOKUP(L62,'Gogó'!$LM$43:$LU$46,8,FALSE)</f>
        <v>2</v>
      </c>
      <c r="T62" s="121">
        <f>VLOOKUP(L62,'Gogó'!$LM$43:$LU$46,9,FALSE)</f>
        <v>3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2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1</v>
      </c>
      <c r="LR62" s="71">
        <f>IF(OR(G76="",E76=""),0,IF(G76&lt;E76,1,0))+IF(OR(E78="",G78=""),0,IF(E78&lt;G78,1,0))+IF(OR(E81="",G81=""),0,IF(E81&lt;G81,1,0))</f>
        <v>2</v>
      </c>
      <c r="LS62" s="71">
        <f>G76+E78+E81</f>
        <v>1</v>
      </c>
      <c r="LT62" s="71">
        <f>E76+G78+G81</f>
        <v>5</v>
      </c>
      <c r="LU62" s="71">
        <f t="shared" si="63"/>
        <v>-4</v>
      </c>
      <c r="LV62" s="70">
        <f t="shared" si="64"/>
        <v>2</v>
      </c>
      <c r="LW62" s="70">
        <f t="shared" si="65"/>
        <v>-0.4</v>
      </c>
      <c r="LX62" s="70">
        <f t="shared" si="66"/>
        <v>0.01</v>
      </c>
      <c r="LY62" s="70">
        <f t="shared" si="67"/>
        <v>1.61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1.61</v>
      </c>
      <c r="MD62" s="70">
        <f>RANK($MC$62,$MC$59:$MC$62,0)</f>
        <v>3</v>
      </c>
      <c r="ME62" s="70">
        <f>IF(AND(MD59=MD60,MD59=MD61,MD59=MD62),MD62+3,IF(OR(AND(MD62=MD61,MD62=MD60),AND(MD62=MD60,MD62=MD59)),MD62+2,IF(OR(MD62=MD61,MD62=MD60,MD62=MD59),MD62+1,MD62)))</f>
        <v>3</v>
      </c>
      <c r="MF62" s="70">
        <v>4.0</v>
      </c>
      <c r="MG62" s="70">
        <f t="shared" si="69"/>
        <v>2</v>
      </c>
      <c r="MH62" s="70" t="str">
        <f t="shared" si="70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1.0</v>
      </c>
      <c r="F63" s="106" t="s">
        <v>72</v>
      </c>
      <c r="G63" s="107">
        <v>1.0</v>
      </c>
      <c r="H63" s="108"/>
      <c r="I63" s="96" t="s">
        <v>105</v>
      </c>
      <c r="J63" s="97" t="s">
        <v>80</v>
      </c>
      <c r="K63" s="109"/>
      <c r="L63" s="118" t="str">
        <f>'Gogó'!MH44</f>
        <v>Croácia</v>
      </c>
      <c r="M63" s="119">
        <f>VLOOKUP(L63,'Gogó'!$LM$43:$LU$46,2,FALSE)</f>
        <v>5</v>
      </c>
      <c r="N63" s="120">
        <f>VLOOKUP(L63,'Gogó'!$LM$43:$LU$46,3,FALSE)</f>
        <v>3</v>
      </c>
      <c r="O63" s="120">
        <f>VLOOKUP(L63,'Gogó'!$LM$43:$LU$46,4,FALSE)</f>
        <v>1</v>
      </c>
      <c r="P63" s="120">
        <f>VLOOKUP(L63,'Gogó'!$LM$43:$LU$46,5,FALSE)</f>
        <v>2</v>
      </c>
      <c r="Q63" s="120">
        <f>VLOOKUP(L63,'Gogó'!$LM$43:$LU$46,6,FALSE)</f>
        <v>0</v>
      </c>
      <c r="R63" s="120">
        <f>VLOOKUP(L63,'Gogó'!$LM$43:$LU$46,7,FALSE)</f>
        <v>6</v>
      </c>
      <c r="S63" s="120">
        <f>VLOOKUP(L63,'Gogó'!$LM$43:$LU$46,8,FALSE)</f>
        <v>4</v>
      </c>
      <c r="T63" s="121">
        <f>VLOOKUP(L63,'Gogó'!$LM$43:$LU$46,9,FALSE)</f>
        <v>2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0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2.0</v>
      </c>
      <c r="F64" s="106" t="s">
        <v>72</v>
      </c>
      <c r="G64" s="107">
        <v>2.0</v>
      </c>
      <c r="H64" s="108"/>
      <c r="I64" s="96" t="s">
        <v>103</v>
      </c>
      <c r="J64" s="97" t="s">
        <v>88</v>
      </c>
      <c r="K64" s="109"/>
      <c r="L64" s="118" t="str">
        <f>'Gogó'!MH45</f>
        <v>Marrocos</v>
      </c>
      <c r="M64" s="119">
        <f>VLOOKUP(L64,'Gogó'!$LM$43:$LU$46,2,FALSE)</f>
        <v>3</v>
      </c>
      <c r="N64" s="120">
        <f>VLOOKUP(L64,'Gogó'!$LM$43:$LU$46,3,FALSE)</f>
        <v>3</v>
      </c>
      <c r="O64" s="120">
        <f>VLOOKUP(L64,'Gogó'!$LM$43:$LU$46,4,FALSE)</f>
        <v>1</v>
      </c>
      <c r="P64" s="120">
        <f>VLOOKUP(L64,'Gogó'!$LM$43:$LU$46,5,FALSE)</f>
        <v>0</v>
      </c>
      <c r="Q64" s="120">
        <f>VLOOKUP(L64,'Gogó'!$LM$43:$LU$46,6,FALSE)</f>
        <v>2</v>
      </c>
      <c r="R64" s="120">
        <f>VLOOKUP(L64,'Gogó'!$LM$43:$LU$46,7,FALSE)</f>
        <v>2</v>
      </c>
      <c r="S64" s="120">
        <f>VLOOKUP(L64,'Gogó'!$LM$43:$LU$46,8,FALSE)</f>
        <v>4</v>
      </c>
      <c r="T64" s="121">
        <f>VLOOKUP(L64,'Gogó'!$LM$43:$LU$46,9,FALSE)</f>
        <v>-2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3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0.0</v>
      </c>
      <c r="F65" s="106" t="s">
        <v>72</v>
      </c>
      <c r="G65" s="107">
        <v>1.0</v>
      </c>
      <c r="H65" s="108"/>
      <c r="I65" s="96" t="s">
        <v>107</v>
      </c>
      <c r="J65" s="97" t="s">
        <v>76</v>
      </c>
      <c r="K65" s="123"/>
      <c r="L65" s="124" t="str">
        <f>'Gogó'!MH46</f>
        <v>Canadá</v>
      </c>
      <c r="M65" s="125">
        <f>VLOOKUP(L65,'Gogó'!$LM$43:$LU$46,2,FALSE)</f>
        <v>1</v>
      </c>
      <c r="N65" s="126">
        <f>VLOOKUP(L65,'Gogó'!$LM$43:$LU$46,3,FALSE)</f>
        <v>3</v>
      </c>
      <c r="O65" s="126">
        <f>VLOOKUP(L65,'Gogó'!$LM$43:$LU$46,4,FALSE)</f>
        <v>0</v>
      </c>
      <c r="P65" s="126">
        <f>VLOOKUP(L65,'Gogó'!$LM$43:$LU$46,5,FALSE)</f>
        <v>1</v>
      </c>
      <c r="Q65" s="126">
        <f>VLOOKUP(L65,'Gogó'!$LM$43:$LU$46,6,FALSE)</f>
        <v>2</v>
      </c>
      <c r="R65" s="126">
        <f>VLOOKUP(L65,'Gogó'!$LM$43:$LU$46,7,FALSE)</f>
        <v>1</v>
      </c>
      <c r="S65" s="126">
        <f>VLOOKUP(L65,'Gogó'!$LM$43:$LU$46,8,FALSE)</f>
        <v>4</v>
      </c>
      <c r="T65" s="127">
        <f>VLOOKUP(L65,'Gogó'!$LM$43:$LU$46,9,FALSE)</f>
        <v>-3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6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2.0</v>
      </c>
      <c r="F68" s="106" t="s">
        <v>72</v>
      </c>
      <c r="G68" s="107">
        <v>1.0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6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106" t="s">
        <v>72</v>
      </c>
      <c r="G69" s="107">
        <v>1.0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3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0.0</v>
      </c>
      <c r="F70" s="115" t="s">
        <v>72</v>
      </c>
      <c r="G70" s="116">
        <v>3.0</v>
      </c>
      <c r="H70" s="117"/>
      <c r="I70" s="96" t="s">
        <v>113</v>
      </c>
      <c r="J70" s="97" t="s">
        <v>106</v>
      </c>
      <c r="K70" s="109"/>
      <c r="L70" s="118" t="str">
        <f>'Gogó'!MH51</f>
        <v>Brasil</v>
      </c>
      <c r="M70" s="119">
        <f>VLOOKUP(L70,'Gogó'!$LM$51:$LU$54,2,FALSE)</f>
        <v>9</v>
      </c>
      <c r="N70" s="120">
        <f>VLOOKUP(L70,'Gogó'!$LM$51:$LU$54,3,FALSE)</f>
        <v>3</v>
      </c>
      <c r="O70" s="120">
        <f>VLOOKUP(L70,'Gogó'!$LM$51:$LU$54,4,FALSE)</f>
        <v>3</v>
      </c>
      <c r="P70" s="120">
        <f>VLOOKUP(L70,'Gogó'!$LM$51:$LU$54,5,FALSE)</f>
        <v>0</v>
      </c>
      <c r="Q70" s="120">
        <f>VLOOKUP(L70,'Gogó'!$LM$51:$LU$54,6,FALSE)</f>
        <v>0</v>
      </c>
      <c r="R70" s="120">
        <f>VLOOKUP(L70,'Gogó'!$LM$51:$LU$54,7,FALSE)</f>
        <v>6</v>
      </c>
      <c r="S70" s="120">
        <f>VLOOKUP(L70,'Gogó'!$LM$51:$LU$54,8,FALSE)</f>
        <v>1</v>
      </c>
      <c r="T70" s="121">
        <f>VLOOKUP(L70,'Gogó'!$LM$51:$LU$54,9,FALSE)</f>
        <v>5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0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1.0</v>
      </c>
      <c r="F71" s="106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'Gogó'!MH52</f>
        <v>Suiça</v>
      </c>
      <c r="M71" s="119">
        <f>VLOOKUP(L71,'Gogó'!$LM$51:$LU$54,2,FALSE)</f>
        <v>6</v>
      </c>
      <c r="N71" s="120">
        <f>VLOOKUP(L71,'Gogó'!$LM$51:$LU$54,3,FALSE)</f>
        <v>3</v>
      </c>
      <c r="O71" s="120">
        <f>VLOOKUP(L71,'Gogó'!$LM$51:$LU$54,4,FALSE)</f>
        <v>2</v>
      </c>
      <c r="P71" s="120">
        <f>VLOOKUP(L71,'Gogó'!$LM$51:$LU$54,5,FALSE)</f>
        <v>0</v>
      </c>
      <c r="Q71" s="120">
        <f>VLOOKUP(L71,'Gogó'!$LM$51:$LU$54,6,FALSE)</f>
        <v>1</v>
      </c>
      <c r="R71" s="120">
        <f>VLOOKUP(L71,'Gogó'!$LM$51:$LU$54,7,FALSE)</f>
        <v>4</v>
      </c>
      <c r="S71" s="120">
        <f>VLOOKUP(L71,'Gogó'!$LM$51:$LU$54,8,FALSE)</f>
        <v>3</v>
      </c>
      <c r="T71" s="121">
        <f>VLOOKUP(L71,'Gogó'!$LM$51:$LU$54,9,FALSE)</f>
        <v>1</v>
      </c>
      <c r="U71" s="53"/>
      <c r="V71" s="59" t="s">
        <v>81</v>
      </c>
      <c r="W71" s="122" t="str">
        <f t="shared" si="72"/>
        <v>Suiça</v>
      </c>
      <c r="X71" s="236">
        <f>IF(AND(W71&lt;&gt;"",'Resultado Oficial'!W70&lt;&gt;"",'Resultado Oficial'!W71&lt;&gt;""),IF(W71='Resultado Oficial'!W71,5,IF(W71='Resultado Oficial'!W70,2,0)),"")</f>
        <v>5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10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1.0</v>
      </c>
      <c r="F72" s="106" t="s">
        <v>72</v>
      </c>
      <c r="G72" s="107">
        <v>2.0</v>
      </c>
      <c r="H72" s="108"/>
      <c r="I72" s="96" t="s">
        <v>114</v>
      </c>
      <c r="J72" s="97" t="s">
        <v>97</v>
      </c>
      <c r="K72" s="109"/>
      <c r="L72" s="118" t="str">
        <f>'Gogó'!MH53</f>
        <v>Sérvia</v>
      </c>
      <c r="M72" s="119">
        <f>VLOOKUP(L72,'Gogó'!$LM$51:$LU$54,2,FALSE)</f>
        <v>3</v>
      </c>
      <c r="N72" s="120">
        <f>VLOOKUP(L72,'Gogó'!$LM$51:$LU$54,3,FALSE)</f>
        <v>3</v>
      </c>
      <c r="O72" s="120">
        <f>VLOOKUP(L72,'Gogó'!$LM$51:$LU$54,4,FALSE)</f>
        <v>1</v>
      </c>
      <c r="P72" s="120">
        <f>VLOOKUP(L72,'Gogó'!$LM$51:$LU$54,5,FALSE)</f>
        <v>0</v>
      </c>
      <c r="Q72" s="120">
        <f>VLOOKUP(L72,'Gogó'!$LM$51:$LU$54,6,FALSE)</f>
        <v>2</v>
      </c>
      <c r="R72" s="120">
        <f>VLOOKUP(L72,'Gogó'!$LM$51:$LU$54,7,FALSE)</f>
        <v>5</v>
      </c>
      <c r="S72" s="120">
        <f>VLOOKUP(L72,'Gogó'!$LM$51:$LU$54,8,FALSE)</f>
        <v>4</v>
      </c>
      <c r="T72" s="121">
        <f>VLOOKUP(L72,'Gogó'!$LM$51:$LU$54,9,FALSE)</f>
        <v>1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6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0.0</v>
      </c>
      <c r="F73" s="106" t="s">
        <v>72</v>
      </c>
      <c r="G73" s="107">
        <v>3.0</v>
      </c>
      <c r="H73" s="108"/>
      <c r="I73" s="96" t="s">
        <v>111</v>
      </c>
      <c r="J73" s="97" t="s">
        <v>94</v>
      </c>
      <c r="K73" s="123"/>
      <c r="L73" s="124" t="str">
        <f>'Gogó'!MH54</f>
        <v>Camarões</v>
      </c>
      <c r="M73" s="125">
        <f>VLOOKUP(L73,'Gogó'!$LM$51:$LU$54,2,FALSE)</f>
        <v>0</v>
      </c>
      <c r="N73" s="126">
        <f>VLOOKUP(L73,'Gogó'!$LM$51:$LU$54,3,FALSE)</f>
        <v>3</v>
      </c>
      <c r="O73" s="126">
        <f>VLOOKUP(L73,'Gogó'!$LM$51:$LU$54,4,FALSE)</f>
        <v>0</v>
      </c>
      <c r="P73" s="126">
        <f>VLOOKUP(L73,'Gogó'!$LM$51:$LU$54,5,FALSE)</f>
        <v>0</v>
      </c>
      <c r="Q73" s="126">
        <f>VLOOKUP(L73,'Gogó'!$LM$51:$LU$54,6,FALSE)</f>
        <v>3</v>
      </c>
      <c r="R73" s="126">
        <f>VLOOKUP(L73,'Gogó'!$LM$51:$LU$54,7,FALSE)</f>
        <v>1</v>
      </c>
      <c r="S73" s="126">
        <f>VLOOKUP(L73,'Gogó'!$LM$51:$LU$54,8,FALSE)</f>
        <v>8</v>
      </c>
      <c r="T73" s="127">
        <f>VLOOKUP(L73,'Gogó'!$LM$51:$LU$54,9,FALSE)</f>
        <v>-7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2.0</v>
      </c>
      <c r="F76" s="106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3.0</v>
      </c>
      <c r="F77" s="106" t="s">
        <v>72</v>
      </c>
      <c r="G77" s="107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3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1.0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'Gogó'!MH59</f>
        <v>Portugal</v>
      </c>
      <c r="M78" s="119">
        <f>VLOOKUP(L78,'Gogó'!$LM$59:$LU$62,2,FALSE)</f>
        <v>7</v>
      </c>
      <c r="N78" s="120">
        <f>VLOOKUP(L78,'Gogó'!$LM$59:$LU$62,3,FALSE)</f>
        <v>3</v>
      </c>
      <c r="O78" s="120">
        <f>VLOOKUP(L78,'Gogó'!$LM$59:$LU$62,4,FALSE)</f>
        <v>2</v>
      </c>
      <c r="P78" s="120">
        <f>VLOOKUP(L78,'Gogó'!$LM$59:$LU$62,5,FALSE)</f>
        <v>1</v>
      </c>
      <c r="Q78" s="120">
        <f>VLOOKUP(L78,'Gogó'!$LM$59:$LU$62,6,FALSE)</f>
        <v>0</v>
      </c>
      <c r="R78" s="120">
        <f>VLOOKUP(L78,'Gogó'!$LM$59:$LU$62,7,FALSE)</f>
        <v>7</v>
      </c>
      <c r="S78" s="120">
        <f>VLOOKUP(L78,'Gogó'!$LM$59:$LU$62,8,FALSE)</f>
        <v>2</v>
      </c>
      <c r="T78" s="121">
        <f>VLOOKUP(L78,'Gogó'!$LM$59:$LU$62,9,FALSE)</f>
        <v>5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2.0</v>
      </c>
      <c r="F79" s="106" t="s">
        <v>72</v>
      </c>
      <c r="G79" s="107">
        <v>2.0</v>
      </c>
      <c r="H79" s="108"/>
      <c r="I79" s="96" t="s">
        <v>122</v>
      </c>
      <c r="J79" s="97" t="s">
        <v>94</v>
      </c>
      <c r="K79" s="109"/>
      <c r="L79" s="118" t="str">
        <f>'Gogó'!MH60</f>
        <v>Uruguai</v>
      </c>
      <c r="M79" s="119">
        <f>VLOOKUP(L79,'Gogó'!$LM$59:$LU$62,2,FALSE)</f>
        <v>7</v>
      </c>
      <c r="N79" s="120">
        <f>VLOOKUP(L79,'Gogó'!$LM$59:$LU$62,3,FALSE)</f>
        <v>3</v>
      </c>
      <c r="O79" s="120">
        <f>VLOOKUP(L79,'Gogó'!$LM$59:$LU$62,4,FALSE)</f>
        <v>2</v>
      </c>
      <c r="P79" s="120">
        <f>VLOOKUP(L79,'Gogó'!$LM$59:$LU$62,5,FALSE)</f>
        <v>1</v>
      </c>
      <c r="Q79" s="120">
        <f>VLOOKUP(L79,'Gogó'!$LM$59:$LU$62,6,FALSE)</f>
        <v>0</v>
      </c>
      <c r="R79" s="120">
        <f>VLOOKUP(L79,'Gogó'!$LM$59:$LU$62,7,FALSE)</f>
        <v>7</v>
      </c>
      <c r="S79" s="120">
        <f>VLOOKUP(L79,'Gogó'!$LM$59:$LU$62,8,FALSE)</f>
        <v>2</v>
      </c>
      <c r="T79" s="121">
        <f>VLOOKUP(L79,'Gogó'!$LM$59:$LU$62,9,FALSE)</f>
        <v>5</v>
      </c>
      <c r="U79" s="53"/>
      <c r="V79" s="59" t="s">
        <v>81</v>
      </c>
      <c r="W79" s="122" t="str">
        <f t="shared" si="73"/>
        <v>Uruguai</v>
      </c>
      <c r="X79" s="236">
        <f>IF(AND(W79&lt;&gt;"",'Resultado Oficial'!W78&lt;&gt;"",'Resultado Oficial'!W79&lt;&gt;""),IF(W79='Resultado Oficial'!W79,5,IF(W79='Resultado Oficial'!W78,2,0)),"")</f>
        <v>0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0.0</v>
      </c>
      <c r="F80" s="106" t="s">
        <v>72</v>
      </c>
      <c r="G80" s="107">
        <v>3.0</v>
      </c>
      <c r="H80" s="108"/>
      <c r="I80" s="96" t="s">
        <v>122</v>
      </c>
      <c r="J80" s="97" t="s">
        <v>106</v>
      </c>
      <c r="K80" s="109"/>
      <c r="L80" s="118" t="str">
        <f>'Gogó'!MH61</f>
        <v>Coréia do Sul</v>
      </c>
      <c r="M80" s="119">
        <f>VLOOKUP(L80,'Gogó'!$LM$59:$LU$62,2,FALSE)</f>
        <v>2</v>
      </c>
      <c r="N80" s="120">
        <f>VLOOKUP(L80,'Gogó'!$LM$59:$LU$62,3,FALSE)</f>
        <v>3</v>
      </c>
      <c r="O80" s="120">
        <f>VLOOKUP(L80,'Gogó'!$LM$59:$LU$62,4,FALSE)</f>
        <v>0</v>
      </c>
      <c r="P80" s="120">
        <f>VLOOKUP(L80,'Gogó'!$LM$59:$LU$62,5,FALSE)</f>
        <v>1</v>
      </c>
      <c r="Q80" s="120">
        <f>VLOOKUP(L80,'Gogó'!$LM$59:$LU$62,6,FALSE)</f>
        <v>2</v>
      </c>
      <c r="R80" s="120">
        <f>VLOOKUP(L80,'Gogó'!$LM$59:$LU$62,7,FALSE)</f>
        <v>1</v>
      </c>
      <c r="S80" s="120">
        <f>VLOOKUP(L80,'Gogó'!$LM$59:$LU$62,8,FALSE)</f>
        <v>5</v>
      </c>
      <c r="T80" s="121">
        <f>VLOOKUP(L80,'Gogó'!$LM$59:$LU$62,9,FALSE)</f>
        <v>-4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3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0.0</v>
      </c>
      <c r="F81" s="106" t="s">
        <v>72</v>
      </c>
      <c r="G81" s="107">
        <v>2.0</v>
      </c>
      <c r="H81" s="108"/>
      <c r="I81" s="96" t="s">
        <v>119</v>
      </c>
      <c r="J81" s="97" t="s">
        <v>99</v>
      </c>
      <c r="K81" s="123"/>
      <c r="L81" s="124" t="str">
        <f>'Gogó'!MH62</f>
        <v>Gana</v>
      </c>
      <c r="M81" s="125">
        <f>VLOOKUP(L81,'Gogó'!$LM$59:$LU$62,2,FALSE)</f>
        <v>1</v>
      </c>
      <c r="N81" s="126">
        <f>VLOOKUP(L81,'Gogó'!$LM$59:$LU$62,3,FALSE)</f>
        <v>3</v>
      </c>
      <c r="O81" s="126">
        <f>VLOOKUP(L81,'Gogó'!$LM$59:$LU$62,4,FALSE)</f>
        <v>0</v>
      </c>
      <c r="P81" s="126">
        <f>VLOOKUP(L81,'Gogó'!$LM$59:$LU$62,5,FALSE)</f>
        <v>1</v>
      </c>
      <c r="Q81" s="126">
        <f>VLOOKUP(L81,'Gogó'!$LM$59:$LU$62,6,FALSE)</f>
        <v>2</v>
      </c>
      <c r="R81" s="126">
        <f>VLOOKUP(L81,'Gogó'!$LM$59:$LU$62,7,FALSE)</f>
        <v>1</v>
      </c>
      <c r="S81" s="126">
        <f>VLOOKUP(L81,'Gogó'!$LM$59:$LU$62,8,FALSE)</f>
        <v>7</v>
      </c>
      <c r="T81" s="127">
        <f>VLOOKUP(L81,'Gogó'!$LM$59:$LU$62,9,FALSE)</f>
        <v>-6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244" t="s">
        <v>72</v>
      </c>
      <c r="G85" s="260">
        <v>1.0</v>
      </c>
      <c r="H85" s="158"/>
      <c r="I85" s="157" t="str">
        <f>IF(N31=3,L31,"2º do grupo B")</f>
        <v>País de Gales</v>
      </c>
      <c r="J85" s="159"/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3.0</v>
      </c>
      <c r="F86" s="244" t="s">
        <v>72</v>
      </c>
      <c r="G86" s="260">
        <v>1.0</v>
      </c>
      <c r="H86" s="158"/>
      <c r="I86" s="157" t="str">
        <f>IF(N47=3,L47,"2º do grupo D")</f>
        <v>Dinamarca</v>
      </c>
      <c r="J86" s="159"/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2.0</v>
      </c>
      <c r="F87" s="244" t="s">
        <v>72</v>
      </c>
      <c r="G87" s="260">
        <v>0.0</v>
      </c>
      <c r="H87" s="158"/>
      <c r="I87" s="157" t="str">
        <f>IF(N23=3,L23,"2º do grupo A")</f>
        <v>Senegal</v>
      </c>
      <c r="J87" s="159"/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158"/>
      <c r="E88" s="259">
        <v>3.0</v>
      </c>
      <c r="F88" s="244" t="s">
        <v>72</v>
      </c>
      <c r="G88" s="260">
        <v>1.0</v>
      </c>
      <c r="H88" s="158"/>
      <c r="I88" s="157" t="str">
        <f>IF(N39=3,L39,"2º do grupo C")</f>
        <v>Polônia</v>
      </c>
      <c r="J88" s="159"/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Alemanha</v>
      </c>
      <c r="D89" s="158"/>
      <c r="E89" s="259">
        <v>2.0</v>
      </c>
      <c r="F89" s="244" t="s">
        <v>72</v>
      </c>
      <c r="G89" s="260">
        <v>0.0</v>
      </c>
      <c r="H89" s="158"/>
      <c r="I89" s="157" t="str">
        <f>IF(N63=3,L63,"2º do grupo F")</f>
        <v>Croácia</v>
      </c>
      <c r="J89" s="159"/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3.0</v>
      </c>
      <c r="F90" s="244" t="s">
        <v>72</v>
      </c>
      <c r="G90" s="260">
        <v>2.0</v>
      </c>
      <c r="H90" s="158"/>
      <c r="I90" s="157" t="str">
        <f>IF(N79=3,L79,"2º do grupo H")</f>
        <v>Uruguai</v>
      </c>
      <c r="J90" s="159"/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58"/>
      <c r="E91" s="259">
        <v>2.0</v>
      </c>
      <c r="F91" s="244" t="s">
        <v>72</v>
      </c>
      <c r="G91" s="260">
        <v>1.0</v>
      </c>
      <c r="H91" s="158"/>
      <c r="I91" s="157" t="str">
        <f>IF(N55=3,L55,"2º do grupo E")</f>
        <v>Espanha</v>
      </c>
      <c r="J91" s="159"/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3.0</v>
      </c>
      <c r="F92" s="244" t="s">
        <v>72</v>
      </c>
      <c r="G92" s="260">
        <v>2.0</v>
      </c>
      <c r="H92" s="158"/>
      <c r="I92" s="157" t="str">
        <f>IF(N71=3,L71,"2º do grupo G")</f>
        <v>Suiça</v>
      </c>
      <c r="J92" s="159"/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58"/>
      <c r="E95" s="259">
        <v>1.0</v>
      </c>
      <c r="F95" s="244" t="s">
        <v>72</v>
      </c>
      <c r="G95" s="260">
        <v>2.0</v>
      </c>
      <c r="H95" s="158"/>
      <c r="I95" s="157" t="str">
        <f>IF(OR(G86="",E86="",AND(G86=E86,OR(H86="",D86=""))),"Vencedor do 50",IF(G86=E86,IF(H86&gt;D86,I86,C86),IF(G86&gt;E86,I86,C86)))</f>
        <v>Argentina</v>
      </c>
      <c r="J95" s="159"/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França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Alemanha</v>
      </c>
      <c r="D96" s="158"/>
      <c r="E96" s="259">
        <v>0.0</v>
      </c>
      <c r="F96" s="244" t="s">
        <v>72</v>
      </c>
      <c r="G96" s="260">
        <v>2.0</v>
      </c>
      <c r="H96" s="158"/>
      <c r="I96" s="157" t="str">
        <f>IF(OR(G90="",E90="",AND(G90=E90,OR(H90="",D90=""))),"Vencedor do 52",IF(G90=E90,IF(H90&gt;D90,I90,C90),IF(G90&gt;E90,I90,C90)))</f>
        <v>Brasil</v>
      </c>
      <c r="J96" s="159"/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58"/>
      <c r="E97" s="259">
        <v>1.0</v>
      </c>
      <c r="F97" s="244" t="s">
        <v>72</v>
      </c>
      <c r="G97" s="260">
        <v>3.0</v>
      </c>
      <c r="H97" s="158"/>
      <c r="I97" s="157" t="str">
        <f>IF(OR(G88="",E88="",AND(G88=E88,OR(H88="",D88=""))),"Vencedor do 54",IF(G88=E88,IF(H88&gt;D88,I88,C88),IF(G88&gt;E88,I88,C88)))</f>
        <v>França</v>
      </c>
      <c r="J97" s="159"/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158"/>
      <c r="E98" s="259">
        <v>2.0</v>
      </c>
      <c r="F98" s="244" t="s">
        <v>72</v>
      </c>
      <c r="G98" s="260">
        <v>1.0</v>
      </c>
      <c r="H98" s="158"/>
      <c r="I98" s="157" t="str">
        <f>IF(OR(G92="",E92="",AND(G92=E92,OR(H92="",D92=""))),"Vencedor do 56",IF(G92=E92,IF(H92&gt;D92,I92,C92),IF(G92&gt;E92,I92,C92)))</f>
        <v>Portugal</v>
      </c>
      <c r="J98" s="159"/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58"/>
      <c r="E101" s="259">
        <v>2.0</v>
      </c>
      <c r="F101" s="244" t="s">
        <v>72</v>
      </c>
      <c r="G101" s="260">
        <v>1.0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/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França</v>
      </c>
      <c r="D102" s="158"/>
      <c r="E102" s="259">
        <v>1.0</v>
      </c>
      <c r="F102" s="244" t="s">
        <v>72</v>
      </c>
      <c r="G102" s="260">
        <v>0.0</v>
      </c>
      <c r="H102" s="158"/>
      <c r="I102" s="157" t="str">
        <f>IF(OR(G98="",E98="",AND(G98=E98,OR(H98="",D98=""))),"Vencedor do 60",IF(G98=E98,IF(H98&gt;D98,I98,C98),IF(G98&gt;E98,I98,C98)))</f>
        <v>Bélgica</v>
      </c>
      <c r="J102" s="159"/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Brasil</v>
      </c>
      <c r="D105" s="158"/>
      <c r="E105" s="259">
        <v>2.0</v>
      </c>
      <c r="F105" s="244" t="s">
        <v>72</v>
      </c>
      <c r="G105" s="260">
        <v>0.0</v>
      </c>
      <c r="H105" s="158"/>
      <c r="I105" s="183" t="str">
        <f>IF(OR(G102="",E102="",AND(G102=E102,OR(H102="",D102=""))),"    ",IF(G102=E102,IF(H102&lt;D102,I102,C102),IF(G102&lt;E102,I102,C102)))</f>
        <v>Bélgica</v>
      </c>
      <c r="J105" s="159"/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Argentina</v>
      </c>
      <c r="D108" s="249"/>
      <c r="E108" s="261">
        <v>1.0</v>
      </c>
      <c r="F108" s="251" t="s">
        <v>72</v>
      </c>
      <c r="G108" s="262">
        <v>3.0</v>
      </c>
      <c r="H108" s="249"/>
      <c r="I108" s="202" t="str">
        <f>IF(OR(G102="",E102="",AND(G102=E102,OR(H102="",D102=""))),"  ",IF(G102=E102,IF(H102&gt;D102,I102,C102),IF(G102&gt;E102,I102,C102)))</f>
        <v>França</v>
      </c>
      <c r="J108" s="253"/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3</v>
      </c>
      <c r="LS3" s="71">
        <f>E20+E22+G25</f>
        <v>1</v>
      </c>
      <c r="LT3" s="71">
        <f>G20+G22+E25</f>
        <v>6</v>
      </c>
      <c r="LU3" s="71">
        <f t="shared" ref="LU3:LU6" si="1">LS3-LT3</f>
        <v>-5</v>
      </c>
      <c r="LV3" s="70">
        <f t="shared" ref="LV3:LV6" si="2">LN3</f>
        <v>0</v>
      </c>
      <c r="LW3" s="70">
        <f t="shared" ref="LW3:LW6" si="3">LU3/10</f>
        <v>-0.5</v>
      </c>
      <c r="LX3" s="70">
        <f t="shared" ref="LX3:LX6" si="4">LS3/100</f>
        <v>0.01</v>
      </c>
      <c r="LY3" s="70">
        <f t="shared" ref="LY3:LY6" si="5">SUM(LV3:LX3)</f>
        <v>-0.49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-0.49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4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2</v>
      </c>
      <c r="LQ4" s="71">
        <f>IF(OR(G20="",E20=""),0,IF(G20=E20,1,0))+IF(OR(G23="",E23=""),0,IF(G23=E23,1,0))+IF(OR(E25="",G25=""),0,IF(E25=G25,1,0))</f>
        <v>0</v>
      </c>
      <c r="LR4" s="71">
        <f>IF(OR(G20="",E20=""),0,IF(G20&lt;E20,1,0))+IF(OR(G23="",E23=""),0,IF(G23&lt;E23,1,0))+IF(OR(E25="",G25=""),0,IF(E25&lt;G25,1,0))</f>
        <v>1</v>
      </c>
      <c r="LS4" s="71">
        <f>G20+G23+E25</f>
        <v>6</v>
      </c>
      <c r="LT4" s="71">
        <f>E20+E23+G25</f>
        <v>3</v>
      </c>
      <c r="LU4" s="71">
        <f t="shared" si="1"/>
        <v>3</v>
      </c>
      <c r="LV4" s="70">
        <f t="shared" si="2"/>
        <v>4</v>
      </c>
      <c r="LW4" s="70">
        <f t="shared" si="3"/>
        <v>0.3</v>
      </c>
      <c r="LX4" s="70">
        <f t="shared" si="4"/>
        <v>0.06</v>
      </c>
      <c r="LY4" s="70">
        <f t="shared" si="5"/>
        <v>4.36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4.36</v>
      </c>
      <c r="MD4" s="70">
        <f t="shared" si="7"/>
        <v>2</v>
      </c>
      <c r="ME4" s="70">
        <f>IF(OR(AND(MD3=MD4,MD3=MD5,MD3=MD6),AND(MD4=MD3,MD4=MD5),AND(MD4=MD3,MD4=MD6),MD4=MD3),MD4+1,MD4)</f>
        <v>2</v>
      </c>
      <c r="MF4" s="70">
        <v>2.0</v>
      </c>
      <c r="MG4" s="70">
        <f t="shared" si="8"/>
        <v>2</v>
      </c>
      <c r="MH4" s="70" t="str">
        <f t="shared" si="9"/>
        <v>Equador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4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1</v>
      </c>
      <c r="LQ5" s="71">
        <f>IF(OR(E21="",G21=""),0,IF(E21=G21,1,0))+IF(OR(G22="",E22=""),0,IF(G22=E22,1,0))+IF(OR(G24="",E24=""),0,IF(G24=E24,1,0))</f>
        <v>1</v>
      </c>
      <c r="LR5" s="71">
        <f>IF(OR(E21="",G21=""),0,IF(E21&lt;G21,1,0))+IF(OR(G22="",E22=""),0,IF(G22&lt;E22,1,0))+IF(OR(G24="",E24=""),0,IF(G24&lt;E24,1,0))</f>
        <v>1</v>
      </c>
      <c r="LS5" s="71">
        <f>E21+G22+G24</f>
        <v>2</v>
      </c>
      <c r="LT5" s="71">
        <f>G21+E22+E24</f>
        <v>3</v>
      </c>
      <c r="LU5" s="71">
        <f t="shared" si="1"/>
        <v>-1</v>
      </c>
      <c r="LV5" s="70">
        <f t="shared" si="2"/>
        <v>4</v>
      </c>
      <c r="LW5" s="70">
        <f t="shared" si="3"/>
        <v>-0.1</v>
      </c>
      <c r="LX5" s="70">
        <f t="shared" si="4"/>
        <v>0.02</v>
      </c>
      <c r="LY5" s="70">
        <f t="shared" si="5"/>
        <v>3.92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3.92</v>
      </c>
      <c r="MD5" s="70">
        <f t="shared" si="7"/>
        <v>3</v>
      </c>
      <c r="ME5" s="70">
        <f>IF(OR(AND(MD3=MD4,MD3=MD5,MD3=MD6),AND(MD5=MD3,MD5=MD4)),MD5+2,IF(OR(AND(MD5=MD4,MD5=MD6),MD5=MD3,MD5=MD4),MD5+1,MD5))</f>
        <v>3</v>
      </c>
      <c r="MF5" s="70">
        <v>3.0</v>
      </c>
      <c r="MG5" s="70">
        <f t="shared" si="8"/>
        <v>3</v>
      </c>
      <c r="MH5" s="70" t="str">
        <f t="shared" si="9"/>
        <v>Senegal</v>
      </c>
    </row>
    <row r="6" ht="22.5" customHeight="1">
      <c r="A6" s="222" t="s">
        <v>166</v>
      </c>
      <c r="B6" s="223"/>
      <c r="C6" s="223"/>
      <c r="D6" s="263" t="s">
        <v>156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7</v>
      </c>
      <c r="LT6" s="71">
        <f>E21+G23+G25</f>
        <v>1</v>
      </c>
      <c r="LU6" s="71">
        <f t="shared" si="1"/>
        <v>6</v>
      </c>
      <c r="LV6" s="70">
        <f t="shared" si="2"/>
        <v>9</v>
      </c>
      <c r="LW6" s="70">
        <f t="shared" si="3"/>
        <v>0.6</v>
      </c>
      <c r="LX6" s="70">
        <f t="shared" si="4"/>
        <v>0.07</v>
      </c>
      <c r="LY6" s="70">
        <f t="shared" si="5"/>
        <v>9.67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9.67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64" t="s">
        <v>182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203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183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111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Oficial'!D113,20,IF(Danilo!D11='Resultado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6</v>
      </c>
      <c r="LT11" s="71">
        <f>G28+G31+E32</f>
        <v>1</v>
      </c>
      <c r="LU11" s="71">
        <f t="shared" ref="LU11:LU14" si="10">LS11-LT11</f>
        <v>5</v>
      </c>
      <c r="LV11" s="70">
        <f t="shared" ref="LV11:LV14" si="11">LN11</f>
        <v>9</v>
      </c>
      <c r="LW11" s="70">
        <f t="shared" ref="LW11:LW14" si="12">LU11/10</f>
        <v>0.5</v>
      </c>
      <c r="LX11" s="70">
        <f t="shared" ref="LX11:LX14" si="13">LS11/100</f>
        <v>0.06</v>
      </c>
      <c r="LY11" s="70">
        <f t="shared" ref="LY11:LY14" si="14">SUM(LV11:LX11)</f>
        <v>9.56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9.56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181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Oficial'!D113,20,IF(Danilo!D12='Resultado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4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1</v>
      </c>
      <c r="LQ12" s="71">
        <f>IF(OR(G28="",E28=""),0,IF(G28=E28,1,0))+IF(OR(G30="",E30=""),0,IF(G30=E30,1,0))+IF(OR(E33="",G33=""),0,IF(E33=G33,1,0))</f>
        <v>1</v>
      </c>
      <c r="LR12" s="71">
        <f>IF(OR(G28="",E28=""),0,IF(G28&lt;E28,1,0))+IF(OR(G30="",E30=""),0,IF(G30&lt;E30,1,0))+IF(OR(E33="",G33=""),0,IF(E33&lt;G33,1,0))</f>
        <v>1</v>
      </c>
      <c r="LS12" s="71">
        <f>G28+G30+E33</f>
        <v>4</v>
      </c>
      <c r="LT12" s="71">
        <f>E28+E30+G33</f>
        <v>3</v>
      </c>
      <c r="LU12" s="71">
        <f t="shared" si="10"/>
        <v>1</v>
      </c>
      <c r="LV12" s="70">
        <f t="shared" si="11"/>
        <v>4</v>
      </c>
      <c r="LW12" s="70">
        <f t="shared" si="12"/>
        <v>0.1</v>
      </c>
      <c r="LX12" s="70">
        <f t="shared" si="13"/>
        <v>0.04</v>
      </c>
      <c r="LY12" s="70">
        <f t="shared" si="14"/>
        <v>4.14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4.14</v>
      </c>
      <c r="MD12" s="70">
        <f>RANK($MC$12,$MC$11:$MC$14,0)</f>
        <v>2</v>
      </c>
      <c r="ME12" s="70">
        <f>IF(OR(AND(MD11=MD12,MD11=MD13,MD11=MD14),AND(MD12=MD11,MD12=MD13),AND(MD12=MD11,MD12=MD14),MD12=MD11),MD12+1,MD12)</f>
        <v>2</v>
      </c>
      <c r="MF12" s="70">
        <v>2.0</v>
      </c>
      <c r="MG12" s="70">
        <f t="shared" si="16"/>
        <v>2</v>
      </c>
      <c r="MH12" s="70" t="str">
        <f t="shared" si="17"/>
        <v>Irã</v>
      </c>
    </row>
    <row r="13" ht="22.5" customHeight="1">
      <c r="A13" s="222" t="s">
        <v>139</v>
      </c>
      <c r="B13" s="223"/>
      <c r="C13" s="223"/>
      <c r="D13" s="208" t="s">
        <v>62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Oficial'!D112,20,IF(Danilo!D13='Resultado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4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1</v>
      </c>
      <c r="LR13" s="71">
        <f>IF(OR(E29="",G29=""),0,IF(E29&lt;G29,1,0))+IF(OR(G31="",E31=""),0,IF(G31&lt;E31,1,0))+IF(OR(G33="",E33=""),0,IF(G33&lt;E33,1,0))</f>
        <v>1</v>
      </c>
      <c r="LS13" s="71">
        <f>E29+G31+G33</f>
        <v>4</v>
      </c>
      <c r="LT13" s="71">
        <f>G29+E31+E33</f>
        <v>3</v>
      </c>
      <c r="LU13" s="71">
        <f t="shared" si="10"/>
        <v>1</v>
      </c>
      <c r="LV13" s="70">
        <f t="shared" si="11"/>
        <v>4</v>
      </c>
      <c r="LW13" s="70">
        <f t="shared" si="12"/>
        <v>0.1</v>
      </c>
      <c r="LX13" s="70">
        <f t="shared" si="13"/>
        <v>0.04</v>
      </c>
      <c r="LY13" s="70">
        <f t="shared" si="14"/>
        <v>4.14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4.14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3</v>
      </c>
      <c r="MF13" s="70">
        <v>3.0</v>
      </c>
      <c r="MG13" s="70">
        <f t="shared" si="16"/>
        <v>3</v>
      </c>
      <c r="MH13" s="70" t="str">
        <f t="shared" si="17"/>
        <v>Estados Unidos</v>
      </c>
    </row>
    <row r="14" ht="22.5" customHeight="1">
      <c r="A14" s="222" t="s">
        <v>140</v>
      </c>
      <c r="B14" s="223"/>
      <c r="C14" s="223"/>
      <c r="D14" s="208" t="s">
        <v>85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Oficial'!D112,20,IF(Danilo!D14='Resultado Oficial'!D113,20,0)))))</f>
        <v>20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0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0</v>
      </c>
      <c r="LQ14" s="71">
        <f>IF(OR(G29="",E29=""),0,IF(G29=E29,1,0))+IF(OR(E30="",G30=""),0,IF(E30=G30,1,0))+IF(OR(E32="",G32=""),0,IF(E32=G32,1,0))</f>
        <v>0</v>
      </c>
      <c r="LR14" s="71">
        <f>IF(OR(G29="",E29=""),0,IF(G29&lt;E29,1,0))+IF(OR(E30="",G30=""),0,IF(E30&lt;G30,1,0))+IF(OR(E32="",G32=""),0,IF(E32&lt;G32,1,0))</f>
        <v>3</v>
      </c>
      <c r="LS14" s="71">
        <f>G29+E30+E32</f>
        <v>1</v>
      </c>
      <c r="LT14" s="71">
        <f>E29+G30+G32</f>
        <v>8</v>
      </c>
      <c r="LU14" s="71">
        <f t="shared" si="10"/>
        <v>-7</v>
      </c>
      <c r="LV14" s="70">
        <f t="shared" si="11"/>
        <v>0</v>
      </c>
      <c r="LW14" s="70">
        <f t="shared" si="12"/>
        <v>-0.7</v>
      </c>
      <c r="LX14" s="70">
        <f t="shared" si="13"/>
        <v>0.01</v>
      </c>
      <c r="LY14" s="70">
        <f t="shared" si="14"/>
        <v>-0.69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-0.69</v>
      </c>
      <c r="MD14" s="70">
        <f>RANK($MC$14,$MC$11:$MC$14,0)</f>
        <v>4</v>
      </c>
      <c r="ME14" s="70">
        <f>IF(AND(MD11=MD12,MD11=MD13,MD11=MD14),MD14+3,IF(OR(AND(MD14=MD13,MD14=MD12),AND(MD14=MD12,MD14=MD11)),MD14+2,IF(OR(MD14=MD13,MD14=MD12,MD14=MD11),MD14+1,MD14)))</f>
        <v>4</v>
      </c>
      <c r="MF14" s="70">
        <v>4.0</v>
      </c>
      <c r="MG14" s="70">
        <f t="shared" si="16"/>
        <v>4</v>
      </c>
      <c r="MH14" s="70" t="str">
        <f t="shared" si="17"/>
        <v>País de Gales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141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4</v>
      </c>
      <c r="LT19" s="71">
        <f>G36+G39+E40</f>
        <v>2</v>
      </c>
      <c r="LU19" s="71">
        <f t="shared" ref="LU19:LU22" si="18">LS19-LT19</f>
        <v>2</v>
      </c>
      <c r="LV19" s="70">
        <f t="shared" ref="LV19:LV22" si="19">LN19</f>
        <v>7</v>
      </c>
      <c r="LW19" s="70">
        <f t="shared" ref="LW19:LW22" si="20">LU19/10</f>
        <v>0.2</v>
      </c>
      <c r="LX19" s="70">
        <f t="shared" ref="LX19:LX22" si="21">LS19/100</f>
        <v>0.04</v>
      </c>
      <c r="LY19" s="70">
        <f t="shared" ref="LY19:LY22" si="22">SUM(LV19:LX19)</f>
        <v>7.24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7.24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1.0</v>
      </c>
      <c r="F20" s="93" t="s">
        <v>72</v>
      </c>
      <c r="G20" s="94">
        <v>2.0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3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2</v>
      </c>
      <c r="LT20" s="71">
        <f>E36+E38+G41</f>
        <v>5</v>
      </c>
      <c r="LU20" s="71">
        <f t="shared" si="18"/>
        <v>-3</v>
      </c>
      <c r="LV20" s="70">
        <f t="shared" si="19"/>
        <v>0</v>
      </c>
      <c r="LW20" s="70">
        <f t="shared" si="20"/>
        <v>-0.3</v>
      </c>
      <c r="LX20" s="70">
        <f t="shared" si="21"/>
        <v>0.02</v>
      </c>
      <c r="LY20" s="70">
        <f t="shared" si="22"/>
        <v>-0.28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-0.28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3</v>
      </c>
      <c r="MH20" s="70" t="str">
        <f t="shared" si="25"/>
        <v>México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0.0</v>
      </c>
      <c r="F21" s="106" t="s">
        <v>72</v>
      </c>
      <c r="G21" s="107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10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5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2</v>
      </c>
      <c r="LR21" s="71">
        <f>IF(OR(E37="",G37=""),0,IF(E37&lt;G37,1,0))+IF(OR(G39="",E39=""),0,IF(G39&lt;E39,1,0))+IF(OR(G41="",E41=""),0,IF(G41&lt;E41,1,0))</f>
        <v>0</v>
      </c>
      <c r="LS21" s="71">
        <f>E37+G39+G41</f>
        <v>3</v>
      </c>
      <c r="LT21" s="71">
        <f>G37+E39+E41</f>
        <v>2</v>
      </c>
      <c r="LU21" s="71">
        <f t="shared" si="18"/>
        <v>1</v>
      </c>
      <c r="LV21" s="70">
        <f t="shared" si="19"/>
        <v>5</v>
      </c>
      <c r="LW21" s="70">
        <f t="shared" si="20"/>
        <v>0.1</v>
      </c>
      <c r="LX21" s="70">
        <f t="shared" si="21"/>
        <v>0.03</v>
      </c>
      <c r="LY21" s="70">
        <f t="shared" si="22"/>
        <v>5.13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5.13</v>
      </c>
      <c r="MD21" s="70">
        <f>RANK($MC$21,$MC$19:$MC$22,0)</f>
        <v>2</v>
      </c>
      <c r="ME21" s="70">
        <f>IF(OR(AND(MD19=MD20,MD19=MD21,MD19=MD22),AND(MD21=MD19,MD21=MD20)),MD21+2,IF(OR(AND(MD21=MD20,MD21=MD22),MD21=MD19,MD21=MD20),MD21+1,MD21))</f>
        <v>2</v>
      </c>
      <c r="MF21" s="70">
        <v>3.0</v>
      </c>
      <c r="MG21" s="70">
        <f t="shared" si="24"/>
        <v>4</v>
      </c>
      <c r="MH21" s="70" t="str">
        <f t="shared" si="25"/>
        <v>Polônia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1.0</v>
      </c>
      <c r="H22" s="117"/>
      <c r="I22" s="96" t="s">
        <v>61</v>
      </c>
      <c r="J22" s="97" t="s">
        <v>76</v>
      </c>
      <c r="K22" s="109"/>
      <c r="L22" s="118" t="str">
        <f>Danilo!MH3</f>
        <v>Holanda</v>
      </c>
      <c r="M22" s="119">
        <f>VLOOKUP(L22,Danilo!$LM$3:$LU$6,2,FALSE)</f>
        <v>9</v>
      </c>
      <c r="N22" s="120">
        <f>VLOOKUP(L22,Danilo!$LM$3:$LU$6,3,FALSE)</f>
        <v>3</v>
      </c>
      <c r="O22" s="120">
        <f>VLOOKUP(L22,Danilo!$LM$3:$LU$6,4,FALSE)</f>
        <v>3</v>
      </c>
      <c r="P22" s="120">
        <f>VLOOKUP(L22,Danilo!$LM$3:$LU$6,5,FALSE)</f>
        <v>0</v>
      </c>
      <c r="Q22" s="120">
        <f>VLOOKUP(L22,Danilo!$LM$3:$LU$6,6,FALSE)</f>
        <v>0</v>
      </c>
      <c r="R22" s="120">
        <f>VLOOKUP(L22,Danilo!$LM$3:$LU$6,7,FALSE)</f>
        <v>7</v>
      </c>
      <c r="S22" s="120">
        <f>VLOOKUP(L22,Danilo!$LM$3:$LU$6,8,FALSE)</f>
        <v>1</v>
      </c>
      <c r="T22" s="121">
        <f>VLOOKUP(L22,Danilo!$LM$3:$LU$6,9,FALSE)</f>
        <v>6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3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4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0</v>
      </c>
      <c r="LQ22" s="71">
        <f>IF(OR(G37="",E37=""),0,IF(G37=E37,1,0))+IF(OR(E38="",G38=""),0,IF(E38=G38,1,0))+IF(OR(E40="",G40=""),0,IF(E40=G40,1,0))</f>
        <v>1</v>
      </c>
      <c r="LR22" s="71">
        <f>IF(OR(G37="",E37=""),0,IF(G37&lt;E37,1,0))+IF(OR(E38="",G38=""),0,IF(E38&lt;G38,1,0))+IF(OR(E40="",G40=""),0,IF(E40&lt;G40,1,0))</f>
        <v>1</v>
      </c>
      <c r="LS22" s="71">
        <f>G37+E38+E40</f>
        <v>1</v>
      </c>
      <c r="LT22" s="71">
        <f>E37+G38+G40</f>
        <v>1</v>
      </c>
      <c r="LU22" s="71">
        <f t="shared" si="18"/>
        <v>0</v>
      </c>
      <c r="LV22" s="70">
        <f t="shared" si="19"/>
        <v>4</v>
      </c>
      <c r="LW22" s="70">
        <f t="shared" si="20"/>
        <v>0</v>
      </c>
      <c r="LX22" s="70">
        <f t="shared" si="21"/>
        <v>0.01</v>
      </c>
      <c r="LY22" s="70">
        <f t="shared" si="22"/>
        <v>4.01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4.01</v>
      </c>
      <c r="MD22" s="70">
        <f>RANK($MC$22,$MC$19:$MC$22,0)</f>
        <v>3</v>
      </c>
      <c r="ME22" s="70">
        <f>IF(AND(MD19=MD20,MD19=MD21,MD19=MD22),MD22+3,IF(OR(AND(MD22=MD21,MD22=MD20),AND(MD22=MD20,MD22=MD19)),MD22+2,IF(OR(MD22=MD21,MD22=MD20,MD22=MD19),MD22+1,MD22)))</f>
        <v>3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106" t="s">
        <v>72</v>
      </c>
      <c r="G23" s="107">
        <v>1.0</v>
      </c>
      <c r="H23" s="108"/>
      <c r="I23" s="96" t="s">
        <v>60</v>
      </c>
      <c r="J23" s="97" t="s">
        <v>80</v>
      </c>
      <c r="K23" s="109"/>
      <c r="L23" s="118" t="str">
        <f>Danilo!MH4</f>
        <v>Equador</v>
      </c>
      <c r="M23" s="119">
        <f>VLOOKUP(L23,Danilo!$LM$3:$LU$6,2,FALSE)</f>
        <v>4</v>
      </c>
      <c r="N23" s="120">
        <f>VLOOKUP(L23,Danilo!$LM$3:$LU$6,3,FALSE)</f>
        <v>3</v>
      </c>
      <c r="O23" s="120">
        <f>VLOOKUP(L23,Danilo!$LM$3:$LU$6,4,FALSE)</f>
        <v>2</v>
      </c>
      <c r="P23" s="120">
        <f>VLOOKUP(L23,Danilo!$LM$3:$LU$6,5,FALSE)</f>
        <v>0</v>
      </c>
      <c r="Q23" s="120">
        <f>VLOOKUP(L23,Danilo!$LM$3:$LU$6,6,FALSE)</f>
        <v>1</v>
      </c>
      <c r="R23" s="120">
        <f>VLOOKUP(L23,Danilo!$LM$3:$LU$6,7,FALSE)</f>
        <v>6</v>
      </c>
      <c r="S23" s="120">
        <f>VLOOKUP(L23,Danilo!$LM$3:$LU$6,8,FALSE)</f>
        <v>3</v>
      </c>
      <c r="T23" s="121">
        <f>VLOOKUP(L23,Danilo!$LM$3:$LU$6,9,FALSE)</f>
        <v>3</v>
      </c>
      <c r="U23" s="52"/>
      <c r="V23" s="59" t="s">
        <v>81</v>
      </c>
      <c r="W23" s="122" t="str">
        <f t="shared" si="26"/>
        <v>Equador</v>
      </c>
      <c r="X23" s="236">
        <f>IF(AND(W23&lt;&gt;"",'Resultado Oficial'!W22&lt;&gt;"",'Resultado Oficial'!W23&lt;&gt;""),IF(W23='Resultado Oficial'!W23,5,IF(W23='Resultado Oficial'!W22,2,0)),"")</f>
        <v>0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1.0</v>
      </c>
      <c r="F24" s="106" t="s">
        <v>72</v>
      </c>
      <c r="G24" s="107">
        <v>1.0</v>
      </c>
      <c r="H24" s="108"/>
      <c r="I24" s="96" t="s">
        <v>61</v>
      </c>
      <c r="J24" s="97" t="s">
        <v>80</v>
      </c>
      <c r="K24" s="109"/>
      <c r="L24" s="118" t="str">
        <f>Danilo!MH5</f>
        <v>Senegal</v>
      </c>
      <c r="M24" s="119">
        <f>VLOOKUP(L24,Danilo!$LM$3:$LU$6,2,FALSE)</f>
        <v>4</v>
      </c>
      <c r="N24" s="120">
        <f>VLOOKUP(L24,Danilo!$LM$3:$LU$6,3,FALSE)</f>
        <v>3</v>
      </c>
      <c r="O24" s="120">
        <f>VLOOKUP(L24,Danilo!$LM$3:$LU$6,4,FALSE)</f>
        <v>1</v>
      </c>
      <c r="P24" s="120">
        <f>VLOOKUP(L24,Danilo!$LM$3:$LU$6,5,FALSE)</f>
        <v>1</v>
      </c>
      <c r="Q24" s="120">
        <f>VLOOKUP(L24,Danilo!$LM$3:$LU$6,6,FALSE)</f>
        <v>1</v>
      </c>
      <c r="R24" s="120">
        <f>VLOOKUP(L24,Danilo!$LM$3:$LU$6,7,FALSE)</f>
        <v>2</v>
      </c>
      <c r="S24" s="120">
        <f>VLOOKUP(L24,Danilo!$LM$3:$LU$6,8,FALSE)</f>
        <v>3</v>
      </c>
      <c r="T24" s="121">
        <f>VLOOKUP(L24,Danilo!$LM$3:$LU$6,9,FALSE)</f>
        <v>-1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0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3.0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Danilo!MH6</f>
        <v>Catar</v>
      </c>
      <c r="M25" s="125">
        <f>VLOOKUP(L25,Danilo!$LM$3:$LU$6,2,FALSE)</f>
        <v>0</v>
      </c>
      <c r="N25" s="126">
        <f>VLOOKUP(L25,Danilo!$LM$3:$LU$6,3,FALSE)</f>
        <v>3</v>
      </c>
      <c r="O25" s="126">
        <f>VLOOKUP(L25,Danilo!$LM$3:$LU$6,4,FALSE)</f>
        <v>0</v>
      </c>
      <c r="P25" s="126">
        <f>VLOOKUP(L25,Danilo!$LM$3:$LU$6,5,FALSE)</f>
        <v>0</v>
      </c>
      <c r="Q25" s="126">
        <f>VLOOKUP(L25,Danilo!$LM$3:$LU$6,6,FALSE)</f>
        <v>3</v>
      </c>
      <c r="R25" s="126">
        <f>VLOOKUP(L25,Danilo!$LM$3:$LU$6,7,FALSE)</f>
        <v>1</v>
      </c>
      <c r="S25" s="126">
        <f>VLOOKUP(L25,Danilo!$LM$3:$LU$6,8,FALSE)</f>
        <v>6</v>
      </c>
      <c r="T25" s="127">
        <f>VLOOKUP(L25,Danilo!$LM$3:$LU$6,9,FALSE)</f>
        <v>-5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9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3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0</v>
      </c>
      <c r="LS27" s="71">
        <f>E45+E47+G49</f>
        <v>8</v>
      </c>
      <c r="LT27" s="71">
        <f>G45+G47+E49</f>
        <v>2</v>
      </c>
      <c r="LU27" s="71">
        <f t="shared" ref="LU27:LU30" si="27">LS27-LT27</f>
        <v>6</v>
      </c>
      <c r="LV27" s="70">
        <f t="shared" ref="LV27:LV30" si="28">LN27</f>
        <v>9</v>
      </c>
      <c r="LW27" s="70">
        <f t="shared" ref="LW27:LW30" si="29">LU27/10</f>
        <v>0.6</v>
      </c>
      <c r="LX27" s="70">
        <f t="shared" ref="LX27:LX30" si="30">LS27/100</f>
        <v>0.08</v>
      </c>
      <c r="LY27" s="70">
        <f t="shared" ref="LY27:LY30" si="31">SUM(LV27:LX27)</f>
        <v>9.68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9.68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1.0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0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3</v>
      </c>
      <c r="LS28" s="71">
        <f>G45+G46+E48</f>
        <v>1</v>
      </c>
      <c r="LT28" s="71">
        <f>E45+E46+G48</f>
        <v>6</v>
      </c>
      <c r="LU28" s="71">
        <f t="shared" si="27"/>
        <v>-5</v>
      </c>
      <c r="LV28" s="70">
        <f t="shared" si="28"/>
        <v>0</v>
      </c>
      <c r="LW28" s="70">
        <f t="shared" si="29"/>
        <v>-0.5</v>
      </c>
      <c r="LX28" s="70">
        <f t="shared" si="30"/>
        <v>0.01</v>
      </c>
      <c r="LY28" s="70">
        <f t="shared" si="31"/>
        <v>-0.49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-0.49</v>
      </c>
      <c r="MD28" s="70">
        <f>RANK($MC$28,$MC$27:$MC$30,0)</f>
        <v>4</v>
      </c>
      <c r="ME28" s="70">
        <f>IF(OR(AND(MD27=MD28,MD27=MD29,MD27=MD30),AND(MD28=MD27,MD28=MD29),AND(MD28=MD27,MD28=MD30),MD28=MD27),MD28+1,MD28)</f>
        <v>4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2.0</v>
      </c>
      <c r="F29" s="106" t="s">
        <v>72</v>
      </c>
      <c r="G29" s="107">
        <v>0.0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6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1</v>
      </c>
      <c r="LS29" s="71">
        <f>E44+G47+G48</f>
        <v>4</v>
      </c>
      <c r="LT29" s="71">
        <f>G44+E47+E48</f>
        <v>3</v>
      </c>
      <c r="LU29" s="71">
        <f t="shared" si="27"/>
        <v>1</v>
      </c>
      <c r="LV29" s="70">
        <f t="shared" si="28"/>
        <v>6</v>
      </c>
      <c r="LW29" s="70">
        <f t="shared" si="29"/>
        <v>0.1</v>
      </c>
      <c r="LX29" s="70">
        <f t="shared" si="30"/>
        <v>0.04</v>
      </c>
      <c r="LY29" s="70">
        <f t="shared" si="31"/>
        <v>6.14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6.14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4</v>
      </c>
      <c r="MH29" s="70" t="str">
        <f t="shared" si="34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1.0</v>
      </c>
      <c r="F30" s="115" t="s">
        <v>72</v>
      </c>
      <c r="G30" s="116">
        <v>3.0</v>
      </c>
      <c r="H30" s="117"/>
      <c r="I30" s="96" t="s">
        <v>65</v>
      </c>
      <c r="J30" s="97" t="s">
        <v>88</v>
      </c>
      <c r="K30" s="109"/>
      <c r="L30" s="118" t="str">
        <f>Danilo!MH11</f>
        <v>Inglaterra</v>
      </c>
      <c r="M30" s="119">
        <f>VLOOKUP(L30,Danilo!$LM$11:$LU$14,2,FALSE)</f>
        <v>9</v>
      </c>
      <c r="N30" s="120">
        <f>VLOOKUP(L30,Danilo!$LM$11:$LU$14,3,FALSE)</f>
        <v>3</v>
      </c>
      <c r="O30" s="120">
        <f>VLOOKUP(L30,Danilo!$LM$11:$LU$14,4,FALSE)</f>
        <v>3</v>
      </c>
      <c r="P30" s="120">
        <f>VLOOKUP(L30,Danilo!$LM$11:$LU$14,5,FALSE)</f>
        <v>0</v>
      </c>
      <c r="Q30" s="120">
        <f>VLOOKUP(L30,Danilo!$LM$11:$LU$14,6,FALSE)</f>
        <v>0</v>
      </c>
      <c r="R30" s="120">
        <f>VLOOKUP(L30,Danilo!$LM$11:$LU$14,7,FALSE)</f>
        <v>6</v>
      </c>
      <c r="S30" s="120">
        <f>VLOOKUP(L30,Danilo!$LM$11:$LU$14,8,FALSE)</f>
        <v>1</v>
      </c>
      <c r="T30" s="121">
        <f>VLOOKUP(L30,Danilo!$LM$11:$LU$14,9,FALSE)</f>
        <v>5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6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3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1</v>
      </c>
      <c r="LQ30" s="71">
        <f>IF(OR(G44="",E44=""),0,IF(G44=E44,1,0))+IF(OR(E46="",G46=""),0,IF(E46=G46,1,0))+IF(OR(E49="",G49=""),0,IF(E49=G49,1,0))</f>
        <v>0</v>
      </c>
      <c r="LR30" s="71">
        <f>IF(OR(G44="",E44=""),0,IF(G44&lt;E44,1,0))+IF(OR(E46="",G46=""),0,IF(E46&lt;G46,1,0))+IF(OR(E49="",G49=""),0,IF(E49&lt;G49,1,0))</f>
        <v>2</v>
      </c>
      <c r="LS30" s="71">
        <f>G44+E46+E49</f>
        <v>2</v>
      </c>
      <c r="LT30" s="71">
        <f>E44+G46+G49</f>
        <v>4</v>
      </c>
      <c r="LU30" s="71">
        <f t="shared" si="27"/>
        <v>-2</v>
      </c>
      <c r="LV30" s="70">
        <f t="shared" si="28"/>
        <v>3</v>
      </c>
      <c r="LW30" s="70">
        <f t="shared" si="29"/>
        <v>-0.2</v>
      </c>
      <c r="LX30" s="70">
        <f t="shared" si="30"/>
        <v>0.02</v>
      </c>
      <c r="LY30" s="70">
        <f t="shared" si="31"/>
        <v>2.82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2.82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3"/>
        <v>2</v>
      </c>
      <c r="MH30" s="70" t="str">
        <f t="shared" si="34"/>
        <v>Austrália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106" t="s">
        <v>72</v>
      </c>
      <c r="G31" s="107">
        <v>1.0</v>
      </c>
      <c r="H31" s="108"/>
      <c r="I31" s="96" t="s">
        <v>66</v>
      </c>
      <c r="J31" s="97" t="s">
        <v>73</v>
      </c>
      <c r="K31" s="109"/>
      <c r="L31" s="118" t="str">
        <f>Danilo!MH12</f>
        <v>Irã</v>
      </c>
      <c r="M31" s="119">
        <f>VLOOKUP(L31,Danilo!$LM$11:$LU$14,2,FALSE)</f>
        <v>4</v>
      </c>
      <c r="N31" s="120">
        <f>VLOOKUP(L31,Danilo!$LM$11:$LU$14,3,FALSE)</f>
        <v>3</v>
      </c>
      <c r="O31" s="120">
        <f>VLOOKUP(L31,Danilo!$LM$11:$LU$14,4,FALSE)</f>
        <v>1</v>
      </c>
      <c r="P31" s="120">
        <f>VLOOKUP(L31,Danilo!$LM$11:$LU$14,5,FALSE)</f>
        <v>1</v>
      </c>
      <c r="Q31" s="120">
        <f>VLOOKUP(L31,Danilo!$LM$11:$LU$14,6,FALSE)</f>
        <v>1</v>
      </c>
      <c r="R31" s="120">
        <f>VLOOKUP(L31,Danilo!$LM$11:$LU$14,7,FALSE)</f>
        <v>4</v>
      </c>
      <c r="S31" s="120">
        <f>VLOOKUP(L31,Danilo!$LM$11:$LU$14,8,FALSE)</f>
        <v>3</v>
      </c>
      <c r="T31" s="121">
        <f>VLOOKUP(L31,Danilo!$LM$11:$LU$14,9,FALSE)</f>
        <v>1</v>
      </c>
      <c r="U31" s="53"/>
      <c r="V31" s="59" t="s">
        <v>81</v>
      </c>
      <c r="W31" s="122" t="str">
        <f t="shared" si="35"/>
        <v>Irã</v>
      </c>
      <c r="X31" s="236">
        <f>IF(AND(W31&lt;&gt;"",'Resultado Oficial'!W30&lt;&gt;"",'Resultado Oficial'!W31&lt;&gt;""),IF(W31='Resultado Oficial'!W31,5,IF(W31='Resultado Oficial'!W30,2,0)),"")</f>
        <v>0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0.0</v>
      </c>
      <c r="F32" s="106" t="s">
        <v>72</v>
      </c>
      <c r="G32" s="107">
        <v>3.0</v>
      </c>
      <c r="H32" s="108"/>
      <c r="I32" s="96" t="s">
        <v>64</v>
      </c>
      <c r="J32" s="97" t="s">
        <v>88</v>
      </c>
      <c r="K32" s="109"/>
      <c r="L32" s="118" t="str">
        <f>Danilo!MH13</f>
        <v>Estados Unidos</v>
      </c>
      <c r="M32" s="119">
        <f>VLOOKUP(L32,Danilo!$LM$11:$LU$14,2,FALSE)</f>
        <v>4</v>
      </c>
      <c r="N32" s="120">
        <f>VLOOKUP(L32,Danilo!$LM$11:$LU$14,3,FALSE)</f>
        <v>3</v>
      </c>
      <c r="O32" s="120">
        <f>VLOOKUP(L32,Danilo!$LM$11:$LU$14,4,FALSE)</f>
        <v>1</v>
      </c>
      <c r="P32" s="120">
        <f>VLOOKUP(L32,Danilo!$LM$11:$LU$14,5,FALSE)</f>
        <v>1</v>
      </c>
      <c r="Q32" s="120">
        <f>VLOOKUP(L32,Danilo!$LM$11:$LU$14,6,FALSE)</f>
        <v>1</v>
      </c>
      <c r="R32" s="120">
        <f>VLOOKUP(L32,Danilo!$LM$11:$LU$14,7,FALSE)</f>
        <v>4</v>
      </c>
      <c r="S32" s="120">
        <f>VLOOKUP(L32,Danilo!$LM$11:$LU$14,8,FALSE)</f>
        <v>3</v>
      </c>
      <c r="T32" s="121">
        <f>VLOOKUP(L32,Danilo!$LM$11:$LU$14,9,FALSE)</f>
        <v>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10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1.0</v>
      </c>
      <c r="F33" s="106" t="s">
        <v>72</v>
      </c>
      <c r="G33" s="107">
        <v>1.0</v>
      </c>
      <c r="H33" s="108"/>
      <c r="I33" s="96" t="s">
        <v>66</v>
      </c>
      <c r="J33" s="97" t="s">
        <v>76</v>
      </c>
      <c r="K33" s="123"/>
      <c r="L33" s="124" t="str">
        <f>Danilo!MH14</f>
        <v>País de Gales</v>
      </c>
      <c r="M33" s="125">
        <f>VLOOKUP(L33,Danilo!$LM$11:$LU$14,2,FALSE)</f>
        <v>0</v>
      </c>
      <c r="N33" s="126">
        <f>VLOOKUP(L33,Danilo!$LM$11:$LU$14,3,FALSE)</f>
        <v>3</v>
      </c>
      <c r="O33" s="126">
        <f>VLOOKUP(L33,Danilo!$LM$11:$LU$14,4,FALSE)</f>
        <v>0</v>
      </c>
      <c r="P33" s="126">
        <f>VLOOKUP(L33,Danilo!$LM$11:$LU$14,5,FALSE)</f>
        <v>0</v>
      </c>
      <c r="Q33" s="126">
        <f>VLOOKUP(L33,Danilo!$LM$11:$LU$14,6,FALSE)</f>
        <v>3</v>
      </c>
      <c r="R33" s="126">
        <f>VLOOKUP(L33,Danilo!$LM$11:$LU$14,7,FALSE)</f>
        <v>1</v>
      </c>
      <c r="S33" s="126">
        <f>VLOOKUP(L33,Danilo!$LM$11:$LU$14,8,FALSE)</f>
        <v>8</v>
      </c>
      <c r="T33" s="127">
        <f>VLOOKUP(L33,Danilo!$LM$11:$LU$14,9,FALSE)</f>
        <v>-7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1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7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1</v>
      </c>
      <c r="LR35" s="71">
        <f>IF(OR(E53="",G53=""),0,IF(E53&lt;G53,1,0))+IF(OR(E55="",G55=""),0,IF(E55&lt;G55,1,0))+IF(OR(G56="",E56=""),0,IF(G56&lt;E56,1,0))</f>
        <v>0</v>
      </c>
      <c r="LS35" s="71">
        <f>E53+E55+G56</f>
        <v>7</v>
      </c>
      <c r="LT35" s="71">
        <f>G53+G55+E56</f>
        <v>3</v>
      </c>
      <c r="LU35" s="71">
        <f t="shared" ref="LU35:LU38" si="36">LS35-LT35</f>
        <v>4</v>
      </c>
      <c r="LV35" s="70">
        <f t="shared" ref="LV35:LV38" si="37">LN35</f>
        <v>7</v>
      </c>
      <c r="LW35" s="70">
        <f t="shared" ref="LW35:LW38" si="38">LU35/10</f>
        <v>0.4</v>
      </c>
      <c r="LX35" s="70">
        <f t="shared" ref="LX35:LX38" si="39">LS35/100</f>
        <v>0.07</v>
      </c>
      <c r="LY35" s="70">
        <f t="shared" ref="LY35:LY38" si="40">SUM(LV35:LX35)</f>
        <v>7.47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7.47</v>
      </c>
      <c r="MD35" s="70">
        <f>RANK($MC$35,$MC$35:$MC$38,0)</f>
        <v>1</v>
      </c>
      <c r="ME35" s="70">
        <f>MD35</f>
        <v>1</v>
      </c>
      <c r="MF35" s="70">
        <v>1.0</v>
      </c>
      <c r="MG35" s="70">
        <f t="shared" ref="MG35:MG38" si="42">MATCH(MF35,$ME$35:$ME$38,0)</f>
        <v>1</v>
      </c>
      <c r="MH35" s="70" t="str">
        <f t="shared" ref="MH35:MH38" si="43">INDEX($LM$35:$LM$38,MG35)</f>
        <v>Espanha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2.0</v>
      </c>
      <c r="F36" s="106" t="s">
        <v>72</v>
      </c>
      <c r="G36" s="107">
        <v>1.0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0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3</v>
      </c>
      <c r="LS36" s="71">
        <f>G53+G54+E57</f>
        <v>3</v>
      </c>
      <c r="LT36" s="71">
        <f>E53+E54+G57</f>
        <v>8</v>
      </c>
      <c r="LU36" s="71">
        <f t="shared" si="36"/>
        <v>-5</v>
      </c>
      <c r="LV36" s="70">
        <f t="shared" si="37"/>
        <v>0</v>
      </c>
      <c r="LW36" s="70">
        <f t="shared" si="38"/>
        <v>-0.5</v>
      </c>
      <c r="LX36" s="70">
        <f t="shared" si="39"/>
        <v>0.03</v>
      </c>
      <c r="LY36" s="70">
        <f t="shared" si="40"/>
        <v>-0.47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-0.47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3</v>
      </c>
      <c r="MH36" s="70" t="str">
        <f t="shared" si="43"/>
        <v>Alemanha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0.0</v>
      </c>
      <c r="F37" s="106" t="s">
        <v>72</v>
      </c>
      <c r="G37" s="107">
        <v>0.0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10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7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2</v>
      </c>
      <c r="LQ37" s="71">
        <f>IF(OR(E52="",G52=""),0,IF(E52=G52,1,0))+IF(OR(G55="",E55=""),0,IF(G55=E55,1,0))+IF(OR(G57="",E57=""),0,IF(G57=E57,1,0))</f>
        <v>1</v>
      </c>
      <c r="LR37" s="71">
        <f>IF(OR(E52="",G52=""),0,IF(E52&lt;G52,1,0))+IF(OR(G55="",E55=""),0,IF(G55&lt;E55,1,0))+IF(OR(G57="",E57=""),0,IF(G57&lt;E57,1,0))</f>
        <v>0</v>
      </c>
      <c r="LS37" s="71">
        <f>E52+G55+G57</f>
        <v>7</v>
      </c>
      <c r="LT37" s="71">
        <f>G52+E55+E57</f>
        <v>3</v>
      </c>
      <c r="LU37" s="71">
        <f t="shared" si="36"/>
        <v>4</v>
      </c>
      <c r="LV37" s="70">
        <f t="shared" si="37"/>
        <v>7</v>
      </c>
      <c r="LW37" s="70">
        <f t="shared" si="38"/>
        <v>0.4</v>
      </c>
      <c r="LX37" s="70">
        <f t="shared" si="39"/>
        <v>0.07</v>
      </c>
      <c r="LY37" s="70">
        <f t="shared" si="40"/>
        <v>7.47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7.47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2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1.0</v>
      </c>
      <c r="F38" s="115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Danilo!MH19</f>
        <v>Argentina</v>
      </c>
      <c r="M38" s="119">
        <f>VLOOKUP(L38,Danilo!$LM$19:$LU$22,2,FALSE)</f>
        <v>7</v>
      </c>
      <c r="N38" s="120">
        <f>VLOOKUP(L38,Danilo!$LM$19:$LU$22,3,FALSE)</f>
        <v>3</v>
      </c>
      <c r="O38" s="120">
        <f>VLOOKUP(L38,Danilo!$LM$19:$LU$22,4,FALSE)</f>
        <v>2</v>
      </c>
      <c r="P38" s="120">
        <f>VLOOKUP(L38,Danilo!$LM$19:$LU$22,5,FALSE)</f>
        <v>1</v>
      </c>
      <c r="Q38" s="120">
        <f>VLOOKUP(L38,Danilo!$LM$19:$LU$22,6,FALSE)</f>
        <v>0</v>
      </c>
      <c r="R38" s="120">
        <f>VLOOKUP(L38,Danilo!$LM$19:$LU$22,7,FALSE)</f>
        <v>4</v>
      </c>
      <c r="S38" s="120">
        <f>VLOOKUP(L38,Danilo!$LM$19:$LU$22,8,FALSE)</f>
        <v>2</v>
      </c>
      <c r="T38" s="121">
        <f>VLOOKUP(L38,Danilo!$LM$19:$LU$22,9,FALSE)</f>
        <v>2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3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1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2</v>
      </c>
      <c r="LS38" s="71">
        <f>G52+E54+E56</f>
        <v>2</v>
      </c>
      <c r="LT38" s="71">
        <f>E52+G54+G56</f>
        <v>5</v>
      </c>
      <c r="LU38" s="71">
        <f t="shared" si="36"/>
        <v>-3</v>
      </c>
      <c r="LV38" s="70">
        <f t="shared" si="37"/>
        <v>3</v>
      </c>
      <c r="LW38" s="70">
        <f t="shared" si="38"/>
        <v>-0.3</v>
      </c>
      <c r="LX38" s="70">
        <f t="shared" si="39"/>
        <v>0.02</v>
      </c>
      <c r="LY38" s="70">
        <f t="shared" si="40"/>
        <v>2.72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2.72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1.0</v>
      </c>
      <c r="F39" s="106" t="s">
        <v>72</v>
      </c>
      <c r="G39" s="107">
        <v>1.0</v>
      </c>
      <c r="H39" s="108"/>
      <c r="I39" s="96" t="s">
        <v>77</v>
      </c>
      <c r="J39" s="97" t="s">
        <v>94</v>
      </c>
      <c r="K39" s="109"/>
      <c r="L39" s="118" t="str">
        <f>Danilo!MH20</f>
        <v>México</v>
      </c>
      <c r="M39" s="119">
        <f>VLOOKUP(L39,Danilo!$LM$19:$LU$22,2,FALSE)</f>
        <v>5</v>
      </c>
      <c r="N39" s="120">
        <f>VLOOKUP(L39,Danilo!$LM$19:$LU$22,3,FALSE)</f>
        <v>3</v>
      </c>
      <c r="O39" s="120">
        <f>VLOOKUP(L39,Danilo!$LM$19:$LU$22,4,FALSE)</f>
        <v>1</v>
      </c>
      <c r="P39" s="120">
        <f>VLOOKUP(L39,Danilo!$LM$19:$LU$22,5,FALSE)</f>
        <v>2</v>
      </c>
      <c r="Q39" s="120">
        <f>VLOOKUP(L39,Danilo!$LM$19:$LU$22,6,FALSE)</f>
        <v>0</v>
      </c>
      <c r="R39" s="120">
        <f>VLOOKUP(L39,Danilo!$LM$19:$LU$22,7,FALSE)</f>
        <v>3</v>
      </c>
      <c r="S39" s="120">
        <f>VLOOKUP(L39,Danilo!$LM$19:$LU$22,8,FALSE)</f>
        <v>2</v>
      </c>
      <c r="T39" s="121">
        <f>VLOOKUP(L39,Danilo!$LM$19:$LU$22,9,FALSE)</f>
        <v>1</v>
      </c>
      <c r="U39" s="53"/>
      <c r="V39" s="59" t="s">
        <v>81</v>
      </c>
      <c r="W39" s="122" t="str">
        <f t="shared" si="44"/>
        <v>México</v>
      </c>
      <c r="X39" s="236">
        <f>IF(AND(W39&lt;&gt;"",'Resultado Oficial'!W38&lt;&gt;"",'Resultado Oficial'!W39&lt;&gt;""),IF(W39='Resultado Oficial'!W39,5,IF(W39='Resultado Oficial'!W38,2,0)),"")</f>
        <v>0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0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0.0</v>
      </c>
      <c r="F40" s="106" t="s">
        <v>72</v>
      </c>
      <c r="G40" s="107">
        <v>1.0</v>
      </c>
      <c r="H40" s="108"/>
      <c r="I40" s="96" t="s">
        <v>71</v>
      </c>
      <c r="J40" s="97" t="s">
        <v>97</v>
      </c>
      <c r="K40" s="109"/>
      <c r="L40" s="118" t="str">
        <f>Danilo!MH21</f>
        <v>Polônia</v>
      </c>
      <c r="M40" s="119">
        <f>VLOOKUP(L40,Danilo!$LM$19:$LU$22,2,FALSE)</f>
        <v>4</v>
      </c>
      <c r="N40" s="120">
        <f>VLOOKUP(L40,Danilo!$LM$19:$LU$22,3,FALSE)</f>
        <v>3</v>
      </c>
      <c r="O40" s="120">
        <f>VLOOKUP(L40,Danilo!$LM$19:$LU$22,4,FALSE)</f>
        <v>0</v>
      </c>
      <c r="P40" s="120">
        <f>VLOOKUP(L40,Danilo!$LM$19:$LU$22,5,FALSE)</f>
        <v>1</v>
      </c>
      <c r="Q40" s="120">
        <f>VLOOKUP(L40,Danilo!$LM$19:$LU$22,6,FALSE)</f>
        <v>1</v>
      </c>
      <c r="R40" s="120">
        <f>VLOOKUP(L40,Danilo!$LM$19:$LU$22,7,FALSE)</f>
        <v>1</v>
      </c>
      <c r="S40" s="120">
        <f>VLOOKUP(L40,Danilo!$LM$19:$LU$22,8,FALSE)</f>
        <v>1</v>
      </c>
      <c r="T40" s="121">
        <f>VLOOKUP(L40,Danilo!$LM$19:$LU$22,9,FALSE)</f>
        <v>0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3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1.0</v>
      </c>
      <c r="F41" s="106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Danilo!MH22</f>
        <v>Arábia Saudita</v>
      </c>
      <c r="M41" s="125">
        <f>VLOOKUP(L41,Danilo!$LM$19:$LU$22,2,FALSE)</f>
        <v>0</v>
      </c>
      <c r="N41" s="126">
        <f>VLOOKUP(L41,Danilo!$LM$19:$LU$22,3,FALSE)</f>
        <v>3</v>
      </c>
      <c r="O41" s="126">
        <f>VLOOKUP(L41,Danilo!$LM$19:$LU$22,4,FALSE)</f>
        <v>0</v>
      </c>
      <c r="P41" s="126">
        <f>VLOOKUP(L41,Danilo!$LM$19:$LU$22,5,FALSE)</f>
        <v>0</v>
      </c>
      <c r="Q41" s="126">
        <f>VLOOKUP(L41,Danilo!$LM$19:$LU$22,6,FALSE)</f>
        <v>3</v>
      </c>
      <c r="R41" s="126">
        <f>VLOOKUP(L41,Danilo!$LM$19:$LU$22,7,FALSE)</f>
        <v>2</v>
      </c>
      <c r="S41" s="126">
        <f>VLOOKUP(L41,Danilo!$LM$19:$LU$22,8,FALSE)</f>
        <v>5</v>
      </c>
      <c r="T41" s="127">
        <f>VLOOKUP(L41,Danilo!$LM$19:$LU$22,9,FALSE)</f>
        <v>-3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10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7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2</v>
      </c>
      <c r="LQ43" s="71">
        <f>IF(OR(E61="",G61=""),0,IF(E61=G61,1,0))+IF(OR(E62="",G62=""),0,IF(E62=G62,1,0))+IF(OR(G64="",E64=""),0,IF(G64=E64,1,0))</f>
        <v>1</v>
      </c>
      <c r="LR43" s="71">
        <f>IF(OR(E61="",G61=""),0,IF(E61&lt;G61,1,0))+IF(OR(E62="",G62=""),0,IF(E62&lt;G62,1,0))+IF(OR(G64="",E64=""),0,IF(G64&lt;E64,1,0))</f>
        <v>0</v>
      </c>
      <c r="LS43" s="71">
        <f>E61+E62+G64</f>
        <v>6</v>
      </c>
      <c r="LT43" s="71">
        <f>G61+G62+E64</f>
        <v>1</v>
      </c>
      <c r="LU43" s="71">
        <f t="shared" ref="LU43:LU46" si="45">LS43-LT43</f>
        <v>5</v>
      </c>
      <c r="LV43" s="70">
        <f t="shared" ref="LV43:LV46" si="46">LN43</f>
        <v>7</v>
      </c>
      <c r="LW43" s="70">
        <f t="shared" ref="LW43:LW46" si="47">LU43/10</f>
        <v>0.5</v>
      </c>
      <c r="LX43" s="70">
        <f t="shared" ref="LX43:LX46" si="48">LS43/100</f>
        <v>0.06</v>
      </c>
      <c r="LY43" s="70">
        <f t="shared" ref="LY43:LY46" si="49">SUM(LV43:LX43)</f>
        <v>7.56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7.56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1.0</v>
      </c>
      <c r="F44" s="106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1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2</v>
      </c>
      <c r="LS44" s="71">
        <f>G61+G63+E65</f>
        <v>1</v>
      </c>
      <c r="LT44" s="71">
        <f>E61+E63+G65</f>
        <v>6</v>
      </c>
      <c r="LU44" s="71">
        <f t="shared" si="45"/>
        <v>-5</v>
      </c>
      <c r="LV44" s="70">
        <f t="shared" si="46"/>
        <v>1</v>
      </c>
      <c r="LW44" s="70">
        <f t="shared" si="47"/>
        <v>-0.5</v>
      </c>
      <c r="LX44" s="70">
        <f t="shared" si="48"/>
        <v>0.01</v>
      </c>
      <c r="LY44" s="70">
        <f t="shared" si="49"/>
        <v>0.51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0.51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3.0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6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1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1</v>
      </c>
      <c r="LR45" s="71">
        <f>IF(OR(E60="",G60=""),0,IF(E60&lt;G60,1,0))+IF(OR(G62="",E62=""),0,IF(G62&lt;E62,1,0))+IF(OR(G65="",E65=""),0,IF(G65&lt;E65,1,0))</f>
        <v>2</v>
      </c>
      <c r="LS45" s="71">
        <f>E60+G62+G65</f>
        <v>0</v>
      </c>
      <c r="LT45" s="71">
        <f>G60+E62+E65</f>
        <v>4</v>
      </c>
      <c r="LU45" s="71">
        <f t="shared" si="45"/>
        <v>-4</v>
      </c>
      <c r="LV45" s="70">
        <f t="shared" si="46"/>
        <v>1</v>
      </c>
      <c r="LW45" s="70">
        <f t="shared" si="47"/>
        <v>-0.4</v>
      </c>
      <c r="LX45" s="70">
        <f t="shared" si="48"/>
        <v>0</v>
      </c>
      <c r="LY45" s="70">
        <f t="shared" si="49"/>
        <v>0.6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0.6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1.0</v>
      </c>
      <c r="F46" s="115" t="s">
        <v>72</v>
      </c>
      <c r="G46" s="116">
        <v>0.0</v>
      </c>
      <c r="H46" s="117"/>
      <c r="I46" s="96" t="s">
        <v>87</v>
      </c>
      <c r="J46" s="97" t="s">
        <v>106</v>
      </c>
      <c r="K46" s="109"/>
      <c r="L46" s="118" t="str">
        <f>Danilo!MH27</f>
        <v>França</v>
      </c>
      <c r="M46" s="119">
        <f>VLOOKUP(L46,Danilo!$LM$27:$LU$30,2,FALSE)</f>
        <v>9</v>
      </c>
      <c r="N46" s="120">
        <f>VLOOKUP(L46,Danilo!$LM$27:$LU$30,3,FALSE)</f>
        <v>3</v>
      </c>
      <c r="O46" s="120">
        <f>VLOOKUP(L46,Danilo!$LM$27:$LU$30,4,FALSE)</f>
        <v>3</v>
      </c>
      <c r="P46" s="120">
        <f>VLOOKUP(L46,Danilo!$LM$27:$LU$30,5,FALSE)</f>
        <v>0</v>
      </c>
      <c r="Q46" s="120">
        <f>VLOOKUP(L46,Danilo!$LM$27:$LU$30,6,FALSE)</f>
        <v>0</v>
      </c>
      <c r="R46" s="120">
        <f>VLOOKUP(L46,Danilo!$LM$27:$LU$30,7,FALSE)</f>
        <v>8</v>
      </c>
      <c r="S46" s="120">
        <f>VLOOKUP(L46,Danilo!$LM$27:$LU$30,8,FALSE)</f>
        <v>2</v>
      </c>
      <c r="T46" s="121">
        <f>VLOOKUP(L46,Danilo!$LM$27:$LU$30,9,FALSE)</f>
        <v>6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7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2</v>
      </c>
      <c r="LQ46" s="71">
        <f>IF(OR(G60="",E60=""),0,IF(G60=E60,1,0))+IF(OR(E63="",G63=""),0,IF(E63=G63,1,0))+IF(OR(E64="",G64=""),0,IF(E64=G64,1,0))</f>
        <v>1</v>
      </c>
      <c r="LR46" s="71">
        <f>IF(OR(G60="",E60=""),0,IF(G60&lt;E60,1,0))+IF(OR(E63="",G63=""),0,IF(E63&lt;G63,1,0))+IF(OR(E64="",G64=""),0,IF(E64&lt;G64,1,0))</f>
        <v>0</v>
      </c>
      <c r="LS46" s="71">
        <f>G60+E63+E64</f>
        <v>6</v>
      </c>
      <c r="LT46" s="71">
        <f>E60+G63+G64</f>
        <v>2</v>
      </c>
      <c r="LU46" s="71">
        <f t="shared" si="45"/>
        <v>4</v>
      </c>
      <c r="LV46" s="70">
        <f t="shared" si="46"/>
        <v>7</v>
      </c>
      <c r="LW46" s="70">
        <f t="shared" si="47"/>
        <v>0.4</v>
      </c>
      <c r="LX46" s="70">
        <f t="shared" si="48"/>
        <v>0.06</v>
      </c>
      <c r="LY46" s="70">
        <f t="shared" si="49"/>
        <v>7.46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7.46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2</v>
      </c>
      <c r="MH46" s="70" t="str">
        <f t="shared" si="52"/>
        <v>Canadá</v>
      </c>
    </row>
    <row r="47" ht="12.75" customHeight="1">
      <c r="A47" s="265">
        <v>44891.0</v>
      </c>
      <c r="B47" s="266">
        <v>0.5416666666666666</v>
      </c>
      <c r="C47" s="90" t="s">
        <v>85</v>
      </c>
      <c r="D47" s="267"/>
      <c r="E47" s="268">
        <v>2.0</v>
      </c>
      <c r="F47" s="269" t="s">
        <v>72</v>
      </c>
      <c r="G47" s="270">
        <v>1.0</v>
      </c>
      <c r="H47" s="271"/>
      <c r="I47" s="96" t="s">
        <v>89</v>
      </c>
      <c r="J47" s="272" t="s">
        <v>97</v>
      </c>
      <c r="K47" s="273"/>
      <c r="L47" s="133" t="str">
        <f>Danilo!MH28</f>
        <v>Dinamarca</v>
      </c>
      <c r="M47" s="119">
        <f>VLOOKUP(L47,Danilo!$LM$27:$LU$30,2,FALSE)</f>
        <v>6</v>
      </c>
      <c r="N47" s="120">
        <f>VLOOKUP(L47,Danilo!$LM$27:$LU$30,3,FALSE)</f>
        <v>3</v>
      </c>
      <c r="O47" s="120">
        <f>VLOOKUP(L47,Danilo!$LM$27:$LU$30,4,FALSE)</f>
        <v>2</v>
      </c>
      <c r="P47" s="120">
        <f>VLOOKUP(L47,Danilo!$LM$27:$LU$30,5,FALSE)</f>
        <v>0</v>
      </c>
      <c r="Q47" s="120">
        <f>VLOOKUP(L47,Danilo!$LM$27:$LU$30,6,FALSE)</f>
        <v>1</v>
      </c>
      <c r="R47" s="120">
        <f>VLOOKUP(L47,Danilo!$LM$27:$LU$30,7,FALSE)</f>
        <v>4</v>
      </c>
      <c r="S47" s="120">
        <f>VLOOKUP(L47,Danilo!$LM$27:$LU$30,8,FALSE)</f>
        <v>3</v>
      </c>
      <c r="T47" s="121">
        <f>VLOOKUP(L47,Danilo!$LM$27:$LU$30,9,FALSE)</f>
        <v>1</v>
      </c>
      <c r="U47" s="52"/>
      <c r="V47" s="274" t="s">
        <v>81</v>
      </c>
      <c r="W47" s="275" t="str">
        <f t="shared" si="53"/>
        <v>Dinamarca</v>
      </c>
      <c r="X47" s="276">
        <f>IF(AND(W47&lt;&gt;"",'Resultado Oficial'!W46&lt;&gt;"",'Resultado Oficial'!W47&lt;&gt;""),IF(W47='Resultado Oficial'!W47,5,IF(W47='Resultado Oficial'!W46,2,0)),"")</f>
        <v>0</v>
      </c>
      <c r="Y47" s="52"/>
      <c r="Z47" s="27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10</v>
      </c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2"/>
      <c r="IS47" s="52"/>
      <c r="IT47" s="52"/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J47" s="52"/>
      <c r="JK47" s="52"/>
      <c r="JL47" s="52"/>
      <c r="JM47" s="52"/>
      <c r="JN47" s="52"/>
      <c r="JO47" s="52"/>
      <c r="JP47" s="52"/>
      <c r="JQ47" s="52"/>
      <c r="JR47" s="52"/>
      <c r="JS47" s="52"/>
      <c r="JT47" s="52"/>
      <c r="JU47" s="52"/>
      <c r="JV47" s="52"/>
      <c r="JW47" s="52"/>
      <c r="JX47" s="52"/>
      <c r="JY47" s="52"/>
      <c r="JZ47" s="52"/>
      <c r="KA47" s="52"/>
      <c r="KB47" s="52"/>
      <c r="KC47" s="52"/>
      <c r="KD47" s="52"/>
      <c r="KE47" s="52"/>
      <c r="KF47" s="52"/>
      <c r="KG47" s="52"/>
      <c r="KH47" s="52"/>
      <c r="KI47" s="52"/>
      <c r="KJ47" s="52"/>
      <c r="KK47" s="52"/>
      <c r="KL47" s="52"/>
      <c r="KM47" s="52"/>
      <c r="KN47" s="52"/>
      <c r="KO47" s="52"/>
      <c r="KP47" s="52"/>
      <c r="KQ47" s="52"/>
      <c r="KR47" s="52"/>
      <c r="KS47" s="52"/>
      <c r="KT47" s="52"/>
      <c r="KU47" s="52"/>
      <c r="KV47" s="52"/>
      <c r="KW47" s="52"/>
      <c r="KX47" s="52"/>
      <c r="KY47" s="52"/>
      <c r="KZ47" s="52"/>
      <c r="LA47" s="52"/>
      <c r="LB47" s="52"/>
      <c r="LC47" s="52"/>
      <c r="LD47" s="52"/>
      <c r="LE47" s="52"/>
      <c r="LF47" s="52"/>
      <c r="LG47" s="52"/>
      <c r="LH47" s="52"/>
      <c r="LI47" s="52"/>
      <c r="LJ47" s="52"/>
      <c r="LK47" s="52"/>
      <c r="LL47" s="52"/>
      <c r="LM47" s="277"/>
      <c r="LN47" s="278"/>
      <c r="LO47" s="278"/>
      <c r="LP47" s="278"/>
      <c r="LQ47" s="278"/>
      <c r="LR47" s="278"/>
      <c r="LS47" s="278"/>
      <c r="LT47" s="278"/>
      <c r="LU47" s="278"/>
      <c r="LV47" s="278"/>
      <c r="LW47" s="278"/>
      <c r="LX47" s="278"/>
      <c r="LY47" s="278"/>
      <c r="LZ47" s="278"/>
      <c r="MA47" s="278"/>
      <c r="MB47" s="278"/>
      <c r="MC47" s="278"/>
      <c r="MD47" s="278"/>
      <c r="ME47" s="278"/>
      <c r="MF47" s="278"/>
      <c r="MG47" s="278"/>
      <c r="MH47" s="27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1.0</v>
      </c>
      <c r="F48" s="106" t="s">
        <v>72</v>
      </c>
      <c r="G48" s="107">
        <v>2.0</v>
      </c>
      <c r="H48" s="108"/>
      <c r="I48" s="96" t="s">
        <v>89</v>
      </c>
      <c r="J48" s="97" t="s">
        <v>106</v>
      </c>
      <c r="K48" s="109"/>
      <c r="L48" s="118" t="str">
        <f>Danilo!MH29</f>
        <v>Tunísia</v>
      </c>
      <c r="M48" s="119">
        <f>VLOOKUP(L48,Danilo!$LM$27:$LU$30,2,FALSE)</f>
        <v>3</v>
      </c>
      <c r="N48" s="120">
        <f>VLOOKUP(L48,Danilo!$LM$27:$LU$30,3,FALSE)</f>
        <v>3</v>
      </c>
      <c r="O48" s="120">
        <f>VLOOKUP(L48,Danilo!$LM$27:$LU$30,4,FALSE)</f>
        <v>1</v>
      </c>
      <c r="P48" s="120">
        <f>VLOOKUP(L48,Danilo!$LM$27:$LU$30,5,FALSE)</f>
        <v>0</v>
      </c>
      <c r="Q48" s="120">
        <f>VLOOKUP(L48,Danilo!$LM$27:$LU$30,6,FALSE)</f>
        <v>2</v>
      </c>
      <c r="R48" s="120">
        <f>VLOOKUP(L48,Danilo!$LM$27:$LU$30,7,FALSE)</f>
        <v>2</v>
      </c>
      <c r="S48" s="120">
        <f>VLOOKUP(L48,Danilo!$LM$27:$LU$30,8,FALSE)</f>
        <v>4</v>
      </c>
      <c r="T48" s="121">
        <f>VLOOKUP(L48,Danilo!$LM$27:$LU$30,9,FALSE)</f>
        <v>-2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1.0</v>
      </c>
      <c r="F49" s="106" t="s">
        <v>72</v>
      </c>
      <c r="G49" s="107">
        <v>3.0</v>
      </c>
      <c r="H49" s="108"/>
      <c r="I49" s="96" t="s">
        <v>85</v>
      </c>
      <c r="J49" s="97" t="s">
        <v>99</v>
      </c>
      <c r="K49" s="123"/>
      <c r="L49" s="124" t="str">
        <f>Danilo!MH30</f>
        <v>Austrália</v>
      </c>
      <c r="M49" s="125">
        <f>VLOOKUP(L49,Danilo!$LM$27:$LU$30,2,FALSE)</f>
        <v>0</v>
      </c>
      <c r="N49" s="126">
        <f>VLOOKUP(L49,Danilo!$LM$27:$LU$30,3,FALSE)</f>
        <v>3</v>
      </c>
      <c r="O49" s="126">
        <f>VLOOKUP(L49,Danilo!$LM$27:$LU$30,4,FALSE)</f>
        <v>0</v>
      </c>
      <c r="P49" s="126">
        <f>VLOOKUP(L49,Danilo!$LM$27:$LU$30,5,FALSE)</f>
        <v>0</v>
      </c>
      <c r="Q49" s="126">
        <f>VLOOKUP(L49,Danilo!$LM$27:$LU$30,6,FALSE)</f>
        <v>3</v>
      </c>
      <c r="R49" s="126">
        <f>VLOOKUP(L49,Danilo!$LM$27:$LU$30,7,FALSE)</f>
        <v>1</v>
      </c>
      <c r="S49" s="126">
        <f>VLOOKUP(L49,Danilo!$LM$27:$LU$30,8,FALSE)</f>
        <v>6</v>
      </c>
      <c r="T49" s="127">
        <f>VLOOKUP(L49,Danilo!$LM$27:$LU$30,9,FALSE)</f>
        <v>-5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8</v>
      </c>
      <c r="LT51" s="71">
        <f>G69+G71+E73</f>
        <v>1</v>
      </c>
      <c r="LU51" s="71">
        <f t="shared" ref="LU51:LU54" si="54">LS51-LT51</f>
        <v>7</v>
      </c>
      <c r="LV51" s="70">
        <f t="shared" ref="LV51:LV54" si="55">LN51</f>
        <v>9</v>
      </c>
      <c r="LW51" s="70">
        <f t="shared" ref="LW51:LW54" si="56">LU51/10</f>
        <v>0.7</v>
      </c>
      <c r="LX51" s="70">
        <f t="shared" ref="LX51:LX54" si="57">LS51/100</f>
        <v>0.08</v>
      </c>
      <c r="LY51" s="70">
        <f t="shared" ref="LY51:LY54" si="58">SUM(LV51:LX51)</f>
        <v>9.78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9.78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2.0</v>
      </c>
      <c r="F52" s="106" t="s">
        <v>72</v>
      </c>
      <c r="G52" s="107">
        <v>0.0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2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0</v>
      </c>
      <c r="LQ52" s="71">
        <f>IF(OR(G69="",E69=""),0,IF(G69=E69,1,0))+IF(OR(G70="",E70=""),0,IF(G70=E70,1,0))+IF(OR(E72="",G72=""),0,IF(E72=G72,1,0))</f>
        <v>2</v>
      </c>
      <c r="LR52" s="71">
        <f>IF(OR(G69="",E69=""),0,IF(G69&lt;E69,1,0))+IF(OR(G70="",E70=""),0,IF(G70&lt;E70,1,0))+IF(OR(E72="",G72=""),0,IF(E72&lt;G72,1,0))</f>
        <v>1</v>
      </c>
      <c r="LS52" s="71">
        <f>G69+G70+E72</f>
        <v>2</v>
      </c>
      <c r="LT52" s="71">
        <f>E69+E70+G72</f>
        <v>4</v>
      </c>
      <c r="LU52" s="71">
        <f t="shared" si="54"/>
        <v>-2</v>
      </c>
      <c r="LV52" s="70">
        <f t="shared" si="55"/>
        <v>2</v>
      </c>
      <c r="LW52" s="70">
        <f t="shared" si="56"/>
        <v>-0.2</v>
      </c>
      <c r="LX52" s="70">
        <f t="shared" si="57"/>
        <v>0.02</v>
      </c>
      <c r="LY52" s="70">
        <f t="shared" si="58"/>
        <v>1.82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1.82</v>
      </c>
      <c r="MD52" s="70">
        <f>RANK($MC$52,$MC$51:$MC$54,0)</f>
        <v>3</v>
      </c>
      <c r="ME52" s="70">
        <f>IF(OR(AND(MD51=MD52,MD51=MD53,MD51=MD54),AND(MD52=MD51,MD52=MD53),AND(MD52=MD51,MD52=MD54),MD52=MD51),MD52+1,MD52)</f>
        <v>3</v>
      </c>
      <c r="MF52" s="70">
        <v>2.0</v>
      </c>
      <c r="MG52" s="70">
        <f t="shared" si="60"/>
        <v>3</v>
      </c>
      <c r="MH52" s="70" t="str">
        <f t="shared" si="61"/>
        <v>Suiça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3.0</v>
      </c>
      <c r="F53" s="106" t="s">
        <v>72</v>
      </c>
      <c r="G53" s="107">
        <v>1.0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4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1</v>
      </c>
      <c r="LQ53" s="71">
        <f>IF(OR(E68="",G68=""),0,IF(E68=G68,1,0))+IF(OR(G71="",E71=""),0,IF(G71=E71,1,0))+IF(OR(G72="",E72=""),0,IF(G72=E72,1,0))</f>
        <v>1</v>
      </c>
      <c r="LR53" s="71">
        <f>IF(OR(E68="",G68=""),0,IF(E68&lt;G68,1,0))+IF(OR(G71="",E71=""),0,IF(G71&lt;E71,1,0))+IF(OR(G72="",E72=""),0,IF(G72&lt;E72,1,0))</f>
        <v>1</v>
      </c>
      <c r="LS53" s="71">
        <f>E68+G71+G72</f>
        <v>4</v>
      </c>
      <c r="LT53" s="71">
        <f>G68+E71+E72</f>
        <v>5</v>
      </c>
      <c r="LU53" s="71">
        <f t="shared" si="54"/>
        <v>-1</v>
      </c>
      <c r="LV53" s="70">
        <f t="shared" si="55"/>
        <v>4</v>
      </c>
      <c r="LW53" s="70">
        <f t="shared" si="56"/>
        <v>-0.1</v>
      </c>
      <c r="LX53" s="70">
        <f t="shared" si="57"/>
        <v>0.04</v>
      </c>
      <c r="LY53" s="70">
        <f t="shared" si="58"/>
        <v>3.94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3.94</v>
      </c>
      <c r="MD53" s="70">
        <f>RANK($MC$53,$MC$51:$MC$54,0)</f>
        <v>2</v>
      </c>
      <c r="ME53" s="70">
        <f>IF(OR(AND(MD51=MD52,MD51=MD53,MD51=MD54),AND(MD53=MD51,MD53=MD52)),MD53+2,IF(OR(AND(MD53=MD52,MD53=MD54),MD53=MD51,MD53=MD52),MD53+1,MD53))</f>
        <v>2</v>
      </c>
      <c r="MF53" s="70">
        <v>3.0</v>
      </c>
      <c r="MG53" s="70">
        <f t="shared" si="60"/>
        <v>2</v>
      </c>
      <c r="MH53" s="70" t="str">
        <f t="shared" si="61"/>
        <v>Sérvia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2.0</v>
      </c>
      <c r="F54" s="115" t="s">
        <v>72</v>
      </c>
      <c r="G54" s="116">
        <v>1.0</v>
      </c>
      <c r="H54" s="117"/>
      <c r="I54" s="96" t="s">
        <v>96</v>
      </c>
      <c r="J54" s="97" t="s">
        <v>115</v>
      </c>
      <c r="K54" s="109"/>
      <c r="L54" s="118" t="str">
        <f>Danilo!MH35</f>
        <v>Espanha</v>
      </c>
      <c r="M54" s="119">
        <f>VLOOKUP(L54,Danilo!$LM$35:$LU$38,2,FALSE)</f>
        <v>7</v>
      </c>
      <c r="N54" s="120">
        <f>VLOOKUP(L54,Danilo!$LM$35:$LU$38,3,FALSE)</f>
        <v>3</v>
      </c>
      <c r="O54" s="120">
        <f>VLOOKUP(L54,Danilo!$LM$35:$LU$38,4,FALSE)</f>
        <v>2</v>
      </c>
      <c r="P54" s="120">
        <f>VLOOKUP(L54,Danilo!$LM$35:$LU$38,5,FALSE)</f>
        <v>1</v>
      </c>
      <c r="Q54" s="120">
        <f>VLOOKUP(L54,Danilo!$LM$35:$LU$38,6,FALSE)</f>
        <v>0</v>
      </c>
      <c r="R54" s="120">
        <f>VLOOKUP(L54,Danilo!$LM$35:$LU$38,7,FALSE)</f>
        <v>7</v>
      </c>
      <c r="S54" s="120">
        <f>VLOOKUP(L54,Danilo!$LM$35:$LU$38,8,FALSE)</f>
        <v>3</v>
      </c>
      <c r="T54" s="121">
        <f>VLOOKUP(L54,Danilo!$LM$35:$LU$38,9,FALSE)</f>
        <v>4</v>
      </c>
      <c r="U54" s="53"/>
      <c r="V54" s="59" t="s">
        <v>78</v>
      </c>
      <c r="W54" s="122" t="str">
        <f t="shared" ref="W54:W55" si="62">IF(N54&lt;&gt;3,"",L54)</f>
        <v>Espanha</v>
      </c>
      <c r="X54" s="236">
        <f>IF(AND(W54&lt;&gt;"",'Resultado Oficial'!W54&lt;&gt;"",'Resultado Oficial'!W55&lt;&gt;""),IF(W54='Resultado Oficial'!W54,5,IF(W54='Resultado Oficial'!W55,2,0)),"")</f>
        <v>2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2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1</v>
      </c>
      <c r="LR54" s="71">
        <f>IF(OR(G68="",E68=""),0,IF(G68&lt;E68,1,0))+IF(OR(E70="",G70=""),0,IF(E70&lt;G70,1,0))+IF(OR(E73="",G73=""),0,IF(E73&lt;G73,1,0))</f>
        <v>2</v>
      </c>
      <c r="LS54" s="71">
        <f>G68+E70+E73</f>
        <v>2</v>
      </c>
      <c r="LT54" s="71">
        <f>E68+G70+G73</f>
        <v>6</v>
      </c>
      <c r="LU54" s="71">
        <f t="shared" si="54"/>
        <v>-4</v>
      </c>
      <c r="LV54" s="70">
        <f t="shared" si="55"/>
        <v>2</v>
      </c>
      <c r="LW54" s="70">
        <f t="shared" si="56"/>
        <v>-0.4</v>
      </c>
      <c r="LX54" s="70">
        <f t="shared" si="57"/>
        <v>0.02</v>
      </c>
      <c r="LY54" s="70">
        <f t="shared" si="58"/>
        <v>1.62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1.62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2.0</v>
      </c>
      <c r="F55" s="106" t="s">
        <v>72</v>
      </c>
      <c r="G55" s="107">
        <v>2.0</v>
      </c>
      <c r="H55" s="108"/>
      <c r="I55" s="96" t="s">
        <v>98</v>
      </c>
      <c r="J55" s="97" t="s">
        <v>73</v>
      </c>
      <c r="K55" s="109"/>
      <c r="L55" s="118" t="str">
        <f>Danilo!MH36</f>
        <v>Alemanha</v>
      </c>
      <c r="M55" s="119">
        <f>VLOOKUP(L55,Danilo!$LM$35:$LU$38,2,FALSE)</f>
        <v>7</v>
      </c>
      <c r="N55" s="120">
        <f>VLOOKUP(L55,Danilo!$LM$35:$LU$38,3,FALSE)</f>
        <v>3</v>
      </c>
      <c r="O55" s="120">
        <f>VLOOKUP(L55,Danilo!$LM$35:$LU$38,4,FALSE)</f>
        <v>2</v>
      </c>
      <c r="P55" s="120">
        <f>VLOOKUP(L55,Danilo!$LM$35:$LU$38,5,FALSE)</f>
        <v>1</v>
      </c>
      <c r="Q55" s="120">
        <f>VLOOKUP(L55,Danilo!$LM$35:$LU$38,6,FALSE)</f>
        <v>0</v>
      </c>
      <c r="R55" s="120">
        <f>VLOOKUP(L55,Danilo!$LM$35:$LU$38,7,FALSE)</f>
        <v>7</v>
      </c>
      <c r="S55" s="120">
        <f>VLOOKUP(L55,Danilo!$LM$35:$LU$38,8,FALSE)</f>
        <v>3</v>
      </c>
      <c r="T55" s="121">
        <f>VLOOKUP(L55,Danilo!$LM$35:$LU$38,9,FALSE)</f>
        <v>4</v>
      </c>
      <c r="U55" s="53"/>
      <c r="V55" s="59" t="s">
        <v>81</v>
      </c>
      <c r="W55" s="122" t="str">
        <f t="shared" si="62"/>
        <v>Alemanha</v>
      </c>
      <c r="X55" s="236">
        <f>IF(AND(W55&lt;&gt;"",'Resultado Oficial'!W54&lt;&gt;"",'Resultado Oficial'!W55&lt;&gt;""),IF(W55='Resultado Oficial'!W55,5,IF(W55='Resultado Oficial'!W54,2,0)),"")</f>
        <v>0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6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0.0</v>
      </c>
      <c r="F56" s="106" t="s">
        <v>72</v>
      </c>
      <c r="G56" s="107">
        <v>2.0</v>
      </c>
      <c r="H56" s="108"/>
      <c r="I56" s="96" t="s">
        <v>93</v>
      </c>
      <c r="J56" s="97" t="s">
        <v>80</v>
      </c>
      <c r="K56" s="109"/>
      <c r="L56" s="118" t="str">
        <f>Danilo!MH37</f>
        <v>Japão</v>
      </c>
      <c r="M56" s="119">
        <f>VLOOKUP(L56,Danilo!$LM$35:$LU$38,2,FALSE)</f>
        <v>3</v>
      </c>
      <c r="N56" s="120">
        <f>VLOOKUP(L56,Danilo!$LM$35:$LU$38,3,FALSE)</f>
        <v>3</v>
      </c>
      <c r="O56" s="120">
        <f>VLOOKUP(L56,Danilo!$LM$35:$LU$38,4,FALSE)</f>
        <v>1</v>
      </c>
      <c r="P56" s="120">
        <f>VLOOKUP(L56,Danilo!$LM$35:$LU$38,5,FALSE)</f>
        <v>0</v>
      </c>
      <c r="Q56" s="120">
        <f>VLOOKUP(L56,Danilo!$LM$35:$LU$38,6,FALSE)</f>
        <v>2</v>
      </c>
      <c r="R56" s="120">
        <f>VLOOKUP(L56,Danilo!$LM$35:$LU$38,7,FALSE)</f>
        <v>2</v>
      </c>
      <c r="S56" s="120">
        <f>VLOOKUP(L56,Danilo!$LM$35:$LU$38,8,FALSE)</f>
        <v>5</v>
      </c>
      <c r="T56" s="121">
        <f>VLOOKUP(L56,Danilo!$LM$35:$LU$38,9,FALSE)</f>
        <v>-3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1.0</v>
      </c>
      <c r="F57" s="106" t="s">
        <v>72</v>
      </c>
      <c r="G57" s="107">
        <v>3.0</v>
      </c>
      <c r="H57" s="108"/>
      <c r="I57" s="96" t="s">
        <v>98</v>
      </c>
      <c r="J57" s="97" t="s">
        <v>73</v>
      </c>
      <c r="K57" s="123"/>
      <c r="L57" s="124" t="str">
        <f>Danilo!MH38</f>
        <v>Costa Rica</v>
      </c>
      <c r="M57" s="125">
        <f>VLOOKUP(L57,Danilo!$LM$35:$LU$38,2,FALSE)</f>
        <v>0</v>
      </c>
      <c r="N57" s="126">
        <f>VLOOKUP(L57,Danilo!$LM$35:$LU$38,3,FALSE)</f>
        <v>3</v>
      </c>
      <c r="O57" s="126">
        <f>VLOOKUP(L57,Danilo!$LM$35:$LU$38,4,FALSE)</f>
        <v>0</v>
      </c>
      <c r="P57" s="126">
        <f>VLOOKUP(L57,Danilo!$LM$35:$LU$38,5,FALSE)</f>
        <v>0</v>
      </c>
      <c r="Q57" s="126">
        <f>VLOOKUP(L57,Danilo!$LM$35:$LU$38,6,FALSE)</f>
        <v>3</v>
      </c>
      <c r="R57" s="126">
        <f>VLOOKUP(L57,Danilo!$LM$35:$LU$38,7,FALSE)</f>
        <v>3</v>
      </c>
      <c r="S57" s="126">
        <f>VLOOKUP(L57,Danilo!$LM$35:$LU$38,8,FALSE)</f>
        <v>8</v>
      </c>
      <c r="T57" s="127">
        <f>VLOOKUP(L57,Danilo!$LM$35:$LU$38,9,FALSE)</f>
        <v>-5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6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7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1</v>
      </c>
      <c r="LR59" s="71">
        <f>IF(OR(E77="",G77=""),0,IF(E77&lt;G77,1,0))+IF(OR(E79="",G79=""),0,IF(E79&lt;G79,1,0))+IF(OR(G81="",E81=""),0,IF(G81&lt;E81,1,0))</f>
        <v>0</v>
      </c>
      <c r="LS59" s="71">
        <f>E77+E79+G81</f>
        <v>7</v>
      </c>
      <c r="LT59" s="71">
        <f>G77+G79+E81</f>
        <v>2</v>
      </c>
      <c r="LU59" s="71">
        <f t="shared" ref="LU59:LU62" si="63">LS59-LT59</f>
        <v>5</v>
      </c>
      <c r="LV59" s="70">
        <f t="shared" ref="LV59:LV62" si="64">LN59</f>
        <v>7</v>
      </c>
      <c r="LW59" s="70">
        <f t="shared" ref="LW59:LW62" si="65">LU59/10</f>
        <v>0.5</v>
      </c>
      <c r="LX59" s="70">
        <f t="shared" ref="LX59:LX62" si="66">LS59/100</f>
        <v>0.07</v>
      </c>
      <c r="LY59" s="70">
        <f t="shared" ref="LY59:LY62" si="67">SUM(LV59:LX59)</f>
        <v>7.57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7.57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2.0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0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0</v>
      </c>
      <c r="LR60" s="71">
        <f>IF(OR(G77="",E77=""),0,IF(G77&lt;E77,1,0))+IF(OR(G78="",E78=""),0,IF(G78&lt;E78,1,0))+IF(OR(E80="",G80=""),0,IF(E80&lt;G80,1,0))</f>
        <v>3</v>
      </c>
      <c r="LS60" s="71">
        <f>G77+G78+E80</f>
        <v>2</v>
      </c>
      <c r="LT60" s="71">
        <f>E77+E78+G80</f>
        <v>7</v>
      </c>
      <c r="LU60" s="71">
        <f t="shared" si="63"/>
        <v>-5</v>
      </c>
      <c r="LV60" s="70">
        <f t="shared" si="64"/>
        <v>0</v>
      </c>
      <c r="LW60" s="70">
        <f t="shared" si="65"/>
        <v>-0.5</v>
      </c>
      <c r="LX60" s="70">
        <f t="shared" si="66"/>
        <v>0.02</v>
      </c>
      <c r="LY60" s="70">
        <f t="shared" si="67"/>
        <v>-0.48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-0.48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9"/>
        <v>3</v>
      </c>
      <c r="MH60" s="70" t="str">
        <f t="shared" si="70"/>
        <v>Uruguai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3.0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5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1</v>
      </c>
      <c r="LQ61" s="71">
        <f>IF(OR(E76="",G76=""),0,IF(E76=G76,1,0))+IF(OR(G79="",E79=""),0,IF(G79=E79,1,0))+IF(OR(G80="",E80=""),0,IF(G80=E80,1,0))</f>
        <v>2</v>
      </c>
      <c r="LR61" s="71">
        <f>IF(OR(E76="",G76=""),0,IF(E76&lt;G76,1,0))+IF(OR(G79="",E79=""),0,IF(G79&lt;E79,1,0))+IF(OR(G80="",E80=""),0,IF(G80&lt;E80,1,0))</f>
        <v>0</v>
      </c>
      <c r="LS61" s="71">
        <f>E76+G79+G80</f>
        <v>5</v>
      </c>
      <c r="LT61" s="71">
        <f>G76+E79+E80</f>
        <v>4</v>
      </c>
      <c r="LU61" s="71">
        <f t="shared" si="63"/>
        <v>1</v>
      </c>
      <c r="LV61" s="70">
        <f t="shared" si="64"/>
        <v>5</v>
      </c>
      <c r="LW61" s="70">
        <f t="shared" si="65"/>
        <v>0.1</v>
      </c>
      <c r="LX61" s="70">
        <f t="shared" si="66"/>
        <v>0.05</v>
      </c>
      <c r="LY61" s="70">
        <f t="shared" si="67"/>
        <v>5.15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5.15</v>
      </c>
      <c r="MD61" s="70">
        <f>RANK($MC$61,$MC$59:$MC$62,0)</f>
        <v>2</v>
      </c>
      <c r="ME61" s="70">
        <f>IF(OR(AND(MD59=MD60,MD59=MD61,MD59=MD62),AND(MD61=MD59,MD61=MD60)),MD61+2,IF(OR(AND(MD61=MD60,MD61=MD62),MD61=MD59,MD61=MD60),MD61+1,MD61))</f>
        <v>2</v>
      </c>
      <c r="MF61" s="70">
        <v>3.0</v>
      </c>
      <c r="MG61" s="70">
        <f t="shared" si="69"/>
        <v>4</v>
      </c>
      <c r="MH61" s="70" t="str">
        <f t="shared" si="70"/>
        <v>Coréia do Sul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2.0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Danilo!MH43</f>
        <v>Bélgica</v>
      </c>
      <c r="M62" s="119">
        <f>VLOOKUP(L62,Danilo!$LM$43:$LU$46,2,FALSE)</f>
        <v>7</v>
      </c>
      <c r="N62" s="120">
        <f>VLOOKUP(L62,Danilo!$LM$43:$LU$46,3,FALSE)</f>
        <v>3</v>
      </c>
      <c r="O62" s="120">
        <f>VLOOKUP(L62,Danilo!$LM$43:$LU$46,4,FALSE)</f>
        <v>2</v>
      </c>
      <c r="P62" s="120">
        <f>VLOOKUP(L62,Danilo!$LM$43:$LU$46,5,FALSE)</f>
        <v>1</v>
      </c>
      <c r="Q62" s="120">
        <f>VLOOKUP(L62,Danilo!$LM$43:$LU$46,6,FALSE)</f>
        <v>0</v>
      </c>
      <c r="R62" s="120">
        <f>VLOOKUP(L62,Danilo!$LM$43:$LU$46,7,FALSE)</f>
        <v>6</v>
      </c>
      <c r="S62" s="120">
        <f>VLOOKUP(L62,Danilo!$LM$43:$LU$46,8,FALSE)</f>
        <v>1</v>
      </c>
      <c r="T62" s="121">
        <f>VLOOKUP(L62,Danilo!$LM$43:$LU$46,9,FALSE)</f>
        <v>5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3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1</v>
      </c>
      <c r="LQ62" s="71">
        <f>IF(OR(G76="",E76=""),0,IF(G76=E76,1,0))+IF(OR(E78="",G78=""),0,IF(E78=G78,1,0))+IF(OR(E81="",G81=""),0,IF(E81=G81,1,0))</f>
        <v>1</v>
      </c>
      <c r="LR62" s="71">
        <f>IF(OR(G76="",E76=""),0,IF(G76&lt;E76,1,0))+IF(OR(E78="",G78=""),0,IF(E78&lt;G78,1,0))+IF(OR(E81="",G81=""),0,IF(E81&lt;G81,1,0))</f>
        <v>1</v>
      </c>
      <c r="LS62" s="71">
        <f>G76+E78+E81</f>
        <v>3</v>
      </c>
      <c r="LT62" s="71">
        <f>E76+G78+G81</f>
        <v>4</v>
      </c>
      <c r="LU62" s="71">
        <f t="shared" si="63"/>
        <v>-1</v>
      </c>
      <c r="LV62" s="70">
        <f t="shared" si="64"/>
        <v>3</v>
      </c>
      <c r="LW62" s="70">
        <f t="shared" si="65"/>
        <v>-0.1</v>
      </c>
      <c r="LX62" s="70">
        <f t="shared" si="66"/>
        <v>0.03</v>
      </c>
      <c r="LY62" s="70">
        <f t="shared" si="67"/>
        <v>2.93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2.93</v>
      </c>
      <c r="MD62" s="70">
        <f>RANK($MC$62,$MC$59:$MC$62,0)</f>
        <v>3</v>
      </c>
      <c r="ME62" s="70">
        <f>IF(AND(MD59=MD60,MD59=MD61,MD59=MD62),MD62+3,IF(OR(AND(MD62=MD61,MD62=MD60),AND(MD62=MD60,MD62=MD59)),MD62+2,IF(OR(MD62=MD61,MD62=MD60,MD62=MD59),MD62+1,MD62)))</f>
        <v>3</v>
      </c>
      <c r="MF62" s="70">
        <v>4.0</v>
      </c>
      <c r="MG62" s="70">
        <f t="shared" si="69"/>
        <v>2</v>
      </c>
      <c r="MH62" s="70" t="str">
        <f t="shared" si="70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3.0</v>
      </c>
      <c r="F63" s="106" t="s">
        <v>72</v>
      </c>
      <c r="G63" s="107">
        <v>1.0</v>
      </c>
      <c r="H63" s="108"/>
      <c r="I63" s="96" t="s">
        <v>105</v>
      </c>
      <c r="J63" s="97" t="s">
        <v>80</v>
      </c>
      <c r="K63" s="109"/>
      <c r="L63" s="118" t="str">
        <f>Danilo!MH44</f>
        <v>Croácia</v>
      </c>
      <c r="M63" s="119">
        <f>VLOOKUP(L63,Danilo!$LM$43:$LU$46,2,FALSE)</f>
        <v>7</v>
      </c>
      <c r="N63" s="120">
        <f>VLOOKUP(L63,Danilo!$LM$43:$LU$46,3,FALSE)</f>
        <v>3</v>
      </c>
      <c r="O63" s="120">
        <f>VLOOKUP(L63,Danilo!$LM$43:$LU$46,4,FALSE)</f>
        <v>2</v>
      </c>
      <c r="P63" s="120">
        <f>VLOOKUP(L63,Danilo!$LM$43:$LU$46,5,FALSE)</f>
        <v>1</v>
      </c>
      <c r="Q63" s="120">
        <f>VLOOKUP(L63,Danilo!$LM$43:$LU$46,6,FALSE)</f>
        <v>0</v>
      </c>
      <c r="R63" s="120">
        <f>VLOOKUP(L63,Danilo!$LM$43:$LU$46,7,FALSE)</f>
        <v>6</v>
      </c>
      <c r="S63" s="120">
        <f>VLOOKUP(L63,Danilo!$LM$43:$LU$46,8,FALSE)</f>
        <v>2</v>
      </c>
      <c r="T63" s="121">
        <f>VLOOKUP(L63,Danilo!$LM$43:$LU$46,9,FALSE)</f>
        <v>4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3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1.0</v>
      </c>
      <c r="F64" s="106" t="s">
        <v>72</v>
      </c>
      <c r="G64" s="107">
        <v>1.0</v>
      </c>
      <c r="H64" s="108"/>
      <c r="I64" s="96" t="s">
        <v>103</v>
      </c>
      <c r="J64" s="97" t="s">
        <v>88</v>
      </c>
      <c r="K64" s="109"/>
      <c r="L64" s="118" t="str">
        <f>Danilo!MH45</f>
        <v>Marrocos</v>
      </c>
      <c r="M64" s="119">
        <f>VLOOKUP(L64,Danilo!$LM$43:$LU$46,2,FALSE)</f>
        <v>1</v>
      </c>
      <c r="N64" s="120">
        <f>VLOOKUP(L64,Danilo!$LM$43:$LU$46,3,FALSE)</f>
        <v>3</v>
      </c>
      <c r="O64" s="120">
        <f>VLOOKUP(L64,Danilo!$LM$43:$LU$46,4,FALSE)</f>
        <v>0</v>
      </c>
      <c r="P64" s="120">
        <f>VLOOKUP(L64,Danilo!$LM$43:$LU$46,5,FALSE)</f>
        <v>1</v>
      </c>
      <c r="Q64" s="120">
        <f>VLOOKUP(L64,Danilo!$LM$43:$LU$46,6,FALSE)</f>
        <v>2</v>
      </c>
      <c r="R64" s="120">
        <f>VLOOKUP(L64,Danilo!$LM$43:$LU$46,7,FALSE)</f>
        <v>0</v>
      </c>
      <c r="S64" s="120">
        <f>VLOOKUP(L64,Danilo!$LM$43:$LU$46,8,FALSE)</f>
        <v>4</v>
      </c>
      <c r="T64" s="121">
        <f>VLOOKUP(L64,Danilo!$LM$43:$LU$46,9,FALSE)</f>
        <v>-4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6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0.0</v>
      </c>
      <c r="F65" s="106" t="s">
        <v>72</v>
      </c>
      <c r="G65" s="107">
        <v>0.0</v>
      </c>
      <c r="H65" s="108"/>
      <c r="I65" s="96" t="s">
        <v>107</v>
      </c>
      <c r="J65" s="97" t="s">
        <v>76</v>
      </c>
      <c r="K65" s="123"/>
      <c r="L65" s="124" t="str">
        <f>Danilo!MH46</f>
        <v>Canadá</v>
      </c>
      <c r="M65" s="125">
        <f>VLOOKUP(L65,Danilo!$LM$43:$LU$46,2,FALSE)</f>
        <v>1</v>
      </c>
      <c r="N65" s="126">
        <f>VLOOKUP(L65,Danilo!$LM$43:$LU$46,3,FALSE)</f>
        <v>3</v>
      </c>
      <c r="O65" s="126">
        <f>VLOOKUP(L65,Danilo!$LM$43:$LU$46,4,FALSE)</f>
        <v>0</v>
      </c>
      <c r="P65" s="126">
        <f>VLOOKUP(L65,Danilo!$LM$43:$LU$46,5,FALSE)</f>
        <v>1</v>
      </c>
      <c r="Q65" s="126">
        <f>VLOOKUP(L65,Danilo!$LM$43:$LU$46,6,FALSE)</f>
        <v>2</v>
      </c>
      <c r="R65" s="126">
        <f>VLOOKUP(L65,Danilo!$LM$43:$LU$46,7,FALSE)</f>
        <v>1</v>
      </c>
      <c r="S65" s="126">
        <f>VLOOKUP(L65,Danilo!$LM$43:$LU$46,8,FALSE)</f>
        <v>6</v>
      </c>
      <c r="T65" s="127">
        <f>VLOOKUP(L65,Danilo!$LM$43:$LU$46,9,FALSE)</f>
        <v>-5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2.0</v>
      </c>
      <c r="F68" s="106" t="s">
        <v>72</v>
      </c>
      <c r="G68" s="107">
        <v>1.0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6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106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10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1.0</v>
      </c>
      <c r="F70" s="115" t="s">
        <v>72</v>
      </c>
      <c r="G70" s="116">
        <v>1.0</v>
      </c>
      <c r="H70" s="117"/>
      <c r="I70" s="96" t="s">
        <v>113</v>
      </c>
      <c r="J70" s="97" t="s">
        <v>106</v>
      </c>
      <c r="K70" s="109"/>
      <c r="L70" s="118" t="str">
        <f>Danilo!MH51</f>
        <v>Brasil</v>
      </c>
      <c r="M70" s="119">
        <f>VLOOKUP(L70,Danilo!$LM$51:$LU$54,2,FALSE)</f>
        <v>9</v>
      </c>
      <c r="N70" s="120">
        <f>VLOOKUP(L70,Danilo!$LM$51:$LU$54,3,FALSE)</f>
        <v>3</v>
      </c>
      <c r="O70" s="120">
        <f>VLOOKUP(L70,Danilo!$LM$51:$LU$54,4,FALSE)</f>
        <v>3</v>
      </c>
      <c r="P70" s="120">
        <f>VLOOKUP(L70,Danilo!$LM$51:$LU$54,5,FALSE)</f>
        <v>0</v>
      </c>
      <c r="Q70" s="120">
        <f>VLOOKUP(L70,Danilo!$LM$51:$LU$54,6,FALSE)</f>
        <v>0</v>
      </c>
      <c r="R70" s="120">
        <f>VLOOKUP(L70,Danilo!$LM$51:$LU$54,7,FALSE)</f>
        <v>8</v>
      </c>
      <c r="S70" s="120">
        <f>VLOOKUP(L70,Danilo!$LM$51:$LU$54,8,FALSE)</f>
        <v>1</v>
      </c>
      <c r="T70" s="121">
        <f>VLOOKUP(L70,Danilo!$LM$51:$LU$54,9,FALSE)</f>
        <v>7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3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3.0</v>
      </c>
      <c r="F71" s="106" t="s">
        <v>72</v>
      </c>
      <c r="G71" s="107">
        <v>1.0</v>
      </c>
      <c r="H71" s="108"/>
      <c r="I71" s="96" t="s">
        <v>114</v>
      </c>
      <c r="J71" s="97" t="s">
        <v>97</v>
      </c>
      <c r="K71" s="109"/>
      <c r="L71" s="118" t="str">
        <f>Danilo!MH52</f>
        <v>Suiça</v>
      </c>
      <c r="M71" s="119">
        <f>VLOOKUP(L71,Danilo!$LM$51:$LU$54,2,FALSE)</f>
        <v>4</v>
      </c>
      <c r="N71" s="120">
        <f>VLOOKUP(L71,Danilo!$LM$51:$LU$54,3,FALSE)</f>
        <v>3</v>
      </c>
      <c r="O71" s="120">
        <f>VLOOKUP(L71,Danilo!$LM$51:$LU$54,4,FALSE)</f>
        <v>1</v>
      </c>
      <c r="P71" s="120">
        <f>VLOOKUP(L71,Danilo!$LM$51:$LU$54,5,FALSE)</f>
        <v>1</v>
      </c>
      <c r="Q71" s="120">
        <f>VLOOKUP(L71,Danilo!$LM$51:$LU$54,6,FALSE)</f>
        <v>1</v>
      </c>
      <c r="R71" s="120">
        <f>VLOOKUP(L71,Danilo!$LM$51:$LU$54,7,FALSE)</f>
        <v>4</v>
      </c>
      <c r="S71" s="120">
        <f>VLOOKUP(L71,Danilo!$LM$51:$LU$54,8,FALSE)</f>
        <v>5</v>
      </c>
      <c r="T71" s="121">
        <f>VLOOKUP(L71,Danilo!$LM$51:$LU$54,9,FALSE)</f>
        <v>-1</v>
      </c>
      <c r="U71" s="53"/>
      <c r="V71" s="59" t="s">
        <v>81</v>
      </c>
      <c r="W71" s="122" t="str">
        <f t="shared" si="72"/>
        <v>Suiça</v>
      </c>
      <c r="X71" s="236">
        <f>IF(AND(W71&lt;&gt;"",'Resultado Oficial'!W70&lt;&gt;"",'Resultado Oficial'!W71&lt;&gt;""),IF(W71='Resultado Oficial'!W71,5,IF(W71='Resultado Oficial'!W70,2,0)),"")</f>
        <v>5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3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1.0</v>
      </c>
      <c r="F72" s="106" t="s">
        <v>72</v>
      </c>
      <c r="G72" s="107">
        <v>1.0</v>
      </c>
      <c r="H72" s="108"/>
      <c r="I72" s="96" t="s">
        <v>114</v>
      </c>
      <c r="J72" s="97" t="s">
        <v>97</v>
      </c>
      <c r="K72" s="109"/>
      <c r="L72" s="118" t="str">
        <f>Danilo!MH53</f>
        <v>Sérvia</v>
      </c>
      <c r="M72" s="119">
        <f>VLOOKUP(L72,Danilo!$LM$51:$LU$54,2,FALSE)</f>
        <v>2</v>
      </c>
      <c r="N72" s="120">
        <f>VLOOKUP(L72,Danilo!$LM$51:$LU$54,3,FALSE)</f>
        <v>3</v>
      </c>
      <c r="O72" s="120">
        <f>VLOOKUP(L72,Danilo!$LM$51:$LU$54,4,FALSE)</f>
        <v>0</v>
      </c>
      <c r="P72" s="120">
        <f>VLOOKUP(L72,Danilo!$LM$51:$LU$54,5,FALSE)</f>
        <v>2</v>
      </c>
      <c r="Q72" s="120">
        <f>VLOOKUP(L72,Danilo!$LM$51:$LU$54,6,FALSE)</f>
        <v>1</v>
      </c>
      <c r="R72" s="120">
        <f>VLOOKUP(L72,Danilo!$LM$51:$LU$54,7,FALSE)</f>
        <v>2</v>
      </c>
      <c r="S72" s="120">
        <f>VLOOKUP(L72,Danilo!$LM$51:$LU$54,8,FALSE)</f>
        <v>4</v>
      </c>
      <c r="T72" s="121">
        <f>VLOOKUP(L72,Danilo!$LM$51:$LU$54,9,FALSE)</f>
        <v>-2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0.0</v>
      </c>
      <c r="F73" s="106" t="s">
        <v>72</v>
      </c>
      <c r="G73" s="107">
        <v>3.0</v>
      </c>
      <c r="H73" s="108"/>
      <c r="I73" s="96" t="s">
        <v>111</v>
      </c>
      <c r="J73" s="97" t="s">
        <v>94</v>
      </c>
      <c r="K73" s="123"/>
      <c r="L73" s="124" t="str">
        <f>Danilo!MH54</f>
        <v>Camarões</v>
      </c>
      <c r="M73" s="125">
        <f>VLOOKUP(L73,Danilo!$LM$51:$LU$54,2,FALSE)</f>
        <v>2</v>
      </c>
      <c r="N73" s="126">
        <f>VLOOKUP(L73,Danilo!$LM$51:$LU$54,3,FALSE)</f>
        <v>3</v>
      </c>
      <c r="O73" s="126">
        <f>VLOOKUP(L73,Danilo!$LM$51:$LU$54,4,FALSE)</f>
        <v>0</v>
      </c>
      <c r="P73" s="126">
        <f>VLOOKUP(L73,Danilo!$LM$51:$LU$54,5,FALSE)</f>
        <v>1</v>
      </c>
      <c r="Q73" s="126">
        <f>VLOOKUP(L73,Danilo!$LM$51:$LU$54,6,FALSE)</f>
        <v>2</v>
      </c>
      <c r="R73" s="126">
        <f>VLOOKUP(L73,Danilo!$LM$51:$LU$54,7,FALSE)</f>
        <v>2</v>
      </c>
      <c r="S73" s="126">
        <f>VLOOKUP(L73,Danilo!$LM$51:$LU$54,8,FALSE)</f>
        <v>6</v>
      </c>
      <c r="T73" s="127">
        <f>VLOOKUP(L73,Danilo!$LM$51:$LU$54,9,FALSE)</f>
        <v>-4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1.0</v>
      </c>
      <c r="F76" s="106" t="s">
        <v>72</v>
      </c>
      <c r="G76" s="107">
        <v>1.0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6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3.0</v>
      </c>
      <c r="F77" s="106" t="s">
        <v>72</v>
      </c>
      <c r="G77" s="107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3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2.0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Danilo!MH59</f>
        <v>Portugal</v>
      </c>
      <c r="M78" s="119">
        <f>VLOOKUP(L78,Danilo!$LM$59:$LU$62,2,FALSE)</f>
        <v>7</v>
      </c>
      <c r="N78" s="120">
        <f>VLOOKUP(L78,Danilo!$LM$59:$LU$62,3,FALSE)</f>
        <v>3</v>
      </c>
      <c r="O78" s="120">
        <f>VLOOKUP(L78,Danilo!$LM$59:$LU$62,4,FALSE)</f>
        <v>2</v>
      </c>
      <c r="P78" s="120">
        <f>VLOOKUP(L78,Danilo!$LM$59:$LU$62,5,FALSE)</f>
        <v>1</v>
      </c>
      <c r="Q78" s="120">
        <f>VLOOKUP(L78,Danilo!$LM$59:$LU$62,6,FALSE)</f>
        <v>0</v>
      </c>
      <c r="R78" s="120">
        <f>VLOOKUP(L78,Danilo!$LM$59:$LU$62,7,FALSE)</f>
        <v>7</v>
      </c>
      <c r="S78" s="120">
        <f>VLOOKUP(L78,Danilo!$LM$59:$LU$62,8,FALSE)</f>
        <v>2</v>
      </c>
      <c r="T78" s="121">
        <f>VLOOKUP(L78,Danilo!$LM$59:$LU$62,9,FALSE)</f>
        <v>5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2.0</v>
      </c>
      <c r="F79" s="106" t="s">
        <v>72</v>
      </c>
      <c r="G79" s="107">
        <v>2.0</v>
      </c>
      <c r="H79" s="108"/>
      <c r="I79" s="96" t="s">
        <v>122</v>
      </c>
      <c r="J79" s="97" t="s">
        <v>94</v>
      </c>
      <c r="K79" s="109"/>
      <c r="L79" s="118" t="str">
        <f>Danilo!MH60</f>
        <v>Uruguai</v>
      </c>
      <c r="M79" s="119">
        <f>VLOOKUP(L79,Danilo!$LM$59:$LU$62,2,FALSE)</f>
        <v>5</v>
      </c>
      <c r="N79" s="120">
        <f>VLOOKUP(L79,Danilo!$LM$59:$LU$62,3,FALSE)</f>
        <v>3</v>
      </c>
      <c r="O79" s="120">
        <f>VLOOKUP(L79,Danilo!$LM$59:$LU$62,4,FALSE)</f>
        <v>1</v>
      </c>
      <c r="P79" s="120">
        <f>VLOOKUP(L79,Danilo!$LM$59:$LU$62,5,FALSE)</f>
        <v>2</v>
      </c>
      <c r="Q79" s="120">
        <f>VLOOKUP(L79,Danilo!$LM$59:$LU$62,6,FALSE)</f>
        <v>0</v>
      </c>
      <c r="R79" s="120">
        <f>VLOOKUP(L79,Danilo!$LM$59:$LU$62,7,FALSE)</f>
        <v>5</v>
      </c>
      <c r="S79" s="120">
        <f>VLOOKUP(L79,Danilo!$LM$59:$LU$62,8,FALSE)</f>
        <v>4</v>
      </c>
      <c r="T79" s="121">
        <f>VLOOKUP(L79,Danilo!$LM$59:$LU$62,9,FALSE)</f>
        <v>1</v>
      </c>
      <c r="U79" s="53"/>
      <c r="V79" s="59" t="s">
        <v>81</v>
      </c>
      <c r="W79" s="122" t="str">
        <f t="shared" si="73"/>
        <v>Uruguai</v>
      </c>
      <c r="X79" s="236">
        <f>IF(AND(W79&lt;&gt;"",'Resultado Oficial'!W78&lt;&gt;"",'Resultado Oficial'!W79&lt;&gt;""),IF(W79='Resultado Oficial'!W79,5,IF(W79='Resultado Oficial'!W78,2,0)),"")</f>
        <v>0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106" t="s">
        <v>72</v>
      </c>
      <c r="G80" s="107">
        <v>2.0</v>
      </c>
      <c r="H80" s="108"/>
      <c r="I80" s="96" t="s">
        <v>122</v>
      </c>
      <c r="J80" s="97" t="s">
        <v>106</v>
      </c>
      <c r="K80" s="109"/>
      <c r="L80" s="118" t="str">
        <f>Danilo!MH61</f>
        <v>Coréia do Sul</v>
      </c>
      <c r="M80" s="119">
        <f>VLOOKUP(L80,Danilo!$LM$59:$LU$62,2,FALSE)</f>
        <v>3</v>
      </c>
      <c r="N80" s="120">
        <f>VLOOKUP(L80,Danilo!$LM$59:$LU$62,3,FALSE)</f>
        <v>3</v>
      </c>
      <c r="O80" s="120">
        <f>VLOOKUP(L80,Danilo!$LM$59:$LU$62,4,FALSE)</f>
        <v>1</v>
      </c>
      <c r="P80" s="120">
        <f>VLOOKUP(L80,Danilo!$LM$59:$LU$62,5,FALSE)</f>
        <v>1</v>
      </c>
      <c r="Q80" s="120">
        <f>VLOOKUP(L80,Danilo!$LM$59:$LU$62,6,FALSE)</f>
        <v>1</v>
      </c>
      <c r="R80" s="120">
        <f>VLOOKUP(L80,Danilo!$LM$59:$LU$62,7,FALSE)</f>
        <v>3</v>
      </c>
      <c r="S80" s="120">
        <f>VLOOKUP(L80,Danilo!$LM$59:$LU$62,8,FALSE)</f>
        <v>4</v>
      </c>
      <c r="T80" s="121">
        <f>VLOOKUP(L80,Danilo!$LM$59:$LU$62,9,FALSE)</f>
        <v>-1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3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0.0</v>
      </c>
      <c r="F81" s="106" t="s">
        <v>72</v>
      </c>
      <c r="G81" s="107">
        <v>2.0</v>
      </c>
      <c r="H81" s="108"/>
      <c r="I81" s="96" t="s">
        <v>119</v>
      </c>
      <c r="J81" s="97" t="s">
        <v>99</v>
      </c>
      <c r="K81" s="123"/>
      <c r="L81" s="124" t="str">
        <f>Danilo!MH62</f>
        <v>Gana</v>
      </c>
      <c r="M81" s="125">
        <f>VLOOKUP(L81,Danilo!$LM$59:$LU$62,2,FALSE)</f>
        <v>0</v>
      </c>
      <c r="N81" s="126">
        <f>VLOOKUP(L81,Danilo!$LM$59:$LU$62,3,FALSE)</f>
        <v>3</v>
      </c>
      <c r="O81" s="126">
        <f>VLOOKUP(L81,Danilo!$LM$59:$LU$62,4,FALSE)</f>
        <v>0</v>
      </c>
      <c r="P81" s="126">
        <f>VLOOKUP(L81,Danilo!$LM$59:$LU$62,5,FALSE)</f>
        <v>0</v>
      </c>
      <c r="Q81" s="126">
        <f>VLOOKUP(L81,Danilo!$LM$59:$LU$62,6,FALSE)</f>
        <v>3</v>
      </c>
      <c r="R81" s="126">
        <f>VLOOKUP(L81,Danilo!$LM$59:$LU$62,7,FALSE)</f>
        <v>2</v>
      </c>
      <c r="S81" s="126">
        <f>VLOOKUP(L81,Danilo!$LM$59:$LU$62,8,FALSE)</f>
        <v>7</v>
      </c>
      <c r="T81" s="127">
        <f>VLOOKUP(L81,Danilo!$LM$59:$LU$62,9,FALSE)</f>
        <v>-5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244" t="s">
        <v>72</v>
      </c>
      <c r="G85" s="260">
        <v>0.0</v>
      </c>
      <c r="H85" s="158"/>
      <c r="I85" s="157" t="str">
        <f>IF(N31=3,L31,"2º do grupo B")</f>
        <v>Irã</v>
      </c>
      <c r="J85" s="159"/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0.0</v>
      </c>
      <c r="F86" s="244" t="s">
        <v>72</v>
      </c>
      <c r="G86" s="260">
        <v>1.0</v>
      </c>
      <c r="H86" s="158"/>
      <c r="I86" s="157" t="str">
        <f>IF(N47=3,L47,"2º do grupo D")</f>
        <v>Dinamarca</v>
      </c>
      <c r="J86" s="159"/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1.0</v>
      </c>
      <c r="F87" s="244" t="s">
        <v>72</v>
      </c>
      <c r="G87" s="260">
        <v>0.0</v>
      </c>
      <c r="H87" s="158"/>
      <c r="I87" s="157" t="str">
        <f>IF(N23=3,L23,"2º do grupo A")</f>
        <v>Equador</v>
      </c>
      <c r="J87" s="159"/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158"/>
      <c r="E88" s="259">
        <v>2.0</v>
      </c>
      <c r="F88" s="244" t="s">
        <v>72</v>
      </c>
      <c r="G88" s="260">
        <v>1.0</v>
      </c>
      <c r="H88" s="158"/>
      <c r="I88" s="157" t="str">
        <f>IF(N39=3,L39,"2º do grupo C")</f>
        <v>México</v>
      </c>
      <c r="J88" s="159"/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Espanha</v>
      </c>
      <c r="D89" s="162">
        <v>1.0</v>
      </c>
      <c r="E89" s="259">
        <v>2.0</v>
      </c>
      <c r="F89" s="244" t="s">
        <v>72</v>
      </c>
      <c r="G89" s="260">
        <v>2.0</v>
      </c>
      <c r="H89" s="162">
        <v>0.0</v>
      </c>
      <c r="I89" s="157" t="str">
        <f>IF(N63=3,L63,"2º do grupo F")</f>
        <v>Croácia</v>
      </c>
      <c r="J89" s="159"/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2.0</v>
      </c>
      <c r="F90" s="244" t="s">
        <v>72</v>
      </c>
      <c r="G90" s="260">
        <v>1.0</v>
      </c>
      <c r="H90" s="158"/>
      <c r="I90" s="157" t="str">
        <f>IF(N79=3,L79,"2º do grupo H")</f>
        <v>Uruguai</v>
      </c>
      <c r="J90" s="159"/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62">
        <v>1.0</v>
      </c>
      <c r="E91" s="259">
        <v>1.0</v>
      </c>
      <c r="F91" s="244" t="s">
        <v>72</v>
      </c>
      <c r="G91" s="260">
        <v>1.0</v>
      </c>
      <c r="H91" s="162">
        <v>0.0</v>
      </c>
      <c r="I91" s="157" t="str">
        <f>IF(N55=3,L55,"2º do grupo E")</f>
        <v>Alemanha</v>
      </c>
      <c r="J91" s="159"/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0.0</v>
      </c>
      <c r="F92" s="244" t="s">
        <v>72</v>
      </c>
      <c r="G92" s="260">
        <v>1.0</v>
      </c>
      <c r="H92" s="158"/>
      <c r="I92" s="157" t="str">
        <f>IF(N71=3,L71,"2º do grupo G")</f>
        <v>Suiça</v>
      </c>
      <c r="J92" s="159"/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58"/>
      <c r="E95" s="259">
        <v>1.0</v>
      </c>
      <c r="F95" s="244" t="s">
        <v>72</v>
      </c>
      <c r="G95" s="260">
        <v>0.0</v>
      </c>
      <c r="H95" s="158"/>
      <c r="I95" s="157" t="str">
        <f>IF(OR(G86="",E86="",AND(G86=E86,OR(H86="",D86=""))),"Vencedor do 50",IF(G86=E86,IF(H86&gt;D86,I86,C86),IF(G86&gt;E86,I86,C86)))</f>
        <v>Dinamarca</v>
      </c>
      <c r="J95" s="159"/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Brasil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Espanha</v>
      </c>
      <c r="D96" s="158"/>
      <c r="E96" s="259">
        <v>0.0</v>
      </c>
      <c r="F96" s="244" t="s">
        <v>72</v>
      </c>
      <c r="G96" s="260">
        <v>3.0</v>
      </c>
      <c r="H96" s="158"/>
      <c r="I96" s="157" t="str">
        <f>IF(OR(G90="",E90="",AND(G90=E90,OR(H90="",D90=""))),"Vencedor do 52",IF(G90=E90,IF(H90&gt;D90,I90,C90),IF(G90&gt;E90,I90,C90)))</f>
        <v>Brasil</v>
      </c>
      <c r="J96" s="159"/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58"/>
      <c r="E97" s="259">
        <v>1.0</v>
      </c>
      <c r="F97" s="244" t="s">
        <v>72</v>
      </c>
      <c r="G97" s="260">
        <v>3.0</v>
      </c>
      <c r="H97" s="158"/>
      <c r="I97" s="157" t="str">
        <f>IF(OR(G88="",E88="",AND(G88=E88,OR(H88="",D88=""))),"Vencedor do 54",IF(G88=E88,IF(H88&gt;D88,I88,C88),IF(G88&gt;E88,I88,C88)))</f>
        <v>França</v>
      </c>
      <c r="J97" s="159"/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158"/>
      <c r="E98" s="259">
        <v>2.0</v>
      </c>
      <c r="F98" s="244" t="s">
        <v>72</v>
      </c>
      <c r="G98" s="260">
        <v>0.0</v>
      </c>
      <c r="H98" s="158"/>
      <c r="I98" s="157" t="str">
        <f>IF(OR(G92="",E92="",AND(G92=E92,OR(H92="",D92=""))),"Vencedor do 56",IF(G92=E92,IF(H92&gt;D92,I92,C92),IF(G92&gt;E92,I92,C92)))</f>
        <v>Suiça</v>
      </c>
      <c r="J98" s="159"/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Holanda</v>
      </c>
      <c r="D101" s="158"/>
      <c r="E101" s="259">
        <v>1.0</v>
      </c>
      <c r="F101" s="244" t="s">
        <v>72</v>
      </c>
      <c r="G101" s="260">
        <v>2.0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/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França</v>
      </c>
      <c r="D102" s="158"/>
      <c r="E102" s="259">
        <v>0.0</v>
      </c>
      <c r="F102" s="244" t="s">
        <v>72</v>
      </c>
      <c r="G102" s="260">
        <v>1.0</v>
      </c>
      <c r="H102" s="158"/>
      <c r="I102" s="157" t="str">
        <f>IF(OR(G98="",E98="",AND(G98=E98,OR(H98="",D98=""))),"Vencedor do 60",IF(G98=E98,IF(H98&gt;D98,I98,C98),IF(G98&gt;E98,I98,C98)))</f>
        <v>Bélgica</v>
      </c>
      <c r="J102" s="159"/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Holanda</v>
      </c>
      <c r="D105" s="158"/>
      <c r="E105" s="259">
        <v>2.0</v>
      </c>
      <c r="F105" s="244" t="s">
        <v>72</v>
      </c>
      <c r="G105" s="260">
        <v>0.0</v>
      </c>
      <c r="H105" s="158"/>
      <c r="I105" s="183" t="str">
        <f>IF(OR(G102="",E102="",AND(G102=E102,OR(H102="",D102=""))),"    ",IF(G102=E102,IF(H102&lt;D102,I102,C102),IF(G102&lt;E102,I102,C102)))</f>
        <v>França</v>
      </c>
      <c r="J105" s="159"/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Brasil</v>
      </c>
      <c r="D108" s="249"/>
      <c r="E108" s="261">
        <v>2.0</v>
      </c>
      <c r="F108" s="251" t="s">
        <v>72</v>
      </c>
      <c r="G108" s="262">
        <v>1.0</v>
      </c>
      <c r="H108" s="249"/>
      <c r="I108" s="202" t="str">
        <f>IF(OR(G102="",E102="",AND(G102=E102,OR(H102="",D102=""))),"  ",IF(G102=E102,IF(H102&gt;D102,I102,C102),IF(G102&gt;E102,I102,C102)))</f>
        <v>Bélgica</v>
      </c>
      <c r="J108" s="253"/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3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3</v>
      </c>
      <c r="LR3" s="71">
        <f>IF(OR(E20="",G20=""),0,IF(E20&lt;G20,1,0))+IF(OR(E22="",G22=""),0,IF(E22&lt;G22,1,0))+IF(OR(G25="",E25=""),0,IF(G25&lt;E25,1,0))</f>
        <v>0</v>
      </c>
      <c r="LS3" s="71">
        <f>E20+E22+G25</f>
        <v>1</v>
      </c>
      <c r="LT3" s="71">
        <f>G20+G22+E25</f>
        <v>1</v>
      </c>
      <c r="LU3" s="71">
        <f t="shared" ref="LU3:LU6" si="1">LS3-LT3</f>
        <v>0</v>
      </c>
      <c r="LV3" s="70">
        <f t="shared" ref="LV3:LV6" si="2">LN3</f>
        <v>3</v>
      </c>
      <c r="LW3" s="70">
        <f t="shared" ref="LW3:LW6" si="3">LU3/10</f>
        <v>0</v>
      </c>
      <c r="LX3" s="70">
        <f t="shared" ref="LX3:LX6" si="4">LS3/100</f>
        <v>0.01</v>
      </c>
      <c r="LY3" s="70">
        <f t="shared" ref="LY3:LY6" si="5">SUM(LV3:LX3)</f>
        <v>3.01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3.01</v>
      </c>
      <c r="MD3" s="70">
        <f t="shared" ref="MD3:MD6" si="7">RANK(MC3,$MC$3:$MC$6,0)</f>
        <v>3</v>
      </c>
      <c r="ME3" s="70">
        <f>MD3</f>
        <v>3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2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0</v>
      </c>
      <c r="LQ4" s="71">
        <f>IF(OR(G20="",E20=""),0,IF(G20=E20,1,0))+IF(OR(G23="",E23=""),0,IF(G23=E23,1,0))+IF(OR(E25="",G25=""),0,IF(E25=G25,1,0))</f>
        <v>2</v>
      </c>
      <c r="LR4" s="71">
        <f>IF(OR(G20="",E20=""),0,IF(G20&lt;E20,1,0))+IF(OR(G23="",E23=""),0,IF(G23&lt;E23,1,0))+IF(OR(E25="",G25=""),0,IF(E25&lt;G25,1,0))</f>
        <v>1</v>
      </c>
      <c r="LS4" s="71">
        <f>G20+G23+E25</f>
        <v>2</v>
      </c>
      <c r="LT4" s="71">
        <f>E20+E23+G25</f>
        <v>4</v>
      </c>
      <c r="LU4" s="71">
        <f t="shared" si="1"/>
        <v>-2</v>
      </c>
      <c r="LV4" s="70">
        <f t="shared" si="2"/>
        <v>2</v>
      </c>
      <c r="LW4" s="70">
        <f t="shared" si="3"/>
        <v>-0.2</v>
      </c>
      <c r="LX4" s="70">
        <f t="shared" si="4"/>
        <v>0.02</v>
      </c>
      <c r="LY4" s="70">
        <f t="shared" si="5"/>
        <v>1.82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1.82</v>
      </c>
      <c r="MD4" s="70">
        <f t="shared" si="7"/>
        <v>4</v>
      </c>
      <c r="ME4" s="70">
        <f>IF(OR(AND(MD3=MD4,MD3=MD5,MD3=MD6),AND(MD4=MD3,MD4=MD5),AND(MD4=MD3,MD4=MD6),MD4=MD3),MD4+1,MD4)</f>
        <v>4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3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0</v>
      </c>
      <c r="LQ5" s="71">
        <f>IF(OR(E21="",G21=""),0,IF(E21=G21,1,0))+IF(OR(G22="",E22=""),0,IF(G22=E22,1,0))+IF(OR(G24="",E24=""),0,IF(G24=E24,1,0))</f>
        <v>3</v>
      </c>
      <c r="LR5" s="71">
        <f>IF(OR(E21="",G21=""),0,IF(E21&lt;G21,1,0))+IF(OR(G22="",E22=""),0,IF(G22&lt;E22,1,0))+IF(OR(G24="",E24=""),0,IF(G24&lt;E24,1,0))</f>
        <v>0</v>
      </c>
      <c r="LS5" s="71">
        <f>E21+G22+G24</f>
        <v>2</v>
      </c>
      <c r="LT5" s="71">
        <f>G21+E22+E24</f>
        <v>2</v>
      </c>
      <c r="LU5" s="71">
        <f t="shared" si="1"/>
        <v>0</v>
      </c>
      <c r="LV5" s="70">
        <f t="shared" si="2"/>
        <v>3</v>
      </c>
      <c r="LW5" s="70">
        <f t="shared" si="3"/>
        <v>0</v>
      </c>
      <c r="LX5" s="70">
        <f t="shared" si="4"/>
        <v>0.02</v>
      </c>
      <c r="LY5" s="70">
        <f t="shared" si="5"/>
        <v>3.02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3.02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1</v>
      </c>
      <c r="MH5" s="70" t="str">
        <f t="shared" si="9"/>
        <v>Catar</v>
      </c>
    </row>
    <row r="6" ht="22.5" customHeight="1">
      <c r="A6" s="222" t="s">
        <v>166</v>
      </c>
      <c r="B6" s="223"/>
      <c r="C6" s="223"/>
      <c r="D6" s="263" t="s">
        <v>184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5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1</v>
      </c>
      <c r="LQ6" s="71">
        <f>IF(OR(G21="",E21=""),0,IF(G21=E21,1,0))+IF(OR(E23="",G23=""),0,IF(E23=G23,1,0))+IF(OR(E25="",G25=""),0,IF(E25=G25,1,0))</f>
        <v>2</v>
      </c>
      <c r="LR6" s="71">
        <f>IF(OR(G21="",E21=""),0,IF(G21&lt;E21,1,0))+IF(OR(E23="",G23=""),0,IF(E23&lt;G23,1,0))+IF(OR(E25="",G25=""),0,IF(E25&lt;G25,1,0))</f>
        <v>0</v>
      </c>
      <c r="LS6" s="71">
        <f>G21+E23+E25</f>
        <v>4</v>
      </c>
      <c r="LT6" s="71">
        <f>E21+G23+G25</f>
        <v>2</v>
      </c>
      <c r="LU6" s="71">
        <f t="shared" si="1"/>
        <v>2</v>
      </c>
      <c r="LV6" s="70">
        <f t="shared" si="2"/>
        <v>5</v>
      </c>
      <c r="LW6" s="70">
        <f t="shared" si="3"/>
        <v>0.2</v>
      </c>
      <c r="LX6" s="70">
        <f t="shared" si="4"/>
        <v>0.04</v>
      </c>
      <c r="LY6" s="70">
        <f t="shared" si="5"/>
        <v>5.24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5.24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2</v>
      </c>
      <c r="MH6" s="70" t="str">
        <f t="shared" si="9"/>
        <v>Equador</v>
      </c>
    </row>
    <row r="7" ht="22.5" customHeight="1">
      <c r="A7" s="222" t="s">
        <v>167</v>
      </c>
      <c r="B7" s="223"/>
      <c r="C7" s="223"/>
      <c r="D7" s="264" t="s">
        <v>185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177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183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111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Oficial'!D113,20,IF(Bill!D11='Resultado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7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2</v>
      </c>
      <c r="LQ11" s="71">
        <f>IF(OR(E28="",G28=""),0,IF(E28=G28,1,0))+IF(OR(E31="",G31=""),0,IF(E31=G31,1,0))+IF(OR(G32="",E32=""),0,IF(G32=E32,1,0))</f>
        <v>1</v>
      </c>
      <c r="LR11" s="71">
        <f>IF(OR(E28="",G28=""),0,IF(E28&lt;G28,1,0))+IF(OR(E31="",G31=""),0,IF(E31&lt;G31,1,0))+IF(OR(G32="",E32=""),0,IF(G32&lt;E32,1,0))</f>
        <v>0</v>
      </c>
      <c r="LS11" s="71">
        <f>E28+E31+G32</f>
        <v>4</v>
      </c>
      <c r="LT11" s="71">
        <f>G28+G31+E32</f>
        <v>1</v>
      </c>
      <c r="LU11" s="71">
        <f t="shared" ref="LU11:LU14" si="10">LS11-LT11</f>
        <v>3</v>
      </c>
      <c r="LV11" s="70">
        <f t="shared" ref="LV11:LV14" si="11">LN11</f>
        <v>7</v>
      </c>
      <c r="LW11" s="70">
        <f t="shared" ref="LW11:LW14" si="12">LU11/10</f>
        <v>0.3</v>
      </c>
      <c r="LX11" s="70">
        <f t="shared" ref="LX11:LX14" si="13">LS11/100</f>
        <v>0.04</v>
      </c>
      <c r="LY11" s="70">
        <f t="shared" ref="LY11:LY14" si="14">SUM(LV11:LX11)</f>
        <v>7.34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7.34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64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Oficial'!D113,20,IF(Bill!D12='Resultado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0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3</v>
      </c>
      <c r="LS12" s="71">
        <f>G28+G30+E33</f>
        <v>1</v>
      </c>
      <c r="LT12" s="71">
        <f>E28+E30+G33</f>
        <v>5</v>
      </c>
      <c r="LU12" s="71">
        <f t="shared" si="10"/>
        <v>-4</v>
      </c>
      <c r="LV12" s="70">
        <f t="shared" si="11"/>
        <v>0</v>
      </c>
      <c r="LW12" s="70">
        <f t="shared" si="12"/>
        <v>-0.4</v>
      </c>
      <c r="LX12" s="70">
        <f t="shared" si="13"/>
        <v>0.01</v>
      </c>
      <c r="LY12" s="70">
        <f t="shared" si="14"/>
        <v>-0.39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-0.39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3</v>
      </c>
      <c r="MH12" s="70" t="str">
        <f t="shared" si="17"/>
        <v>Estados Unidos</v>
      </c>
    </row>
    <row r="13" ht="22.5" customHeight="1">
      <c r="A13" s="222" t="s">
        <v>139</v>
      </c>
      <c r="B13" s="223"/>
      <c r="C13" s="223"/>
      <c r="D13" s="208" t="s">
        <v>181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Oficial'!D112,20,IF(Bill!D13='Resultado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5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2</v>
      </c>
      <c r="LR13" s="71">
        <f>IF(OR(E29="",G29=""),0,IF(E29&lt;G29,1,0))+IF(OR(G31="",E31=""),0,IF(G31&lt;E31,1,0))+IF(OR(G33="",E33=""),0,IF(G33&lt;E33,1,0))</f>
        <v>0</v>
      </c>
      <c r="LS13" s="71">
        <f>E29+G31+G33</f>
        <v>3</v>
      </c>
      <c r="LT13" s="71">
        <f>G29+E31+E33</f>
        <v>2</v>
      </c>
      <c r="LU13" s="71">
        <f t="shared" si="10"/>
        <v>1</v>
      </c>
      <c r="LV13" s="70">
        <f t="shared" si="11"/>
        <v>5</v>
      </c>
      <c r="LW13" s="70">
        <f t="shared" si="12"/>
        <v>0.1</v>
      </c>
      <c r="LX13" s="70">
        <f t="shared" si="13"/>
        <v>0.03</v>
      </c>
      <c r="LY13" s="70">
        <f t="shared" si="14"/>
        <v>5.13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5.13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2</v>
      </c>
      <c r="MF13" s="70">
        <v>3.0</v>
      </c>
      <c r="MG13" s="70">
        <f t="shared" si="16"/>
        <v>4</v>
      </c>
      <c r="MH13" s="70" t="str">
        <f t="shared" si="17"/>
        <v>País de Gales</v>
      </c>
    </row>
    <row r="14" ht="22.5" customHeight="1">
      <c r="A14" s="222" t="s">
        <v>140</v>
      </c>
      <c r="B14" s="223"/>
      <c r="C14" s="223"/>
      <c r="D14" s="208" t="s">
        <v>71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Oficial'!D112,20,IF(Bill!D14='Resultado Oficial'!D113,20,0)))))</f>
        <v>20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4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1</v>
      </c>
      <c r="LQ14" s="71">
        <f>IF(OR(G29="",E29=""),0,IF(G29=E29,1,0))+IF(OR(E30="",G30=""),0,IF(E30=G30,1,0))+IF(OR(E32="",G32=""),0,IF(E32=G32,1,0))</f>
        <v>1</v>
      </c>
      <c r="LR14" s="71">
        <f>IF(OR(G29="",E29=""),0,IF(G29&lt;E29,1,0))+IF(OR(E30="",G30=""),0,IF(E30&lt;G30,1,0))+IF(OR(E32="",G32=""),0,IF(E32&lt;G32,1,0))</f>
        <v>1</v>
      </c>
      <c r="LS14" s="71">
        <f>G29+E30+E32</f>
        <v>3</v>
      </c>
      <c r="LT14" s="71">
        <f>E29+G30+G32</f>
        <v>3</v>
      </c>
      <c r="LU14" s="71">
        <f t="shared" si="10"/>
        <v>0</v>
      </c>
      <c r="LV14" s="70">
        <f t="shared" si="11"/>
        <v>4</v>
      </c>
      <c r="LW14" s="70">
        <f t="shared" si="12"/>
        <v>0</v>
      </c>
      <c r="LX14" s="70">
        <f t="shared" si="13"/>
        <v>0.03</v>
      </c>
      <c r="LY14" s="70">
        <f t="shared" si="14"/>
        <v>4.03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4.03</v>
      </c>
      <c r="MD14" s="70">
        <f>RANK($MC$14,$MC$11:$MC$14,0)</f>
        <v>3</v>
      </c>
      <c r="ME14" s="70">
        <f>IF(AND(MD11=MD12,MD11=MD13,MD11=MD14),MD14+3,IF(OR(AND(MD14=MD13,MD14=MD12),AND(MD14=MD12,MD14=MD11)),MD14+2,IF(OR(MD14=MD13,MD14=MD12,MD14=MD11),MD14+1,MD14)))</f>
        <v>3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98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4</v>
      </c>
      <c r="LT19" s="71">
        <f>G36+G39+E40</f>
        <v>1</v>
      </c>
      <c r="LU19" s="71">
        <f t="shared" ref="LU19:LU22" si="18">LS19-LT19</f>
        <v>3</v>
      </c>
      <c r="LV19" s="70">
        <f t="shared" ref="LV19:LV22" si="19">LN19</f>
        <v>7</v>
      </c>
      <c r="LW19" s="70">
        <f t="shared" ref="LW19:LW22" si="20">LU19/10</f>
        <v>0.3</v>
      </c>
      <c r="LX19" s="70">
        <f t="shared" ref="LX19:LX22" si="21">LS19/100</f>
        <v>0.04</v>
      </c>
      <c r="LY19" s="70">
        <f t="shared" ref="LY19:LY22" si="22">SUM(LV19:LX19)</f>
        <v>7.34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7.34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1.0</v>
      </c>
      <c r="F20" s="93" t="s">
        <v>72</v>
      </c>
      <c r="G20" s="94">
        <v>1.0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0</v>
      </c>
      <c r="LT20" s="71">
        <f>E36+E38+G41</f>
        <v>4</v>
      </c>
      <c r="LU20" s="71">
        <f t="shared" si="18"/>
        <v>-4</v>
      </c>
      <c r="LV20" s="70">
        <f t="shared" si="19"/>
        <v>0</v>
      </c>
      <c r="LW20" s="70">
        <f t="shared" si="20"/>
        <v>-0.4</v>
      </c>
      <c r="LX20" s="70">
        <f t="shared" si="21"/>
        <v>0</v>
      </c>
      <c r="LY20" s="70">
        <f t="shared" si="22"/>
        <v>-0.4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-0.4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1.0</v>
      </c>
      <c r="F21" s="106" t="s">
        <v>72</v>
      </c>
      <c r="G21" s="107">
        <v>1.0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0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3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0</v>
      </c>
      <c r="LR21" s="71">
        <f>IF(OR(E37="",G37=""),0,IF(E37&lt;G37,1,0))+IF(OR(G39="",E39=""),0,IF(G39&lt;E39,1,0))+IF(OR(G41="",E41=""),0,IF(G41&lt;E41,1,0))</f>
        <v>2</v>
      </c>
      <c r="LS21" s="71">
        <f>E37+G39+G41</f>
        <v>3</v>
      </c>
      <c r="LT21" s="71">
        <f>G37+E39+E41</f>
        <v>4</v>
      </c>
      <c r="LU21" s="71">
        <f t="shared" si="18"/>
        <v>-1</v>
      </c>
      <c r="LV21" s="70">
        <f t="shared" si="19"/>
        <v>3</v>
      </c>
      <c r="LW21" s="70">
        <f t="shared" si="20"/>
        <v>-0.1</v>
      </c>
      <c r="LX21" s="70">
        <f t="shared" si="21"/>
        <v>0.03</v>
      </c>
      <c r="LY21" s="70">
        <f t="shared" si="22"/>
        <v>2.93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2.93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0.0</v>
      </c>
      <c r="H22" s="117"/>
      <c r="I22" s="96" t="s">
        <v>61</v>
      </c>
      <c r="J22" s="97" t="s">
        <v>76</v>
      </c>
      <c r="K22" s="109"/>
      <c r="L22" s="118" t="str">
        <f>Bill!MH3</f>
        <v>Holanda</v>
      </c>
      <c r="M22" s="119">
        <f>VLOOKUP(L22,Bill!$LM$3:$LU$6,2,FALSE)</f>
        <v>5</v>
      </c>
      <c r="N22" s="120">
        <f>VLOOKUP(L22,Bill!$LM$3:$LU$6,3,FALSE)</f>
        <v>3</v>
      </c>
      <c r="O22" s="120">
        <f>VLOOKUP(L22,Bill!$LM$3:$LU$6,4,FALSE)</f>
        <v>1</v>
      </c>
      <c r="P22" s="120">
        <f>VLOOKUP(L22,Bill!$LM$3:$LU$6,5,FALSE)</f>
        <v>2</v>
      </c>
      <c r="Q22" s="120">
        <f>VLOOKUP(L22,Bill!$LM$3:$LU$6,6,FALSE)</f>
        <v>0</v>
      </c>
      <c r="R22" s="120">
        <f>VLOOKUP(L22,Bill!$LM$3:$LU$6,7,FALSE)</f>
        <v>4</v>
      </c>
      <c r="S22" s="120">
        <f>VLOOKUP(L22,Bill!$LM$3:$LU$6,8,FALSE)</f>
        <v>2</v>
      </c>
      <c r="T22" s="121">
        <f>VLOOKUP(L22,Bill!$LM$3:$LU$6,9,FALSE)</f>
        <v>2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0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7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1</v>
      </c>
      <c r="LQ22" s="71">
        <f>IF(OR(G37="",E37=""),0,IF(G37=E37,1,0))+IF(OR(E38="",G38=""),0,IF(E38=G38,1,0))+IF(OR(E40="",G40=""),0,IF(E40=G40,1,0))</f>
        <v>1</v>
      </c>
      <c r="LR22" s="71">
        <f>IF(OR(G37="",E37=""),0,IF(G37&lt;E37,1,0))+IF(OR(E38="",G38=""),0,IF(E38&lt;G38,1,0))+IF(OR(E40="",G40=""),0,IF(E40&lt;G40,1,0))</f>
        <v>0</v>
      </c>
      <c r="LS22" s="71">
        <f>G37+E38+E40</f>
        <v>3</v>
      </c>
      <c r="LT22" s="71">
        <f>E37+G38+G40</f>
        <v>1</v>
      </c>
      <c r="LU22" s="71">
        <f t="shared" si="18"/>
        <v>2</v>
      </c>
      <c r="LV22" s="70">
        <f t="shared" si="19"/>
        <v>7</v>
      </c>
      <c r="LW22" s="70">
        <f t="shared" si="20"/>
        <v>0.2</v>
      </c>
      <c r="LX22" s="70">
        <f t="shared" si="21"/>
        <v>0.03</v>
      </c>
      <c r="LY22" s="70">
        <f t="shared" si="22"/>
        <v>7.23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7.23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3.0</v>
      </c>
      <c r="F23" s="106" t="s">
        <v>72</v>
      </c>
      <c r="G23" s="107">
        <v>1.0</v>
      </c>
      <c r="H23" s="108"/>
      <c r="I23" s="96" t="s">
        <v>60</v>
      </c>
      <c r="J23" s="97" t="s">
        <v>80</v>
      </c>
      <c r="K23" s="109"/>
      <c r="L23" s="118" t="str">
        <f>Bill!MH4</f>
        <v>Senegal</v>
      </c>
      <c r="M23" s="119">
        <f>VLOOKUP(L23,Bill!$LM$3:$LU$6,2,FALSE)</f>
        <v>3</v>
      </c>
      <c r="N23" s="120">
        <f>VLOOKUP(L23,Bill!$LM$3:$LU$6,3,FALSE)</f>
        <v>3</v>
      </c>
      <c r="O23" s="120">
        <f>VLOOKUP(L23,Bill!$LM$3:$LU$6,4,FALSE)</f>
        <v>0</v>
      </c>
      <c r="P23" s="120">
        <f>VLOOKUP(L23,Bill!$LM$3:$LU$6,5,FALSE)</f>
        <v>3</v>
      </c>
      <c r="Q23" s="120">
        <f>VLOOKUP(L23,Bill!$LM$3:$LU$6,6,FALSE)</f>
        <v>0</v>
      </c>
      <c r="R23" s="120">
        <f>VLOOKUP(L23,Bill!$LM$3:$LU$6,7,FALSE)</f>
        <v>2</v>
      </c>
      <c r="S23" s="120">
        <f>VLOOKUP(L23,Bill!$LM$3:$LU$6,8,FALSE)</f>
        <v>2</v>
      </c>
      <c r="T23" s="121">
        <f>VLOOKUP(L23,Bill!$LM$3:$LU$6,9,FALSE)</f>
        <v>0</v>
      </c>
      <c r="U23" s="52"/>
      <c r="V23" s="59" t="s">
        <v>81</v>
      </c>
      <c r="W23" s="122" t="str">
        <f t="shared" si="26"/>
        <v>Senegal</v>
      </c>
      <c r="X23" s="236">
        <f>IF(AND(W23&lt;&gt;"",'Resultado Oficial'!W22&lt;&gt;"",'Resultado Oficial'!W23&lt;&gt;""),IF(W23='Resultado Oficial'!W23,5,IF(W23='Resultado Oficial'!W22,2,0)),"")</f>
        <v>5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1.0</v>
      </c>
      <c r="F24" s="106" t="s">
        <v>72</v>
      </c>
      <c r="G24" s="107">
        <v>1.0</v>
      </c>
      <c r="H24" s="108"/>
      <c r="I24" s="96" t="s">
        <v>61</v>
      </c>
      <c r="J24" s="97" t="s">
        <v>80</v>
      </c>
      <c r="K24" s="109"/>
      <c r="L24" s="118" t="str">
        <f>Bill!MH5</f>
        <v>Catar</v>
      </c>
      <c r="M24" s="119">
        <f>VLOOKUP(L24,Bill!$LM$3:$LU$6,2,FALSE)</f>
        <v>3</v>
      </c>
      <c r="N24" s="120">
        <f>VLOOKUP(L24,Bill!$LM$3:$LU$6,3,FALSE)</f>
        <v>3</v>
      </c>
      <c r="O24" s="120">
        <f>VLOOKUP(L24,Bill!$LM$3:$LU$6,4,FALSE)</f>
        <v>0</v>
      </c>
      <c r="P24" s="120">
        <f>VLOOKUP(L24,Bill!$LM$3:$LU$6,5,FALSE)</f>
        <v>3</v>
      </c>
      <c r="Q24" s="120">
        <f>VLOOKUP(L24,Bill!$LM$3:$LU$6,6,FALSE)</f>
        <v>0</v>
      </c>
      <c r="R24" s="120">
        <f>VLOOKUP(L24,Bill!$LM$3:$LU$6,7,FALSE)</f>
        <v>1</v>
      </c>
      <c r="S24" s="120">
        <f>VLOOKUP(L24,Bill!$LM$3:$LU$6,8,FALSE)</f>
        <v>1</v>
      </c>
      <c r="T24" s="121">
        <f>VLOOKUP(L24,Bill!$LM$3:$LU$6,9,FALSE)</f>
        <v>0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0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0.0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Bill!MH6</f>
        <v>Equador</v>
      </c>
      <c r="M25" s="125">
        <f>VLOOKUP(L25,Bill!$LM$3:$LU$6,2,FALSE)</f>
        <v>2</v>
      </c>
      <c r="N25" s="126">
        <f>VLOOKUP(L25,Bill!$LM$3:$LU$6,3,FALSE)</f>
        <v>3</v>
      </c>
      <c r="O25" s="126">
        <f>VLOOKUP(L25,Bill!$LM$3:$LU$6,4,FALSE)</f>
        <v>0</v>
      </c>
      <c r="P25" s="126">
        <f>VLOOKUP(L25,Bill!$LM$3:$LU$6,5,FALSE)</f>
        <v>2</v>
      </c>
      <c r="Q25" s="126">
        <f>VLOOKUP(L25,Bill!$LM$3:$LU$6,6,FALSE)</f>
        <v>1</v>
      </c>
      <c r="R25" s="126">
        <f>VLOOKUP(L25,Bill!$LM$3:$LU$6,7,FALSE)</f>
        <v>2</v>
      </c>
      <c r="S25" s="126">
        <f>VLOOKUP(L25,Bill!$LM$3:$LU$6,8,FALSE)</f>
        <v>4</v>
      </c>
      <c r="T25" s="127">
        <f>VLOOKUP(L25,Bill!$LM$3:$LU$6,9,FALSE)</f>
        <v>-2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0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6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2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1</v>
      </c>
      <c r="LS27" s="71">
        <f>E45+E47+G49</f>
        <v>5</v>
      </c>
      <c r="LT27" s="71">
        <f>G45+G47+E49</f>
        <v>2</v>
      </c>
      <c r="LU27" s="71">
        <f t="shared" ref="LU27:LU30" si="27">LS27-LT27</f>
        <v>3</v>
      </c>
      <c r="LV27" s="70">
        <f t="shared" ref="LV27:LV30" si="28">LN27</f>
        <v>6</v>
      </c>
      <c r="LW27" s="70">
        <f t="shared" ref="LW27:LW30" si="29">LU27/10</f>
        <v>0.3</v>
      </c>
      <c r="LX27" s="70">
        <f t="shared" ref="LX27:LX30" si="30">LS27/100</f>
        <v>0.05</v>
      </c>
      <c r="LY27" s="70">
        <f t="shared" ref="LY27:LY30" si="31">SUM(LV27:LX27)</f>
        <v>6.35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6.35</v>
      </c>
      <c r="MD27" s="70">
        <f>RANK($MC$27,$MC$27:$MC$30,0)</f>
        <v>2</v>
      </c>
      <c r="ME27" s="70">
        <f>MD27</f>
        <v>2</v>
      </c>
      <c r="MF27" s="70">
        <v>1.0</v>
      </c>
      <c r="MG27" s="70">
        <f t="shared" ref="MG27:MG30" si="33">MATCH(MF27,$ME$27:$ME$30,0)</f>
        <v>3</v>
      </c>
      <c r="MH27" s="70" t="str">
        <f t="shared" ref="MH27:MH30" si="34">INDEX($LM$27:$LM$30,MG27)</f>
        <v>Dinamarca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2.0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1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1</v>
      </c>
      <c r="LR28" s="71">
        <f>IF(OR(G45="",E45=""),0,IF(G45&lt;E45,1,0))+IF(OR(G46="",E46=""),0,IF(G46&lt;E46,1,0))+IF(OR(E48="",G48=""),0,IF(E48&lt;G48,1,0))</f>
        <v>2</v>
      </c>
      <c r="LS28" s="71">
        <f>G45+G46+E48</f>
        <v>1</v>
      </c>
      <c r="LT28" s="71">
        <f>E45+E46+G48</f>
        <v>4</v>
      </c>
      <c r="LU28" s="71">
        <f t="shared" si="27"/>
        <v>-3</v>
      </c>
      <c r="LV28" s="70">
        <f t="shared" si="28"/>
        <v>1</v>
      </c>
      <c r="LW28" s="70">
        <f t="shared" si="29"/>
        <v>-0.3</v>
      </c>
      <c r="LX28" s="70">
        <f t="shared" si="30"/>
        <v>0.01</v>
      </c>
      <c r="LY28" s="70">
        <f t="shared" si="31"/>
        <v>0.71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0.71</v>
      </c>
      <c r="MD28" s="70">
        <f>RANK($MC$28,$MC$27:$MC$30,0)</f>
        <v>4</v>
      </c>
      <c r="ME28" s="70">
        <f>IF(OR(AND(MD27=MD28,MD27=MD29,MD27=MD30),AND(MD28=MD27,MD28=MD29),AND(MD28=MD27,MD28=MD30),MD28=MD27),MD28+1,MD28)</f>
        <v>4</v>
      </c>
      <c r="MF28" s="70">
        <v>2.0</v>
      </c>
      <c r="MG28" s="70">
        <f t="shared" si="33"/>
        <v>1</v>
      </c>
      <c r="MH28" s="70" t="str">
        <f t="shared" si="34"/>
        <v>França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1.0</v>
      </c>
      <c r="F29" s="106" t="s">
        <v>72</v>
      </c>
      <c r="G29" s="107">
        <v>1.0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10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9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3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0</v>
      </c>
      <c r="LS29" s="71">
        <f>E44+G47+G48</f>
        <v>6</v>
      </c>
      <c r="LT29" s="71">
        <f>G44+E47+E48</f>
        <v>2</v>
      </c>
      <c r="LU29" s="71">
        <f t="shared" si="27"/>
        <v>4</v>
      </c>
      <c r="LV29" s="70">
        <f t="shared" si="28"/>
        <v>9</v>
      </c>
      <c r="LW29" s="70">
        <f t="shared" si="29"/>
        <v>0.4</v>
      </c>
      <c r="LX29" s="70">
        <f t="shared" si="30"/>
        <v>0.06</v>
      </c>
      <c r="LY29" s="70">
        <f t="shared" si="31"/>
        <v>9.46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9.46</v>
      </c>
      <c r="MD29" s="70">
        <f>RANK($MC$29,$MC$27:$MC$30,0)</f>
        <v>1</v>
      </c>
      <c r="ME29" s="70">
        <f>IF(OR(AND(MD27=MD28,MD27=MD29,MD27=MD30),AND(MD29=MD27,MD29=MD28)),MD29+2,IF(OR(AND(MD29=MD28,MD29=MD30),MD29=MD27,MD29=MD28),MD29+1,MD29))</f>
        <v>1</v>
      </c>
      <c r="MF29" s="70">
        <v>3.0</v>
      </c>
      <c r="MG29" s="70">
        <f t="shared" si="33"/>
        <v>4</v>
      </c>
      <c r="MH29" s="70" t="str">
        <f t="shared" si="34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2.0</v>
      </c>
      <c r="F30" s="115" t="s">
        <v>72</v>
      </c>
      <c r="G30" s="116">
        <v>1.0</v>
      </c>
      <c r="H30" s="117"/>
      <c r="I30" s="96" t="s">
        <v>65</v>
      </c>
      <c r="J30" s="97" t="s">
        <v>88</v>
      </c>
      <c r="K30" s="109"/>
      <c r="L30" s="118" t="str">
        <f>Bill!MH11</f>
        <v>Inglaterra</v>
      </c>
      <c r="M30" s="119">
        <f>VLOOKUP(L30,Bill!$LM$11:$LU$14,2,FALSE)</f>
        <v>7</v>
      </c>
      <c r="N30" s="120">
        <f>VLOOKUP(L30,Bill!$LM$11:$LU$14,3,FALSE)</f>
        <v>3</v>
      </c>
      <c r="O30" s="120">
        <f>VLOOKUP(L30,Bill!$LM$11:$LU$14,4,FALSE)</f>
        <v>2</v>
      </c>
      <c r="P30" s="120">
        <f>VLOOKUP(L30,Bill!$LM$11:$LU$14,5,FALSE)</f>
        <v>1</v>
      </c>
      <c r="Q30" s="120">
        <f>VLOOKUP(L30,Bill!$LM$11:$LU$14,6,FALSE)</f>
        <v>0</v>
      </c>
      <c r="R30" s="120">
        <f>VLOOKUP(L30,Bill!$LM$11:$LU$14,7,FALSE)</f>
        <v>4</v>
      </c>
      <c r="S30" s="120">
        <f>VLOOKUP(L30,Bill!$LM$11:$LU$14,8,FALSE)</f>
        <v>1</v>
      </c>
      <c r="T30" s="121">
        <f>VLOOKUP(L30,Bill!$LM$11:$LU$14,9,FALSE)</f>
        <v>3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2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2</v>
      </c>
      <c r="LS30" s="71">
        <f>G44+E46+E49</f>
        <v>2</v>
      </c>
      <c r="LT30" s="71">
        <f>E44+G46+G49</f>
        <v>6</v>
      </c>
      <c r="LU30" s="71">
        <f t="shared" si="27"/>
        <v>-4</v>
      </c>
      <c r="LV30" s="70">
        <f t="shared" si="28"/>
        <v>2</v>
      </c>
      <c r="LW30" s="70">
        <f t="shared" si="29"/>
        <v>-0.4</v>
      </c>
      <c r="LX30" s="70">
        <f t="shared" si="30"/>
        <v>0.02</v>
      </c>
      <c r="LY30" s="70">
        <f t="shared" si="31"/>
        <v>1.62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1.62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3"/>
        <v>2</v>
      </c>
      <c r="MH30" s="70" t="str">
        <f t="shared" si="34"/>
        <v>Austrália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1.0</v>
      </c>
      <c r="F31" s="106" t="s">
        <v>72</v>
      </c>
      <c r="G31" s="107">
        <v>1.0</v>
      </c>
      <c r="H31" s="108"/>
      <c r="I31" s="96" t="s">
        <v>66</v>
      </c>
      <c r="J31" s="97" t="s">
        <v>73</v>
      </c>
      <c r="K31" s="109"/>
      <c r="L31" s="118" t="str">
        <f>Bill!MH12</f>
        <v>Estados Unidos</v>
      </c>
      <c r="M31" s="119">
        <f>VLOOKUP(L31,Bill!$LM$11:$LU$14,2,FALSE)</f>
        <v>5</v>
      </c>
      <c r="N31" s="120">
        <f>VLOOKUP(L31,Bill!$LM$11:$LU$14,3,FALSE)</f>
        <v>3</v>
      </c>
      <c r="O31" s="120">
        <f>VLOOKUP(L31,Bill!$LM$11:$LU$14,4,FALSE)</f>
        <v>1</v>
      </c>
      <c r="P31" s="120">
        <f>VLOOKUP(L31,Bill!$LM$11:$LU$14,5,FALSE)</f>
        <v>2</v>
      </c>
      <c r="Q31" s="120">
        <f>VLOOKUP(L31,Bill!$LM$11:$LU$14,6,FALSE)</f>
        <v>0</v>
      </c>
      <c r="R31" s="120">
        <f>VLOOKUP(L31,Bill!$LM$11:$LU$14,7,FALSE)</f>
        <v>3</v>
      </c>
      <c r="S31" s="120">
        <f>VLOOKUP(L31,Bill!$LM$11:$LU$14,8,FALSE)</f>
        <v>2</v>
      </c>
      <c r="T31" s="121">
        <f>VLOOKUP(L31,Bill!$LM$11:$LU$14,9,FALSE)</f>
        <v>1</v>
      </c>
      <c r="U31" s="53"/>
      <c r="V31" s="59" t="s">
        <v>81</v>
      </c>
      <c r="W31" s="122" t="str">
        <f t="shared" si="35"/>
        <v>Estados Unidos</v>
      </c>
      <c r="X31" s="236">
        <f>IF(AND(W31&lt;&gt;"",'Resultado Oficial'!W30&lt;&gt;"",'Resultado Oficial'!W31&lt;&gt;""),IF(W31='Resultado Oficial'!W31,5,IF(W31='Resultado Oficial'!W30,2,0)),"")</f>
        <v>5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6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0.0</v>
      </c>
      <c r="F32" s="106" t="s">
        <v>72</v>
      </c>
      <c r="G32" s="107">
        <v>1.0</v>
      </c>
      <c r="H32" s="108"/>
      <c r="I32" s="96" t="s">
        <v>64</v>
      </c>
      <c r="J32" s="97" t="s">
        <v>88</v>
      </c>
      <c r="K32" s="109"/>
      <c r="L32" s="118" t="str">
        <f>Bill!MH13</f>
        <v>País de Gales</v>
      </c>
      <c r="M32" s="119">
        <f>VLOOKUP(L32,Bill!$LM$11:$LU$14,2,FALSE)</f>
        <v>4</v>
      </c>
      <c r="N32" s="120">
        <f>VLOOKUP(L32,Bill!$LM$11:$LU$14,3,FALSE)</f>
        <v>3</v>
      </c>
      <c r="O32" s="120">
        <f>VLOOKUP(L32,Bill!$LM$11:$LU$14,4,FALSE)</f>
        <v>1</v>
      </c>
      <c r="P32" s="120">
        <f>VLOOKUP(L32,Bill!$LM$11:$LU$14,5,FALSE)</f>
        <v>1</v>
      </c>
      <c r="Q32" s="120">
        <f>VLOOKUP(L32,Bill!$LM$11:$LU$14,6,FALSE)</f>
        <v>1</v>
      </c>
      <c r="R32" s="120">
        <f>VLOOKUP(L32,Bill!$LM$11:$LU$14,7,FALSE)</f>
        <v>3</v>
      </c>
      <c r="S32" s="120">
        <f>VLOOKUP(L32,Bill!$LM$11:$LU$14,8,FALSE)</f>
        <v>3</v>
      </c>
      <c r="T32" s="121">
        <f>VLOOKUP(L32,Bill!$LM$11:$LU$14,9,FALSE)</f>
        <v>0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106" t="s">
        <v>72</v>
      </c>
      <c r="G33" s="107">
        <v>1.0</v>
      </c>
      <c r="H33" s="108"/>
      <c r="I33" s="96" t="s">
        <v>66</v>
      </c>
      <c r="J33" s="97" t="s">
        <v>76</v>
      </c>
      <c r="K33" s="123"/>
      <c r="L33" s="124" t="str">
        <f>Bill!MH14</f>
        <v>Irã</v>
      </c>
      <c r="M33" s="125">
        <f>VLOOKUP(L33,Bill!$LM$11:$LU$14,2,FALSE)</f>
        <v>0</v>
      </c>
      <c r="N33" s="126">
        <f>VLOOKUP(L33,Bill!$LM$11:$LU$14,3,FALSE)</f>
        <v>3</v>
      </c>
      <c r="O33" s="126">
        <f>VLOOKUP(L33,Bill!$LM$11:$LU$14,4,FALSE)</f>
        <v>0</v>
      </c>
      <c r="P33" s="126">
        <f>VLOOKUP(L33,Bill!$LM$11:$LU$14,5,FALSE)</f>
        <v>0</v>
      </c>
      <c r="Q33" s="126">
        <f>VLOOKUP(L33,Bill!$LM$11:$LU$14,6,FALSE)</f>
        <v>3</v>
      </c>
      <c r="R33" s="126">
        <f>VLOOKUP(L33,Bill!$LM$11:$LU$14,7,FALSE)</f>
        <v>1</v>
      </c>
      <c r="S33" s="126">
        <f>VLOOKUP(L33,Bill!$LM$11:$LU$14,8,FALSE)</f>
        <v>5</v>
      </c>
      <c r="T33" s="127">
        <f>VLOOKUP(L33,Bill!$LM$11:$LU$14,9,FALSE)</f>
        <v>-4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10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1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7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1</v>
      </c>
      <c r="LR35" s="71">
        <f>IF(OR(E53="",G53=""),0,IF(E53&lt;G53,1,0))+IF(OR(E55="",G55=""),0,IF(E55&lt;G55,1,0))+IF(OR(G56="",E56=""),0,IF(G56&lt;E56,1,0))</f>
        <v>0</v>
      </c>
      <c r="LS35" s="71">
        <f>E53+E55+G56</f>
        <v>4</v>
      </c>
      <c r="LT35" s="71">
        <f>G53+G55+E56</f>
        <v>2</v>
      </c>
      <c r="LU35" s="71">
        <f t="shared" ref="LU35:LU38" si="36">LS35-LT35</f>
        <v>2</v>
      </c>
      <c r="LV35" s="70">
        <f t="shared" ref="LV35:LV38" si="37">LN35</f>
        <v>7</v>
      </c>
      <c r="LW35" s="70">
        <f t="shared" ref="LW35:LW38" si="38">LU35/10</f>
        <v>0.2</v>
      </c>
      <c r="LX35" s="70">
        <f t="shared" ref="LX35:LX38" si="39">LS35/100</f>
        <v>0.04</v>
      </c>
      <c r="LY35" s="70">
        <f t="shared" ref="LY35:LY38" si="40">SUM(LV35:LX35)</f>
        <v>7.24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7.24</v>
      </c>
      <c r="MD35" s="70">
        <f>RANK($MC$35,$MC$35:$MC$38,0)</f>
        <v>1</v>
      </c>
      <c r="ME35" s="70">
        <f>MD35</f>
        <v>1</v>
      </c>
      <c r="MF35" s="70">
        <v>1.0</v>
      </c>
      <c r="MG35" s="70">
        <f t="shared" ref="MG35:MG38" si="42">MATCH(MF35,$ME$35:$ME$38,0)</f>
        <v>1</v>
      </c>
      <c r="MH35" s="70" t="str">
        <f t="shared" ref="MH35:MH38" si="43">INDEX($LM$35:$LM$38,MG35)</f>
        <v>Espanha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2.0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1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1</v>
      </c>
      <c r="LR36" s="71">
        <f>IF(OR(G53="",E53=""),0,IF(G53&lt;E53,1,0))+IF(OR(G54="",E54=""),0,IF(G54&lt;E54,1,0))+IF(OR(E57="",G57=""),0,IF(E57&lt;G57,1,0))</f>
        <v>2</v>
      </c>
      <c r="LS36" s="71">
        <f>G53+G54+E57</f>
        <v>0</v>
      </c>
      <c r="LT36" s="71">
        <f>E53+E54+G57</f>
        <v>3</v>
      </c>
      <c r="LU36" s="71">
        <f t="shared" si="36"/>
        <v>-3</v>
      </c>
      <c r="LV36" s="70">
        <f t="shared" si="37"/>
        <v>1</v>
      </c>
      <c r="LW36" s="70">
        <f t="shared" si="38"/>
        <v>-0.3</v>
      </c>
      <c r="LX36" s="70">
        <f t="shared" si="39"/>
        <v>0</v>
      </c>
      <c r="LY36" s="70">
        <f t="shared" si="40"/>
        <v>0.7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0.7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3</v>
      </c>
      <c r="MH36" s="70" t="str">
        <f t="shared" si="43"/>
        <v>Alemanha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1.0</v>
      </c>
      <c r="F37" s="106" t="s">
        <v>72</v>
      </c>
      <c r="G37" s="107">
        <v>2.0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5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1</v>
      </c>
      <c r="LQ37" s="71">
        <f>IF(OR(E52="",G52=""),0,IF(E52=G52,1,0))+IF(OR(G55="",E55=""),0,IF(G55=E55,1,0))+IF(OR(G57="",E57=""),0,IF(G57=E57,1,0))</f>
        <v>2</v>
      </c>
      <c r="LR37" s="71">
        <f>IF(OR(E52="",G52=""),0,IF(E52&lt;G52,1,0))+IF(OR(G55="",E55=""),0,IF(G55&lt;E55,1,0))+IF(OR(G57="",E57=""),0,IF(G57&lt;E57,1,0))</f>
        <v>0</v>
      </c>
      <c r="LS37" s="71">
        <f>E52+G55+G57</f>
        <v>5</v>
      </c>
      <c r="LT37" s="71">
        <f>G52+E55+E57</f>
        <v>3</v>
      </c>
      <c r="LU37" s="71">
        <f t="shared" si="36"/>
        <v>2</v>
      </c>
      <c r="LV37" s="70">
        <f t="shared" si="37"/>
        <v>5</v>
      </c>
      <c r="LW37" s="70">
        <f t="shared" si="38"/>
        <v>0.2</v>
      </c>
      <c r="LX37" s="70">
        <f t="shared" si="39"/>
        <v>0.05</v>
      </c>
      <c r="LY37" s="70">
        <f t="shared" si="40"/>
        <v>5.25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5.25</v>
      </c>
      <c r="MD37" s="70">
        <f>RANK($MC$37,$MC$35:$MC$38,0)</f>
        <v>2</v>
      </c>
      <c r="ME37" s="70">
        <f>IF(OR(AND(MD35=MD36,MD35=MD37,MD35=MD38),AND(MD37=MD35,MD37=MD36)),MD37+2,IF(OR(AND(MD37=MD36,MD37=MD38),MD37=MD35,MD37=MD36),MD37+1,MD37))</f>
        <v>2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1.0</v>
      </c>
      <c r="F38" s="115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Bill!MH19</f>
        <v>Argentina</v>
      </c>
      <c r="M38" s="119">
        <f>VLOOKUP(L38,Bill!$LM$19:$LU$22,2,FALSE)</f>
        <v>7</v>
      </c>
      <c r="N38" s="120">
        <f>VLOOKUP(L38,Bill!$LM$19:$LU$22,3,FALSE)</f>
        <v>3</v>
      </c>
      <c r="O38" s="120">
        <f>VLOOKUP(L38,Bill!$LM$19:$LU$22,4,FALSE)</f>
        <v>2</v>
      </c>
      <c r="P38" s="120">
        <f>VLOOKUP(L38,Bill!$LM$19:$LU$22,5,FALSE)</f>
        <v>1</v>
      </c>
      <c r="Q38" s="120">
        <f>VLOOKUP(L38,Bill!$LM$19:$LU$22,6,FALSE)</f>
        <v>0</v>
      </c>
      <c r="R38" s="120">
        <f>VLOOKUP(L38,Bill!$LM$19:$LU$22,7,FALSE)</f>
        <v>4</v>
      </c>
      <c r="S38" s="120">
        <f>VLOOKUP(L38,Bill!$LM$19:$LU$22,8,FALSE)</f>
        <v>1</v>
      </c>
      <c r="T38" s="121">
        <f>VLOOKUP(L38,Bill!$LM$19:$LU$22,9,FALSE)</f>
        <v>3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2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2</v>
      </c>
      <c r="LR38" s="71">
        <f>IF(OR(G52="",E52=""),0,IF(G52&lt;E52,1,0))+IF(OR(E54="",G54=""),0,IF(E54&lt;G54,1,0))+IF(OR(E56="",G56=""),0,IF(E56&lt;G56,1,0))</f>
        <v>1</v>
      </c>
      <c r="LS38" s="71">
        <f>G52+E54+E56</f>
        <v>1</v>
      </c>
      <c r="LT38" s="71">
        <f>E52+G54+G56</f>
        <v>2</v>
      </c>
      <c r="LU38" s="71">
        <f t="shared" si="36"/>
        <v>-1</v>
      </c>
      <c r="LV38" s="70">
        <f t="shared" si="37"/>
        <v>2</v>
      </c>
      <c r="LW38" s="70">
        <f t="shared" si="38"/>
        <v>-0.1</v>
      </c>
      <c r="LX38" s="70">
        <f t="shared" si="39"/>
        <v>0.01</v>
      </c>
      <c r="LY38" s="70">
        <f t="shared" si="40"/>
        <v>1.91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1.91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2.0</v>
      </c>
      <c r="F39" s="106" t="s">
        <v>72</v>
      </c>
      <c r="G39" s="107">
        <v>1.0</v>
      </c>
      <c r="H39" s="108"/>
      <c r="I39" s="96" t="s">
        <v>77</v>
      </c>
      <c r="J39" s="97" t="s">
        <v>94</v>
      </c>
      <c r="K39" s="109"/>
      <c r="L39" s="118" t="str">
        <f>Bill!MH20</f>
        <v>Polônia</v>
      </c>
      <c r="M39" s="119">
        <f>VLOOKUP(L39,Bill!$LM$19:$LU$22,2,FALSE)</f>
        <v>7</v>
      </c>
      <c r="N39" s="120">
        <f>VLOOKUP(L39,Bill!$LM$19:$LU$22,3,FALSE)</f>
        <v>3</v>
      </c>
      <c r="O39" s="120">
        <f>VLOOKUP(L39,Bill!$LM$19:$LU$22,4,FALSE)</f>
        <v>1</v>
      </c>
      <c r="P39" s="120">
        <f>VLOOKUP(L39,Bill!$LM$19:$LU$22,5,FALSE)</f>
        <v>1</v>
      </c>
      <c r="Q39" s="120">
        <f>VLOOKUP(L39,Bill!$LM$19:$LU$22,6,FALSE)</f>
        <v>0</v>
      </c>
      <c r="R39" s="120">
        <f>VLOOKUP(L39,Bill!$LM$19:$LU$22,7,FALSE)</f>
        <v>3</v>
      </c>
      <c r="S39" s="120">
        <f>VLOOKUP(L39,Bill!$LM$19:$LU$22,8,FALSE)</f>
        <v>1</v>
      </c>
      <c r="T39" s="121">
        <f>VLOOKUP(L39,Bill!$LM$19:$LU$22,9,FALSE)</f>
        <v>2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0.0</v>
      </c>
      <c r="F40" s="106" t="s">
        <v>72</v>
      </c>
      <c r="G40" s="107">
        <v>0.0</v>
      </c>
      <c r="H40" s="108"/>
      <c r="I40" s="96" t="s">
        <v>71</v>
      </c>
      <c r="J40" s="97" t="s">
        <v>97</v>
      </c>
      <c r="K40" s="109"/>
      <c r="L40" s="118" t="str">
        <f>Bill!MH21</f>
        <v>México</v>
      </c>
      <c r="M40" s="119">
        <f>VLOOKUP(L40,Bill!$LM$19:$LU$22,2,FALSE)</f>
        <v>3</v>
      </c>
      <c r="N40" s="120">
        <f>VLOOKUP(L40,Bill!$LM$19:$LU$22,3,FALSE)</f>
        <v>3</v>
      </c>
      <c r="O40" s="120">
        <f>VLOOKUP(L40,Bill!$LM$19:$LU$22,4,FALSE)</f>
        <v>1</v>
      </c>
      <c r="P40" s="120">
        <f>VLOOKUP(L40,Bill!$LM$19:$LU$22,5,FALSE)</f>
        <v>0</v>
      </c>
      <c r="Q40" s="120">
        <f>VLOOKUP(L40,Bill!$LM$19:$LU$22,6,FALSE)</f>
        <v>2</v>
      </c>
      <c r="R40" s="120">
        <f>VLOOKUP(L40,Bill!$LM$19:$LU$22,7,FALSE)</f>
        <v>3</v>
      </c>
      <c r="S40" s="120">
        <f>VLOOKUP(L40,Bill!$LM$19:$LU$22,8,FALSE)</f>
        <v>4</v>
      </c>
      <c r="T40" s="121">
        <f>VLOOKUP(L40,Bill!$LM$19:$LU$22,9,FALSE)</f>
        <v>-1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0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0.0</v>
      </c>
      <c r="F41" s="106" t="s">
        <v>72</v>
      </c>
      <c r="G41" s="107">
        <v>1.0</v>
      </c>
      <c r="H41" s="108"/>
      <c r="I41" s="96" t="s">
        <v>77</v>
      </c>
      <c r="J41" s="97" t="s">
        <v>94</v>
      </c>
      <c r="K41" s="123"/>
      <c r="L41" s="124" t="str">
        <f>Bill!MH22</f>
        <v>Arábia Saudita</v>
      </c>
      <c r="M41" s="125">
        <f>VLOOKUP(L41,Bill!$LM$19:$LU$22,2,FALSE)</f>
        <v>0</v>
      </c>
      <c r="N41" s="126">
        <f>VLOOKUP(L41,Bill!$LM$19:$LU$22,3,FALSE)</f>
        <v>3</v>
      </c>
      <c r="O41" s="126">
        <f>VLOOKUP(L41,Bill!$LM$19:$LU$22,4,FALSE)</f>
        <v>0</v>
      </c>
      <c r="P41" s="126">
        <f>VLOOKUP(L41,Bill!$LM$19:$LU$22,5,FALSE)</f>
        <v>0</v>
      </c>
      <c r="Q41" s="126">
        <f>VLOOKUP(L41,Bill!$LM$19:$LU$22,6,FALSE)</f>
        <v>3</v>
      </c>
      <c r="R41" s="126">
        <f>VLOOKUP(L41,Bill!$LM$19:$LU$22,7,FALSE)</f>
        <v>0</v>
      </c>
      <c r="S41" s="126">
        <f>VLOOKUP(L41,Bill!$LM$19:$LU$22,8,FALSE)</f>
        <v>4</v>
      </c>
      <c r="T41" s="127">
        <f>VLOOKUP(L41,Bill!$LM$19:$LU$22,9,FALSE)</f>
        <v>-4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6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1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9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3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7</v>
      </c>
      <c r="LT43" s="71">
        <f>G61+G62+E64</f>
        <v>1</v>
      </c>
      <c r="LU43" s="71">
        <f t="shared" ref="LU43:LU46" si="45">LS43-LT43</f>
        <v>6</v>
      </c>
      <c r="LV43" s="70">
        <f t="shared" ref="LV43:LV46" si="46">LN43</f>
        <v>9</v>
      </c>
      <c r="LW43" s="70">
        <f t="shared" ref="LW43:LW46" si="47">LU43/10</f>
        <v>0.6</v>
      </c>
      <c r="LX43" s="70">
        <f t="shared" ref="LX43:LX46" si="48">LS43/100</f>
        <v>0.07</v>
      </c>
      <c r="LY43" s="70">
        <f t="shared" ref="LY43:LY46" si="49">SUM(LV43:LX43)</f>
        <v>9.67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9.67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3.0</v>
      </c>
      <c r="F44" s="106" t="s">
        <v>72</v>
      </c>
      <c r="G44" s="107">
        <v>1.0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1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2</v>
      </c>
      <c r="LS44" s="71">
        <f>G61+G63+E65</f>
        <v>2</v>
      </c>
      <c r="LT44" s="71">
        <f>E61+E63+G65</f>
        <v>5</v>
      </c>
      <c r="LU44" s="71">
        <f t="shared" si="45"/>
        <v>-3</v>
      </c>
      <c r="LV44" s="70">
        <f t="shared" si="46"/>
        <v>1</v>
      </c>
      <c r="LW44" s="70">
        <f t="shared" si="47"/>
        <v>-0.3</v>
      </c>
      <c r="LX44" s="70">
        <f t="shared" si="48"/>
        <v>0.02</v>
      </c>
      <c r="LY44" s="70">
        <f t="shared" si="49"/>
        <v>0.72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0.72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2.0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3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1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2</v>
      </c>
      <c r="LS45" s="71">
        <f>E60+G62+G65</f>
        <v>4</v>
      </c>
      <c r="LT45" s="71">
        <f>G60+E62+E65</f>
        <v>9</v>
      </c>
      <c r="LU45" s="71">
        <f t="shared" si="45"/>
        <v>-5</v>
      </c>
      <c r="LV45" s="70">
        <f t="shared" si="46"/>
        <v>3</v>
      </c>
      <c r="LW45" s="70">
        <f t="shared" si="47"/>
        <v>-0.5</v>
      </c>
      <c r="LX45" s="70">
        <f t="shared" si="48"/>
        <v>0.04</v>
      </c>
      <c r="LY45" s="70">
        <f t="shared" si="49"/>
        <v>2.54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2.54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1.0</v>
      </c>
      <c r="F46" s="115" t="s">
        <v>72</v>
      </c>
      <c r="G46" s="116">
        <v>1.0</v>
      </c>
      <c r="H46" s="117"/>
      <c r="I46" s="96" t="s">
        <v>87</v>
      </c>
      <c r="J46" s="97" t="s">
        <v>106</v>
      </c>
      <c r="K46" s="109"/>
      <c r="L46" s="118" t="str">
        <f>Bill!MH27</f>
        <v>Dinamarca</v>
      </c>
      <c r="M46" s="119">
        <f>VLOOKUP(L46,Bill!$LM$27:$LU$30,2,FALSE)</f>
        <v>9</v>
      </c>
      <c r="N46" s="120">
        <f>VLOOKUP(L46,Bill!$LM$27:$LU$30,3,FALSE)</f>
        <v>3</v>
      </c>
      <c r="O46" s="120">
        <f>VLOOKUP(L46,Bill!$LM$27:$LU$30,4,FALSE)</f>
        <v>3</v>
      </c>
      <c r="P46" s="120">
        <f>VLOOKUP(L46,Bill!$LM$27:$LU$30,5,FALSE)</f>
        <v>0</v>
      </c>
      <c r="Q46" s="120">
        <f>VLOOKUP(L46,Bill!$LM$27:$LU$30,6,FALSE)</f>
        <v>0</v>
      </c>
      <c r="R46" s="120">
        <f>VLOOKUP(L46,Bill!$LM$27:$LU$30,7,FALSE)</f>
        <v>6</v>
      </c>
      <c r="S46" s="120">
        <f>VLOOKUP(L46,Bill!$LM$27:$LU$30,8,FALSE)</f>
        <v>2</v>
      </c>
      <c r="T46" s="121">
        <f>VLOOKUP(L46,Bill!$LM$27:$LU$30,9,FALSE)</f>
        <v>4</v>
      </c>
      <c r="U46" s="53"/>
      <c r="V46" s="59" t="s">
        <v>78</v>
      </c>
      <c r="W46" s="122" t="str">
        <f t="shared" ref="W46:W47" si="53">IF(N46&lt;&gt;3,"",L46)</f>
        <v>Dinamarca</v>
      </c>
      <c r="X46" s="236">
        <f>IF(AND(W46&lt;&gt;"",'Resultado Oficial'!W46&lt;&gt;"",'Resultado Oficial'!W47&lt;&gt;""),IF(W46='Resultado Oficial'!W46,5,IF(W46='Resultado Oficial'!W47,2,0)),"")</f>
        <v>0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4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1</v>
      </c>
      <c r="LQ46" s="71">
        <f>IF(OR(G60="",E60=""),0,IF(G60=E60,1,0))+IF(OR(E63="",G63=""),0,IF(E63=G63,1,0))+IF(OR(E64="",G64=""),0,IF(E64=G64,1,0))</f>
        <v>1</v>
      </c>
      <c r="LR46" s="71">
        <f>IF(OR(G60="",E60=""),0,IF(G60&lt;E60,1,0))+IF(OR(E63="",G63=""),0,IF(E63&lt;G63,1,0))+IF(OR(E64="",G64=""),0,IF(E64&lt;G64,1,0))</f>
        <v>1</v>
      </c>
      <c r="LS46" s="71">
        <f>G60+E63+E64</f>
        <v>3</v>
      </c>
      <c r="LT46" s="71">
        <f>E60+G63+G64</f>
        <v>1</v>
      </c>
      <c r="LU46" s="71">
        <f t="shared" si="45"/>
        <v>2</v>
      </c>
      <c r="LV46" s="70">
        <f t="shared" si="46"/>
        <v>4</v>
      </c>
      <c r="LW46" s="70">
        <f t="shared" si="47"/>
        <v>0.2</v>
      </c>
      <c r="LX46" s="70">
        <f t="shared" si="48"/>
        <v>0.03</v>
      </c>
      <c r="LY46" s="70">
        <f t="shared" si="49"/>
        <v>4.23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4.23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2</v>
      </c>
      <c r="MH46" s="70" t="str">
        <f t="shared" si="52"/>
        <v>Canadá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1.0</v>
      </c>
      <c r="F47" s="106" t="s">
        <v>72</v>
      </c>
      <c r="G47" s="107">
        <v>2.0</v>
      </c>
      <c r="H47" s="108"/>
      <c r="I47" s="96" t="s">
        <v>89</v>
      </c>
      <c r="J47" s="97" t="s">
        <v>97</v>
      </c>
      <c r="K47" s="109"/>
      <c r="L47" s="118" t="str">
        <f>Bill!MH28</f>
        <v>França</v>
      </c>
      <c r="M47" s="119">
        <f>VLOOKUP(L47,Bill!$LM$27:$LU$30,2,FALSE)</f>
        <v>6</v>
      </c>
      <c r="N47" s="120">
        <f>VLOOKUP(L47,Bill!$LM$27:$LU$30,3,FALSE)</f>
        <v>3</v>
      </c>
      <c r="O47" s="120">
        <f>VLOOKUP(L47,Bill!$LM$27:$LU$30,4,FALSE)</f>
        <v>2</v>
      </c>
      <c r="P47" s="120">
        <f>VLOOKUP(L47,Bill!$LM$27:$LU$30,5,FALSE)</f>
        <v>0</v>
      </c>
      <c r="Q47" s="120">
        <f>VLOOKUP(L47,Bill!$LM$27:$LU$30,6,FALSE)</f>
        <v>1</v>
      </c>
      <c r="R47" s="120">
        <f>VLOOKUP(L47,Bill!$LM$27:$LU$30,7,FALSE)</f>
        <v>5</v>
      </c>
      <c r="S47" s="120">
        <f>VLOOKUP(L47,Bill!$LM$27:$LU$30,8,FALSE)</f>
        <v>2</v>
      </c>
      <c r="T47" s="121">
        <f>VLOOKUP(L47,Bill!$LM$27:$LU$30,9,FALSE)</f>
        <v>3</v>
      </c>
      <c r="U47" s="53"/>
      <c r="V47" s="59" t="s">
        <v>81</v>
      </c>
      <c r="W47" s="122" t="str">
        <f t="shared" si="53"/>
        <v>França</v>
      </c>
      <c r="X47" s="236">
        <f>IF(AND(W47&lt;&gt;"",'Resultado Oficial'!W46&lt;&gt;"",'Resultado Oficial'!W47&lt;&gt;""),IF(W47='Resultado Oficial'!W47,5,IF(W47='Resultado Oficial'!W46,2,0)),"")</f>
        <v>2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0.0</v>
      </c>
      <c r="F48" s="106" t="s">
        <v>72</v>
      </c>
      <c r="G48" s="107">
        <v>1.0</v>
      </c>
      <c r="H48" s="108"/>
      <c r="I48" s="96" t="s">
        <v>89</v>
      </c>
      <c r="J48" s="97" t="s">
        <v>106</v>
      </c>
      <c r="K48" s="109"/>
      <c r="L48" s="118" t="str">
        <f>Bill!MH29</f>
        <v>Tunísia</v>
      </c>
      <c r="M48" s="119">
        <f>VLOOKUP(L48,Bill!$LM$27:$LU$30,2,FALSE)</f>
        <v>2</v>
      </c>
      <c r="N48" s="120">
        <f>VLOOKUP(L48,Bill!$LM$27:$LU$30,3,FALSE)</f>
        <v>3</v>
      </c>
      <c r="O48" s="120">
        <f>VLOOKUP(L48,Bill!$LM$27:$LU$30,4,FALSE)</f>
        <v>0</v>
      </c>
      <c r="P48" s="120">
        <f>VLOOKUP(L48,Bill!$LM$27:$LU$30,5,FALSE)</f>
        <v>1</v>
      </c>
      <c r="Q48" s="120">
        <f>VLOOKUP(L48,Bill!$LM$27:$LU$30,6,FALSE)</f>
        <v>2</v>
      </c>
      <c r="R48" s="120">
        <f>VLOOKUP(L48,Bill!$LM$27:$LU$30,7,FALSE)</f>
        <v>2</v>
      </c>
      <c r="S48" s="120">
        <f>VLOOKUP(L48,Bill!$LM$27:$LU$30,8,FALSE)</f>
        <v>6</v>
      </c>
      <c r="T48" s="121">
        <f>VLOOKUP(L48,Bill!$LM$27:$LU$30,9,FALSE)</f>
        <v>-4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0.0</v>
      </c>
      <c r="F49" s="106" t="s">
        <v>72</v>
      </c>
      <c r="G49" s="107">
        <v>2.0</v>
      </c>
      <c r="H49" s="108"/>
      <c r="I49" s="96" t="s">
        <v>85</v>
      </c>
      <c r="J49" s="97" t="s">
        <v>99</v>
      </c>
      <c r="K49" s="123"/>
      <c r="L49" s="124" t="str">
        <f>Bill!MH30</f>
        <v>Austrália</v>
      </c>
      <c r="M49" s="125">
        <f>VLOOKUP(L49,Bill!$LM$27:$LU$30,2,FALSE)</f>
        <v>1</v>
      </c>
      <c r="N49" s="126">
        <f>VLOOKUP(L49,Bill!$LM$27:$LU$30,3,FALSE)</f>
        <v>3</v>
      </c>
      <c r="O49" s="126">
        <f>VLOOKUP(L49,Bill!$LM$27:$LU$30,4,FALSE)</f>
        <v>0</v>
      </c>
      <c r="P49" s="126">
        <f>VLOOKUP(L49,Bill!$LM$27:$LU$30,5,FALSE)</f>
        <v>1</v>
      </c>
      <c r="Q49" s="126">
        <f>VLOOKUP(L49,Bill!$LM$27:$LU$30,6,FALSE)</f>
        <v>2</v>
      </c>
      <c r="R49" s="126">
        <f>VLOOKUP(L49,Bill!$LM$27:$LU$30,7,FALSE)</f>
        <v>1</v>
      </c>
      <c r="S49" s="126">
        <f>VLOOKUP(L49,Bill!$LM$27:$LU$30,8,FALSE)</f>
        <v>4</v>
      </c>
      <c r="T49" s="127">
        <f>VLOOKUP(L49,Bill!$LM$27:$LU$30,9,FALSE)</f>
        <v>-3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7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2</v>
      </c>
      <c r="LQ51" s="71">
        <f>IF(OR(E69="",G69=""),0,IF(E69=G69,1,0))+IF(OR(E71="",G71=""),0,IF(E71=G71,1,0))+IF(OR(G73="",E73=""),0,IF(G73=E73,1,0))</f>
        <v>1</v>
      </c>
      <c r="LR51" s="71">
        <f>IF(OR(E69="",G69=""),0,IF(E69&lt;G69,1,0))+IF(OR(E71="",G71=""),0,IF(E71&lt;G71,1,0))+IF(OR(G73="",E73=""),0,IF(G73&lt;E73,1,0))</f>
        <v>0</v>
      </c>
      <c r="LS51" s="71">
        <f>E69+E71+G73</f>
        <v>5</v>
      </c>
      <c r="LT51" s="71">
        <f>G69+G71+E73</f>
        <v>2</v>
      </c>
      <c r="LU51" s="71">
        <f t="shared" ref="LU51:LU54" si="54">LS51-LT51</f>
        <v>3</v>
      </c>
      <c r="LV51" s="70">
        <f t="shared" ref="LV51:LV54" si="55">LN51</f>
        <v>7</v>
      </c>
      <c r="LW51" s="70">
        <f t="shared" ref="LW51:LW54" si="56">LU51/10</f>
        <v>0.3</v>
      </c>
      <c r="LX51" s="70">
        <f t="shared" ref="LX51:LX54" si="57">LS51/100</f>
        <v>0.05</v>
      </c>
      <c r="LY51" s="70">
        <f t="shared" ref="LY51:LY54" si="58">SUM(LV51:LX51)</f>
        <v>7.35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7.35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1.0</v>
      </c>
      <c r="F52" s="106" t="s">
        <v>72</v>
      </c>
      <c r="G52" s="107">
        <v>1.0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1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0</v>
      </c>
      <c r="LQ52" s="71">
        <f>IF(OR(G69="",E69=""),0,IF(G69=E69,1,0))+IF(OR(G70="",E70=""),0,IF(G70=E70,1,0))+IF(OR(E72="",G72=""),0,IF(E72=G72,1,0))</f>
        <v>1</v>
      </c>
      <c r="LR52" s="71">
        <f>IF(OR(G69="",E69=""),0,IF(G69&lt;E69,1,0))+IF(OR(G70="",E70=""),0,IF(G70&lt;E70,1,0))+IF(OR(E72="",G72=""),0,IF(E72&lt;G72,1,0))</f>
        <v>2</v>
      </c>
      <c r="LS52" s="71">
        <f>G69+G70+E72</f>
        <v>1</v>
      </c>
      <c r="LT52" s="71">
        <f>E69+E70+G72</f>
        <v>4</v>
      </c>
      <c r="LU52" s="71">
        <f t="shared" si="54"/>
        <v>-3</v>
      </c>
      <c r="LV52" s="70">
        <f t="shared" si="55"/>
        <v>1</v>
      </c>
      <c r="LW52" s="70">
        <f t="shared" si="56"/>
        <v>-0.3</v>
      </c>
      <c r="LX52" s="70">
        <f t="shared" si="57"/>
        <v>0.01</v>
      </c>
      <c r="LY52" s="70">
        <f t="shared" si="58"/>
        <v>0.71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0.71</v>
      </c>
      <c r="MD52" s="70">
        <f>RANK($MC$52,$MC$51:$MC$54,0)</f>
        <v>4</v>
      </c>
      <c r="ME52" s="70">
        <f>IF(OR(AND(MD51=MD52,MD51=MD53,MD51=MD54),AND(MD52=MD51,MD52=MD53),AND(MD52=MD51,MD52=MD54),MD52=MD51),MD52+1,MD52)</f>
        <v>4</v>
      </c>
      <c r="MF52" s="70">
        <v>2.0</v>
      </c>
      <c r="MG52" s="70">
        <f t="shared" si="60"/>
        <v>3</v>
      </c>
      <c r="MH52" s="70" t="str">
        <f t="shared" si="61"/>
        <v>Suiça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1.0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4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1</v>
      </c>
      <c r="LQ53" s="71">
        <f>IF(OR(E68="",G68=""),0,IF(E68=G68,1,0))+IF(OR(G71="",E71=""),0,IF(G71=E71,1,0))+IF(OR(G72="",E72=""),0,IF(G72=E72,1,0))</f>
        <v>1</v>
      </c>
      <c r="LR53" s="71">
        <f>IF(OR(E68="",G68=""),0,IF(E68&lt;G68,1,0))+IF(OR(G71="",E71=""),0,IF(G71&lt;E71,1,0))+IF(OR(G72="",E72=""),0,IF(G72&lt;E72,1,0))</f>
        <v>1</v>
      </c>
      <c r="LS53" s="71">
        <f>E68+G71+G72</f>
        <v>5</v>
      </c>
      <c r="LT53" s="71">
        <f>G68+E71+E72</f>
        <v>4</v>
      </c>
      <c r="LU53" s="71">
        <f t="shared" si="54"/>
        <v>1</v>
      </c>
      <c r="LV53" s="70">
        <f t="shared" si="55"/>
        <v>4</v>
      </c>
      <c r="LW53" s="70">
        <f t="shared" si="56"/>
        <v>0.1</v>
      </c>
      <c r="LX53" s="70">
        <f t="shared" si="57"/>
        <v>0.05</v>
      </c>
      <c r="LY53" s="70">
        <f t="shared" si="58"/>
        <v>4.15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4.15</v>
      </c>
      <c r="MD53" s="70">
        <f>RANK($MC$53,$MC$51:$MC$54,0)</f>
        <v>2</v>
      </c>
      <c r="ME53" s="70">
        <f>IF(OR(AND(MD51=MD52,MD51=MD53,MD51=MD54),AND(MD53=MD51,MD53=MD52)),MD53+2,IF(OR(AND(MD53=MD52,MD53=MD54),MD53=MD51,MD53=MD52),MD53+1,MD53))</f>
        <v>2</v>
      </c>
      <c r="MF53" s="70">
        <v>3.0</v>
      </c>
      <c r="MG53" s="70">
        <f t="shared" si="60"/>
        <v>4</v>
      </c>
      <c r="MH53" s="70" t="str">
        <f t="shared" si="61"/>
        <v>Camarões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0.0</v>
      </c>
      <c r="F54" s="115" t="s">
        <v>72</v>
      </c>
      <c r="G54" s="116">
        <v>0.0</v>
      </c>
      <c r="H54" s="117"/>
      <c r="I54" s="96" t="s">
        <v>96</v>
      </c>
      <c r="J54" s="97" t="s">
        <v>115</v>
      </c>
      <c r="K54" s="109"/>
      <c r="L54" s="118" t="str">
        <f>Bill!MH35</f>
        <v>Espanha</v>
      </c>
      <c r="M54" s="119">
        <f>VLOOKUP(L54,Bill!$LM$35:$LU$38,2,FALSE)</f>
        <v>7</v>
      </c>
      <c r="N54" s="120">
        <f>VLOOKUP(L54,Bill!$LM$35:$LU$38,3,FALSE)</f>
        <v>3</v>
      </c>
      <c r="O54" s="120">
        <f>VLOOKUP(L54,Bill!$LM$35:$LU$38,4,FALSE)</f>
        <v>2</v>
      </c>
      <c r="P54" s="120">
        <f>VLOOKUP(L54,Bill!$LM$35:$LU$38,5,FALSE)</f>
        <v>1</v>
      </c>
      <c r="Q54" s="120">
        <f>VLOOKUP(L54,Bill!$LM$35:$LU$38,6,FALSE)</f>
        <v>0</v>
      </c>
      <c r="R54" s="120">
        <f>VLOOKUP(L54,Bill!$LM$35:$LU$38,7,FALSE)</f>
        <v>4</v>
      </c>
      <c r="S54" s="120">
        <f>VLOOKUP(L54,Bill!$LM$35:$LU$38,8,FALSE)</f>
        <v>2</v>
      </c>
      <c r="T54" s="121">
        <f>VLOOKUP(L54,Bill!$LM$35:$LU$38,9,FALSE)</f>
        <v>2</v>
      </c>
      <c r="U54" s="53"/>
      <c r="V54" s="59" t="s">
        <v>78</v>
      </c>
      <c r="W54" s="122" t="str">
        <f t="shared" ref="W54:W55" si="62">IF(N54&lt;&gt;3,"",L54)</f>
        <v>Espanha</v>
      </c>
      <c r="X54" s="236">
        <f>IF(AND(W54&lt;&gt;"",'Resultado Oficial'!W54&lt;&gt;"",'Resultado Oficial'!W55&lt;&gt;""),IF(W54='Resultado Oficial'!W54,5,IF(W54='Resultado Oficial'!W55,2,0)),"")</f>
        <v>2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4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1</v>
      </c>
      <c r="LQ54" s="71">
        <f>IF(OR(G68="",E68=""),0,IF(G68=E68,1,0))+IF(OR(E70="",G70=""),0,IF(E70=G70,1,0))+IF(OR(E73="",G73=""),0,IF(E73=G73,1,0))</f>
        <v>1</v>
      </c>
      <c r="LR54" s="71">
        <f>IF(OR(G68="",E68=""),0,IF(G68&lt;E68,1,0))+IF(OR(E70="",G70=""),0,IF(E70&lt;G70,1,0))+IF(OR(E73="",G73=""),0,IF(E73&lt;G73,1,0))</f>
        <v>1</v>
      </c>
      <c r="LS54" s="71">
        <f>G68+E70+E73</f>
        <v>3</v>
      </c>
      <c r="LT54" s="71">
        <f>E68+G70+G73</f>
        <v>4</v>
      </c>
      <c r="LU54" s="71">
        <f t="shared" si="54"/>
        <v>-1</v>
      </c>
      <c r="LV54" s="70">
        <f t="shared" si="55"/>
        <v>4</v>
      </c>
      <c r="LW54" s="70">
        <f t="shared" si="56"/>
        <v>-0.1</v>
      </c>
      <c r="LX54" s="70">
        <f t="shared" si="57"/>
        <v>0.03</v>
      </c>
      <c r="LY54" s="70">
        <f t="shared" si="58"/>
        <v>3.93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3.93</v>
      </c>
      <c r="MD54" s="70">
        <f>RANK($MC$54,$MC$51:$MC$54,0)</f>
        <v>3</v>
      </c>
      <c r="ME54" s="70">
        <f>IF(AND(MD51=MD52,MD51=MD53,MD51=MD54),MD54+3,IF(OR(AND(MD54=MD53,MD54=MD52),AND(MD54=MD52,MD54=MD51)),MD54+2,IF(OR(MD54=MD53,MD54=MD52,MD54=MD51),MD54+1,MD54)))</f>
        <v>3</v>
      </c>
      <c r="MF54" s="70">
        <v>4.0</v>
      </c>
      <c r="MG54" s="70">
        <f t="shared" si="60"/>
        <v>2</v>
      </c>
      <c r="MH54" s="70" t="str">
        <f t="shared" si="61"/>
        <v>Sérvia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2.0</v>
      </c>
      <c r="F55" s="106" t="s">
        <v>72</v>
      </c>
      <c r="G55" s="107">
        <v>2.0</v>
      </c>
      <c r="H55" s="108"/>
      <c r="I55" s="96" t="s">
        <v>98</v>
      </c>
      <c r="J55" s="97" t="s">
        <v>73</v>
      </c>
      <c r="K55" s="109"/>
      <c r="L55" s="118" t="str">
        <f>Bill!MH36</f>
        <v>Alemanha</v>
      </c>
      <c r="M55" s="119">
        <f>VLOOKUP(L55,Bill!$LM$35:$LU$38,2,FALSE)</f>
        <v>5</v>
      </c>
      <c r="N55" s="120">
        <f>VLOOKUP(L55,Bill!$LM$35:$LU$38,3,FALSE)</f>
        <v>3</v>
      </c>
      <c r="O55" s="120">
        <f>VLOOKUP(L55,Bill!$LM$35:$LU$38,4,FALSE)</f>
        <v>1</v>
      </c>
      <c r="P55" s="120">
        <f>VLOOKUP(L55,Bill!$LM$35:$LU$38,5,FALSE)</f>
        <v>2</v>
      </c>
      <c r="Q55" s="120">
        <f>VLOOKUP(L55,Bill!$LM$35:$LU$38,6,FALSE)</f>
        <v>0</v>
      </c>
      <c r="R55" s="120">
        <f>VLOOKUP(L55,Bill!$LM$35:$LU$38,7,FALSE)</f>
        <v>5</v>
      </c>
      <c r="S55" s="120">
        <f>VLOOKUP(L55,Bill!$LM$35:$LU$38,8,FALSE)</f>
        <v>3</v>
      </c>
      <c r="T55" s="121">
        <f>VLOOKUP(L55,Bill!$LM$35:$LU$38,9,FALSE)</f>
        <v>2</v>
      </c>
      <c r="U55" s="53"/>
      <c r="V55" s="59" t="s">
        <v>81</v>
      </c>
      <c r="W55" s="122" t="str">
        <f t="shared" si="62"/>
        <v>Alemanha</v>
      </c>
      <c r="X55" s="236">
        <f>IF(AND(W55&lt;&gt;"",'Resultado Oficial'!W54&lt;&gt;"",'Resultado Oficial'!W55&lt;&gt;""),IF(W55='Resultado Oficial'!W55,5,IF(W55='Resultado Oficial'!W54,2,0)),"")</f>
        <v>0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6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0.0</v>
      </c>
      <c r="F56" s="106" t="s">
        <v>72</v>
      </c>
      <c r="G56" s="107">
        <v>1.0</v>
      </c>
      <c r="H56" s="108"/>
      <c r="I56" s="96" t="s">
        <v>93</v>
      </c>
      <c r="J56" s="97" t="s">
        <v>80</v>
      </c>
      <c r="K56" s="109"/>
      <c r="L56" s="118" t="str">
        <f>Bill!MH37</f>
        <v>Japão</v>
      </c>
      <c r="M56" s="119">
        <f>VLOOKUP(L56,Bill!$LM$35:$LU$38,2,FALSE)</f>
        <v>2</v>
      </c>
      <c r="N56" s="120">
        <f>VLOOKUP(L56,Bill!$LM$35:$LU$38,3,FALSE)</f>
        <v>3</v>
      </c>
      <c r="O56" s="120">
        <f>VLOOKUP(L56,Bill!$LM$35:$LU$38,4,FALSE)</f>
        <v>0</v>
      </c>
      <c r="P56" s="120">
        <f>VLOOKUP(L56,Bill!$LM$35:$LU$38,5,FALSE)</f>
        <v>2</v>
      </c>
      <c r="Q56" s="120">
        <f>VLOOKUP(L56,Bill!$LM$35:$LU$38,6,FALSE)</f>
        <v>1</v>
      </c>
      <c r="R56" s="120">
        <f>VLOOKUP(L56,Bill!$LM$35:$LU$38,7,FALSE)</f>
        <v>1</v>
      </c>
      <c r="S56" s="120">
        <f>VLOOKUP(L56,Bill!$LM$35:$LU$38,8,FALSE)</f>
        <v>2</v>
      </c>
      <c r="T56" s="121">
        <f>VLOOKUP(L56,Bill!$LM$35:$LU$38,9,FALSE)</f>
        <v>-1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106" t="s">
        <v>72</v>
      </c>
      <c r="G57" s="107">
        <v>2.0</v>
      </c>
      <c r="H57" s="108"/>
      <c r="I57" s="96" t="s">
        <v>98</v>
      </c>
      <c r="J57" s="97" t="s">
        <v>73</v>
      </c>
      <c r="K57" s="123"/>
      <c r="L57" s="124" t="str">
        <f>Bill!MH38</f>
        <v>Costa Rica</v>
      </c>
      <c r="M57" s="125">
        <f>VLOOKUP(L57,Bill!$LM$35:$LU$38,2,FALSE)</f>
        <v>1</v>
      </c>
      <c r="N57" s="126">
        <f>VLOOKUP(L57,Bill!$LM$35:$LU$38,3,FALSE)</f>
        <v>3</v>
      </c>
      <c r="O57" s="126">
        <f>VLOOKUP(L57,Bill!$LM$35:$LU$38,4,FALSE)</f>
        <v>0</v>
      </c>
      <c r="P57" s="126">
        <f>VLOOKUP(L57,Bill!$LM$35:$LU$38,5,FALSE)</f>
        <v>1</v>
      </c>
      <c r="Q57" s="126">
        <f>VLOOKUP(L57,Bill!$LM$35:$LU$38,6,FALSE)</f>
        <v>2</v>
      </c>
      <c r="R57" s="126">
        <f>VLOOKUP(L57,Bill!$LM$35:$LU$38,7,FALSE)</f>
        <v>0</v>
      </c>
      <c r="S57" s="126">
        <f>VLOOKUP(L57,Bill!$LM$35:$LU$38,8,FALSE)</f>
        <v>3</v>
      </c>
      <c r="T57" s="127">
        <f>VLOOKUP(L57,Bill!$LM$35:$LU$38,9,FALSE)</f>
        <v>-3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6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6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0</v>
      </c>
      <c r="LR59" s="71">
        <f>IF(OR(E77="",G77=""),0,IF(E77&lt;G77,1,0))+IF(OR(E79="",G79=""),0,IF(E79&lt;G79,1,0))+IF(OR(G81="",E81=""),0,IF(G81&lt;E81,1,0))</f>
        <v>1</v>
      </c>
      <c r="LS59" s="71">
        <f>E77+E79+G81</f>
        <v>4</v>
      </c>
      <c r="LT59" s="71">
        <f>G77+G79+E81</f>
        <v>2</v>
      </c>
      <c r="LU59" s="71">
        <f t="shared" ref="LU59:LU62" si="63">LS59-LT59</f>
        <v>2</v>
      </c>
      <c r="LV59" s="70">
        <f t="shared" ref="LV59:LV62" si="64">LN59</f>
        <v>6</v>
      </c>
      <c r="LW59" s="70">
        <f t="shared" ref="LW59:LW62" si="65">LU59/10</f>
        <v>0.2</v>
      </c>
      <c r="LX59" s="70">
        <f t="shared" ref="LX59:LX62" si="66">LS59/100</f>
        <v>0.04</v>
      </c>
      <c r="LY59" s="70">
        <f t="shared" ref="LY59:LY62" si="67">SUM(LV59:LX59)</f>
        <v>6.24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6.24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3.0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1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1</v>
      </c>
      <c r="LR60" s="71">
        <f>IF(OR(G77="",E77=""),0,IF(G77&lt;E77,1,0))+IF(OR(G78="",E78=""),0,IF(G78&lt;E78,1,0))+IF(OR(E80="",G80=""),0,IF(E80&lt;G80,1,0))</f>
        <v>2</v>
      </c>
      <c r="LS60" s="71">
        <f>G77+G78+E80</f>
        <v>1</v>
      </c>
      <c r="LT60" s="71">
        <f>E77+E78+G80</f>
        <v>4</v>
      </c>
      <c r="LU60" s="71">
        <f t="shared" si="63"/>
        <v>-3</v>
      </c>
      <c r="LV60" s="70">
        <f t="shared" si="64"/>
        <v>1</v>
      </c>
      <c r="LW60" s="70">
        <f t="shared" si="65"/>
        <v>-0.3</v>
      </c>
      <c r="LX60" s="70">
        <f t="shared" si="66"/>
        <v>0.01</v>
      </c>
      <c r="LY60" s="70">
        <f t="shared" si="67"/>
        <v>0.71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0.71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9"/>
        <v>4</v>
      </c>
      <c r="MH60" s="70" t="str">
        <f t="shared" si="70"/>
        <v>Coréia do Sul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2.0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2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0</v>
      </c>
      <c r="LQ61" s="71">
        <f>IF(OR(E76="",G76=""),0,IF(E76=G76,1,0))+IF(OR(G79="",E79=""),0,IF(G79=E79,1,0))+IF(OR(G80="",E80=""),0,IF(G80=E80,1,0))</f>
        <v>2</v>
      </c>
      <c r="LR61" s="71">
        <f>IF(OR(E76="",G76=""),0,IF(E76&lt;G76,1,0))+IF(OR(G79="",E79=""),0,IF(G79&lt;E79,1,0))+IF(OR(G80="",E80=""),0,IF(G80&lt;E80,1,0))</f>
        <v>1</v>
      </c>
      <c r="LS61" s="71">
        <f>E76+G79+G80</f>
        <v>3</v>
      </c>
      <c r="LT61" s="71">
        <f>G76+E79+E80</f>
        <v>4</v>
      </c>
      <c r="LU61" s="71">
        <f t="shared" si="63"/>
        <v>-1</v>
      </c>
      <c r="LV61" s="70">
        <f t="shared" si="64"/>
        <v>2</v>
      </c>
      <c r="LW61" s="70">
        <f t="shared" si="65"/>
        <v>-0.1</v>
      </c>
      <c r="LX61" s="70">
        <f t="shared" si="66"/>
        <v>0.03</v>
      </c>
      <c r="LY61" s="70">
        <f t="shared" si="67"/>
        <v>1.93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1.93</v>
      </c>
      <c r="MD61" s="70">
        <f>RANK($MC$61,$MC$59:$MC$62,0)</f>
        <v>3</v>
      </c>
      <c r="ME61" s="70">
        <f>IF(OR(AND(MD59=MD60,MD59=MD61,MD59=MD62),AND(MD61=MD59,MD61=MD60)),MD61+2,IF(OR(AND(MD61=MD60,MD61=MD62),MD61=MD59,MD61=MD60),MD61+1,MD61))</f>
        <v>3</v>
      </c>
      <c r="MF61" s="70">
        <v>3.0</v>
      </c>
      <c r="MG61" s="70">
        <f t="shared" si="69"/>
        <v>3</v>
      </c>
      <c r="MH61" s="70" t="str">
        <f t="shared" si="70"/>
        <v>Uruguai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4.0</v>
      </c>
      <c r="F62" s="115" t="s">
        <v>72</v>
      </c>
      <c r="G62" s="116">
        <v>1.0</v>
      </c>
      <c r="H62" s="117"/>
      <c r="I62" s="96" t="s">
        <v>107</v>
      </c>
      <c r="J62" s="97" t="s">
        <v>76</v>
      </c>
      <c r="K62" s="109"/>
      <c r="L62" s="118" t="str">
        <f>Bill!MH43</f>
        <v>Bélgica</v>
      </c>
      <c r="M62" s="119">
        <f>VLOOKUP(L62,Bill!$LM$43:$LU$46,2,FALSE)</f>
        <v>9</v>
      </c>
      <c r="N62" s="120">
        <f>VLOOKUP(L62,Bill!$LM$43:$LU$46,3,FALSE)</f>
        <v>3</v>
      </c>
      <c r="O62" s="120">
        <f>VLOOKUP(L62,Bill!$LM$43:$LU$46,4,FALSE)</f>
        <v>3</v>
      </c>
      <c r="P62" s="120">
        <f>VLOOKUP(L62,Bill!$LM$43:$LU$46,5,FALSE)</f>
        <v>0</v>
      </c>
      <c r="Q62" s="120">
        <f>VLOOKUP(L62,Bill!$LM$43:$LU$46,6,FALSE)</f>
        <v>0</v>
      </c>
      <c r="R62" s="120">
        <f>VLOOKUP(L62,Bill!$LM$43:$LU$46,7,FALSE)</f>
        <v>7</v>
      </c>
      <c r="S62" s="120">
        <f>VLOOKUP(L62,Bill!$LM$43:$LU$46,8,FALSE)</f>
        <v>1</v>
      </c>
      <c r="T62" s="121">
        <f>VLOOKUP(L62,Bill!$LM$43:$LU$46,9,FALSE)</f>
        <v>6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6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2</v>
      </c>
      <c r="LQ62" s="71">
        <f>IF(OR(G76="",E76=""),0,IF(G76=E76,1,0))+IF(OR(E78="",G78=""),0,IF(E78=G78,1,0))+IF(OR(E81="",G81=""),0,IF(E81=G81,1,0))</f>
        <v>1</v>
      </c>
      <c r="LR62" s="71">
        <f>IF(OR(G76="",E76=""),0,IF(G76&lt;E76,1,0))+IF(OR(E78="",G78=""),0,IF(E78&lt;G78,1,0))+IF(OR(E81="",G81=""),0,IF(E81&lt;G81,1,0))</f>
        <v>0</v>
      </c>
      <c r="LS62" s="71">
        <f>G76+E78+E81</f>
        <v>3</v>
      </c>
      <c r="LT62" s="71">
        <f>E76+G78+G81</f>
        <v>1</v>
      </c>
      <c r="LU62" s="71">
        <f t="shared" si="63"/>
        <v>2</v>
      </c>
      <c r="LV62" s="70">
        <f t="shared" si="64"/>
        <v>6</v>
      </c>
      <c r="LW62" s="70">
        <f t="shared" si="65"/>
        <v>0.2</v>
      </c>
      <c r="LX62" s="70">
        <f t="shared" si="66"/>
        <v>0.03</v>
      </c>
      <c r="LY62" s="70">
        <f t="shared" si="67"/>
        <v>6.23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6.23</v>
      </c>
      <c r="MD62" s="70">
        <f>RANK($MC$62,$MC$59:$MC$62,0)</f>
        <v>2</v>
      </c>
      <c r="ME62" s="70">
        <f>IF(AND(MD59=MD60,MD59=MD61,MD59=MD62),MD62+3,IF(OR(AND(MD62=MD61,MD62=MD60),AND(MD62=MD60,MD62=MD59)),MD62+2,IF(OR(MD62=MD61,MD62=MD60,MD62=MD59),MD62+1,MD62)))</f>
        <v>2</v>
      </c>
      <c r="MF62" s="70">
        <v>4.0</v>
      </c>
      <c r="MG62" s="70">
        <f t="shared" si="69"/>
        <v>2</v>
      </c>
      <c r="MH62" s="70" t="str">
        <f t="shared" si="70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0.0</v>
      </c>
      <c r="F63" s="106" t="s">
        <v>72</v>
      </c>
      <c r="G63" s="107">
        <v>0.0</v>
      </c>
      <c r="H63" s="108"/>
      <c r="I63" s="96" t="s">
        <v>105</v>
      </c>
      <c r="J63" s="97" t="s">
        <v>80</v>
      </c>
      <c r="K63" s="109"/>
      <c r="L63" s="118" t="str">
        <f>Bill!MH44</f>
        <v>Croácia</v>
      </c>
      <c r="M63" s="119">
        <f>VLOOKUP(L63,Bill!$LM$43:$LU$46,2,FALSE)</f>
        <v>4</v>
      </c>
      <c r="N63" s="120">
        <f>VLOOKUP(L63,Bill!$LM$43:$LU$46,3,FALSE)</f>
        <v>3</v>
      </c>
      <c r="O63" s="120">
        <f>VLOOKUP(L63,Bill!$LM$43:$LU$46,4,FALSE)</f>
        <v>1</v>
      </c>
      <c r="P63" s="120">
        <f>VLOOKUP(L63,Bill!$LM$43:$LU$46,5,FALSE)</f>
        <v>1</v>
      </c>
      <c r="Q63" s="120">
        <f>VLOOKUP(L63,Bill!$LM$43:$LU$46,6,FALSE)</f>
        <v>1</v>
      </c>
      <c r="R63" s="120">
        <f>VLOOKUP(L63,Bill!$LM$43:$LU$46,7,FALSE)</f>
        <v>3</v>
      </c>
      <c r="S63" s="120">
        <f>VLOOKUP(L63,Bill!$LM$43:$LU$46,8,FALSE)</f>
        <v>1</v>
      </c>
      <c r="T63" s="121">
        <f>VLOOKUP(L63,Bill!$LM$43:$LU$46,9,FALSE)</f>
        <v>2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0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0.0</v>
      </c>
      <c r="F64" s="106" t="s">
        <v>72</v>
      </c>
      <c r="G64" s="107">
        <v>1.0</v>
      </c>
      <c r="H64" s="108"/>
      <c r="I64" s="96" t="s">
        <v>103</v>
      </c>
      <c r="J64" s="97" t="s">
        <v>88</v>
      </c>
      <c r="K64" s="109"/>
      <c r="L64" s="118" t="str">
        <f>Bill!MH45</f>
        <v>Marrocos</v>
      </c>
      <c r="M64" s="119">
        <f>VLOOKUP(L64,Bill!$LM$43:$LU$46,2,FALSE)</f>
        <v>3</v>
      </c>
      <c r="N64" s="120">
        <f>VLOOKUP(L64,Bill!$LM$43:$LU$46,3,FALSE)</f>
        <v>3</v>
      </c>
      <c r="O64" s="120">
        <f>VLOOKUP(L64,Bill!$LM$43:$LU$46,4,FALSE)</f>
        <v>1</v>
      </c>
      <c r="P64" s="120">
        <f>VLOOKUP(L64,Bill!$LM$43:$LU$46,5,FALSE)</f>
        <v>0</v>
      </c>
      <c r="Q64" s="120">
        <f>VLOOKUP(L64,Bill!$LM$43:$LU$46,6,FALSE)</f>
        <v>2</v>
      </c>
      <c r="R64" s="120">
        <f>VLOOKUP(L64,Bill!$LM$43:$LU$46,7,FALSE)</f>
        <v>4</v>
      </c>
      <c r="S64" s="120">
        <f>VLOOKUP(L64,Bill!$LM$43:$LU$46,8,FALSE)</f>
        <v>9</v>
      </c>
      <c r="T64" s="121">
        <f>VLOOKUP(L64,Bill!$LM$43:$LU$46,9,FALSE)</f>
        <v>-5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2.0</v>
      </c>
      <c r="F65" s="106" t="s">
        <v>72</v>
      </c>
      <c r="G65" s="107">
        <v>3.0</v>
      </c>
      <c r="H65" s="108"/>
      <c r="I65" s="96" t="s">
        <v>107</v>
      </c>
      <c r="J65" s="97" t="s">
        <v>76</v>
      </c>
      <c r="K65" s="123"/>
      <c r="L65" s="124" t="str">
        <f>Bill!MH46</f>
        <v>Canadá</v>
      </c>
      <c r="M65" s="125">
        <f>VLOOKUP(L65,Bill!$LM$43:$LU$46,2,FALSE)</f>
        <v>1</v>
      </c>
      <c r="N65" s="126">
        <f>VLOOKUP(L65,Bill!$LM$43:$LU$46,3,FALSE)</f>
        <v>3</v>
      </c>
      <c r="O65" s="126">
        <f>VLOOKUP(L65,Bill!$LM$43:$LU$46,4,FALSE)</f>
        <v>0</v>
      </c>
      <c r="P65" s="126">
        <f>VLOOKUP(L65,Bill!$LM$43:$LU$46,5,FALSE)</f>
        <v>1</v>
      </c>
      <c r="Q65" s="126">
        <f>VLOOKUP(L65,Bill!$LM$43:$LU$46,6,FALSE)</f>
        <v>2</v>
      </c>
      <c r="R65" s="126">
        <f>VLOOKUP(L65,Bill!$LM$43:$LU$46,7,FALSE)</f>
        <v>2</v>
      </c>
      <c r="S65" s="126">
        <f>VLOOKUP(L65,Bill!$LM$43:$LU$46,8,FALSE)</f>
        <v>5</v>
      </c>
      <c r="T65" s="127">
        <f>VLOOKUP(L65,Bill!$LM$43:$LU$46,9,FALSE)</f>
        <v>-3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6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1.0</v>
      </c>
      <c r="F68" s="106" t="s">
        <v>72</v>
      </c>
      <c r="G68" s="107">
        <v>2.0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1.0</v>
      </c>
      <c r="F69" s="106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3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1.0</v>
      </c>
      <c r="F70" s="115" t="s">
        <v>72</v>
      </c>
      <c r="G70" s="116">
        <v>1.0</v>
      </c>
      <c r="H70" s="117"/>
      <c r="I70" s="96" t="s">
        <v>113</v>
      </c>
      <c r="J70" s="97" t="s">
        <v>106</v>
      </c>
      <c r="K70" s="109"/>
      <c r="L70" s="118" t="str">
        <f>Bill!MH51</f>
        <v>Brasil</v>
      </c>
      <c r="M70" s="119">
        <f>VLOOKUP(L70,Bill!$LM$51:$LU$54,2,FALSE)</f>
        <v>7</v>
      </c>
      <c r="N70" s="120">
        <f>VLOOKUP(L70,Bill!$LM$51:$LU$54,3,FALSE)</f>
        <v>3</v>
      </c>
      <c r="O70" s="120">
        <f>VLOOKUP(L70,Bill!$LM$51:$LU$54,4,FALSE)</f>
        <v>2</v>
      </c>
      <c r="P70" s="120">
        <f>VLOOKUP(L70,Bill!$LM$51:$LU$54,5,FALSE)</f>
        <v>1</v>
      </c>
      <c r="Q70" s="120">
        <f>VLOOKUP(L70,Bill!$LM$51:$LU$54,6,FALSE)</f>
        <v>0</v>
      </c>
      <c r="R70" s="120">
        <f>VLOOKUP(L70,Bill!$LM$51:$LU$54,7,FALSE)</f>
        <v>5</v>
      </c>
      <c r="S70" s="120">
        <f>VLOOKUP(L70,Bill!$LM$51:$LU$54,8,FALSE)</f>
        <v>2</v>
      </c>
      <c r="T70" s="121">
        <f>VLOOKUP(L70,Bill!$LM$51:$LU$54,9,FALSE)</f>
        <v>3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3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2.0</v>
      </c>
      <c r="F71" s="106" t="s">
        <v>72</v>
      </c>
      <c r="G71" s="107">
        <v>2.0</v>
      </c>
      <c r="H71" s="108"/>
      <c r="I71" s="96" t="s">
        <v>114</v>
      </c>
      <c r="J71" s="97" t="s">
        <v>97</v>
      </c>
      <c r="K71" s="109"/>
      <c r="L71" s="118" t="str">
        <f>Bill!MH52</f>
        <v>Suiça</v>
      </c>
      <c r="M71" s="119">
        <f>VLOOKUP(L71,Bill!$LM$51:$LU$54,2,FALSE)</f>
        <v>4</v>
      </c>
      <c r="N71" s="120">
        <f>VLOOKUP(L71,Bill!$LM$51:$LU$54,3,FALSE)</f>
        <v>3</v>
      </c>
      <c r="O71" s="120">
        <f>VLOOKUP(L71,Bill!$LM$51:$LU$54,4,FALSE)</f>
        <v>1</v>
      </c>
      <c r="P71" s="120">
        <f>VLOOKUP(L71,Bill!$LM$51:$LU$54,5,FALSE)</f>
        <v>1</v>
      </c>
      <c r="Q71" s="120">
        <f>VLOOKUP(L71,Bill!$LM$51:$LU$54,6,FALSE)</f>
        <v>1</v>
      </c>
      <c r="R71" s="120">
        <f>VLOOKUP(L71,Bill!$LM$51:$LU$54,7,FALSE)</f>
        <v>5</v>
      </c>
      <c r="S71" s="120">
        <f>VLOOKUP(L71,Bill!$LM$51:$LU$54,8,FALSE)</f>
        <v>4</v>
      </c>
      <c r="T71" s="121">
        <f>VLOOKUP(L71,Bill!$LM$51:$LU$54,9,FALSE)</f>
        <v>1</v>
      </c>
      <c r="U71" s="53"/>
      <c r="V71" s="59" t="s">
        <v>81</v>
      </c>
      <c r="W71" s="122" t="str">
        <f t="shared" si="72"/>
        <v>Suiça</v>
      </c>
      <c r="X71" s="236">
        <f>IF(AND(W71&lt;&gt;"",'Resultado Oficial'!W70&lt;&gt;"",'Resultado Oficial'!W71&lt;&gt;""),IF(W71='Resultado Oficial'!W71,5,IF(W71='Resultado Oficial'!W70,2,0)),"")</f>
        <v>5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0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0.0</v>
      </c>
      <c r="F72" s="106" t="s">
        <v>72</v>
      </c>
      <c r="G72" s="107">
        <v>2.0</v>
      </c>
      <c r="H72" s="108"/>
      <c r="I72" s="96" t="s">
        <v>114</v>
      </c>
      <c r="J72" s="97" t="s">
        <v>97</v>
      </c>
      <c r="K72" s="109"/>
      <c r="L72" s="118" t="str">
        <f>Bill!MH53</f>
        <v>Camarões</v>
      </c>
      <c r="M72" s="119">
        <f>VLOOKUP(L72,Bill!$LM$51:$LU$54,2,FALSE)</f>
        <v>4</v>
      </c>
      <c r="N72" s="120">
        <f>VLOOKUP(L72,Bill!$LM$51:$LU$54,3,FALSE)</f>
        <v>3</v>
      </c>
      <c r="O72" s="120">
        <f>VLOOKUP(L72,Bill!$LM$51:$LU$54,4,FALSE)</f>
        <v>1</v>
      </c>
      <c r="P72" s="120">
        <f>VLOOKUP(L72,Bill!$LM$51:$LU$54,5,FALSE)</f>
        <v>1</v>
      </c>
      <c r="Q72" s="120">
        <f>VLOOKUP(L72,Bill!$LM$51:$LU$54,6,FALSE)</f>
        <v>1</v>
      </c>
      <c r="R72" s="120">
        <f>VLOOKUP(L72,Bill!$LM$51:$LU$54,7,FALSE)</f>
        <v>3</v>
      </c>
      <c r="S72" s="120">
        <f>VLOOKUP(L72,Bill!$LM$51:$LU$54,8,FALSE)</f>
        <v>4</v>
      </c>
      <c r="T72" s="121">
        <f>VLOOKUP(L72,Bill!$LM$51:$LU$54,9,FALSE)</f>
        <v>-1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3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0.0</v>
      </c>
      <c r="F73" s="106" t="s">
        <v>72</v>
      </c>
      <c r="G73" s="107">
        <v>2.0</v>
      </c>
      <c r="H73" s="108"/>
      <c r="I73" s="96" t="s">
        <v>111</v>
      </c>
      <c r="J73" s="97" t="s">
        <v>94</v>
      </c>
      <c r="K73" s="123"/>
      <c r="L73" s="124" t="str">
        <f>Bill!MH54</f>
        <v>Sérvia</v>
      </c>
      <c r="M73" s="125">
        <f>VLOOKUP(L73,Bill!$LM$51:$LU$54,2,FALSE)</f>
        <v>1</v>
      </c>
      <c r="N73" s="126">
        <f>VLOOKUP(L73,Bill!$LM$51:$LU$54,3,FALSE)</f>
        <v>3</v>
      </c>
      <c r="O73" s="126">
        <f>VLOOKUP(L73,Bill!$LM$51:$LU$54,4,FALSE)</f>
        <v>0</v>
      </c>
      <c r="P73" s="126">
        <f>VLOOKUP(L73,Bill!$LM$51:$LU$54,5,FALSE)</f>
        <v>1</v>
      </c>
      <c r="Q73" s="126">
        <f>VLOOKUP(L73,Bill!$LM$51:$LU$54,6,FALSE)</f>
        <v>2</v>
      </c>
      <c r="R73" s="126">
        <f>VLOOKUP(L73,Bill!$LM$51:$LU$54,7,FALSE)</f>
        <v>1</v>
      </c>
      <c r="S73" s="126">
        <f>VLOOKUP(L73,Bill!$LM$51:$LU$54,8,FALSE)</f>
        <v>4</v>
      </c>
      <c r="T73" s="127">
        <f>VLOOKUP(L73,Bill!$LM$51:$LU$54,9,FALSE)</f>
        <v>-3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1.0</v>
      </c>
      <c r="F76" s="106" t="s">
        <v>72</v>
      </c>
      <c r="G76" s="107">
        <v>1.0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6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2.0</v>
      </c>
      <c r="F77" s="106" t="s">
        <v>72</v>
      </c>
      <c r="G77" s="107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3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1.0</v>
      </c>
      <c r="F78" s="115" t="s">
        <v>72</v>
      </c>
      <c r="G78" s="116">
        <v>0.0</v>
      </c>
      <c r="H78" s="117"/>
      <c r="I78" s="96" t="s">
        <v>121</v>
      </c>
      <c r="J78" s="97" t="s">
        <v>99</v>
      </c>
      <c r="K78" s="109"/>
      <c r="L78" s="118" t="str">
        <f>Bill!MH59</f>
        <v>Portugal</v>
      </c>
      <c r="M78" s="119">
        <f>VLOOKUP(L78,Bill!$LM$59:$LU$62,2,FALSE)</f>
        <v>6</v>
      </c>
      <c r="N78" s="120">
        <f>VLOOKUP(L78,Bill!$LM$59:$LU$62,3,FALSE)</f>
        <v>3</v>
      </c>
      <c r="O78" s="120">
        <f>VLOOKUP(L78,Bill!$LM$59:$LU$62,4,FALSE)</f>
        <v>2</v>
      </c>
      <c r="P78" s="120">
        <f>VLOOKUP(L78,Bill!$LM$59:$LU$62,5,FALSE)</f>
        <v>0</v>
      </c>
      <c r="Q78" s="120">
        <f>VLOOKUP(L78,Bill!$LM$59:$LU$62,6,FALSE)</f>
        <v>1</v>
      </c>
      <c r="R78" s="120">
        <f>VLOOKUP(L78,Bill!$LM$59:$LU$62,7,FALSE)</f>
        <v>4</v>
      </c>
      <c r="S78" s="120">
        <f>VLOOKUP(L78,Bill!$LM$59:$LU$62,8,FALSE)</f>
        <v>2</v>
      </c>
      <c r="T78" s="121">
        <f>VLOOKUP(L78,Bill!$LM$59:$LU$62,9,FALSE)</f>
        <v>2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2.0</v>
      </c>
      <c r="F79" s="106" t="s">
        <v>72</v>
      </c>
      <c r="G79" s="107">
        <v>1.0</v>
      </c>
      <c r="H79" s="108"/>
      <c r="I79" s="96" t="s">
        <v>122</v>
      </c>
      <c r="J79" s="97" t="s">
        <v>94</v>
      </c>
      <c r="K79" s="109"/>
      <c r="L79" s="118" t="str">
        <f>Bill!MH60</f>
        <v>Coréia do Sul</v>
      </c>
      <c r="M79" s="119">
        <f>VLOOKUP(L79,Bill!$LM$59:$LU$62,2,FALSE)</f>
        <v>6</v>
      </c>
      <c r="N79" s="120">
        <f>VLOOKUP(L79,Bill!$LM$59:$LU$62,3,FALSE)</f>
        <v>3</v>
      </c>
      <c r="O79" s="120">
        <f>VLOOKUP(L79,Bill!$LM$59:$LU$62,4,FALSE)</f>
        <v>2</v>
      </c>
      <c r="P79" s="120">
        <f>VLOOKUP(L79,Bill!$LM$59:$LU$62,5,FALSE)</f>
        <v>1</v>
      </c>
      <c r="Q79" s="120">
        <f>VLOOKUP(L79,Bill!$LM$59:$LU$62,6,FALSE)</f>
        <v>0</v>
      </c>
      <c r="R79" s="120">
        <f>VLOOKUP(L79,Bill!$LM$59:$LU$62,7,FALSE)</f>
        <v>3</v>
      </c>
      <c r="S79" s="120">
        <f>VLOOKUP(L79,Bill!$LM$59:$LU$62,8,FALSE)</f>
        <v>1</v>
      </c>
      <c r="T79" s="121">
        <f>VLOOKUP(L79,Bill!$LM$59:$LU$62,9,FALSE)</f>
        <v>2</v>
      </c>
      <c r="U79" s="53"/>
      <c r="V79" s="59" t="s">
        <v>81</v>
      </c>
      <c r="W79" s="122" t="str">
        <f t="shared" si="73"/>
        <v>Coréia do Sul</v>
      </c>
      <c r="X79" s="236">
        <f>IF(AND(W79&lt;&gt;"",'Resultado Oficial'!W78&lt;&gt;"",'Resultado Oficial'!W79&lt;&gt;""),IF(W79='Resultado Oficial'!W79,5,IF(W79='Resultado Oficial'!W78,2,0)),"")</f>
        <v>5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3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106" t="s">
        <v>72</v>
      </c>
      <c r="G80" s="107">
        <v>1.0</v>
      </c>
      <c r="H80" s="108"/>
      <c r="I80" s="96" t="s">
        <v>122</v>
      </c>
      <c r="J80" s="97" t="s">
        <v>106</v>
      </c>
      <c r="K80" s="109"/>
      <c r="L80" s="118" t="str">
        <f>Bill!MH61</f>
        <v>Uruguai</v>
      </c>
      <c r="M80" s="119">
        <f>VLOOKUP(L80,Bill!$LM$59:$LU$62,2,FALSE)</f>
        <v>2</v>
      </c>
      <c r="N80" s="120">
        <f>VLOOKUP(L80,Bill!$LM$59:$LU$62,3,FALSE)</f>
        <v>3</v>
      </c>
      <c r="O80" s="120">
        <f>VLOOKUP(L80,Bill!$LM$59:$LU$62,4,FALSE)</f>
        <v>0</v>
      </c>
      <c r="P80" s="120">
        <f>VLOOKUP(L80,Bill!$LM$59:$LU$62,5,FALSE)</f>
        <v>2</v>
      </c>
      <c r="Q80" s="120">
        <f>VLOOKUP(L80,Bill!$LM$59:$LU$62,6,FALSE)</f>
        <v>1</v>
      </c>
      <c r="R80" s="120">
        <f>VLOOKUP(L80,Bill!$LM$59:$LU$62,7,FALSE)</f>
        <v>3</v>
      </c>
      <c r="S80" s="120">
        <f>VLOOKUP(L80,Bill!$LM$59:$LU$62,8,FALSE)</f>
        <v>4</v>
      </c>
      <c r="T80" s="121">
        <f>VLOOKUP(L80,Bill!$LM$59:$LU$62,9,FALSE)</f>
        <v>-1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0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1.0</v>
      </c>
      <c r="F81" s="106" t="s">
        <v>72</v>
      </c>
      <c r="G81" s="107">
        <v>0.0</v>
      </c>
      <c r="H81" s="108"/>
      <c r="I81" s="96" t="s">
        <v>119</v>
      </c>
      <c r="J81" s="97" t="s">
        <v>99</v>
      </c>
      <c r="K81" s="123"/>
      <c r="L81" s="124" t="str">
        <f>Bill!MH62</f>
        <v>Gana</v>
      </c>
      <c r="M81" s="125">
        <f>VLOOKUP(L81,Bill!$LM$59:$LU$62,2,FALSE)</f>
        <v>1</v>
      </c>
      <c r="N81" s="126">
        <f>VLOOKUP(L81,Bill!$LM$59:$LU$62,3,FALSE)</f>
        <v>3</v>
      </c>
      <c r="O81" s="126">
        <f>VLOOKUP(L81,Bill!$LM$59:$LU$62,4,FALSE)</f>
        <v>0</v>
      </c>
      <c r="P81" s="126">
        <f>VLOOKUP(L81,Bill!$LM$59:$LU$62,5,FALSE)</f>
        <v>1</v>
      </c>
      <c r="Q81" s="126">
        <f>VLOOKUP(L81,Bill!$LM$59:$LU$62,6,FALSE)</f>
        <v>2</v>
      </c>
      <c r="R81" s="126">
        <f>VLOOKUP(L81,Bill!$LM$59:$LU$62,7,FALSE)</f>
        <v>1</v>
      </c>
      <c r="S81" s="126">
        <f>VLOOKUP(L81,Bill!$LM$59:$LU$62,8,FALSE)</f>
        <v>4</v>
      </c>
      <c r="T81" s="127">
        <f>VLOOKUP(L81,Bill!$LM$59:$LU$62,9,FALSE)</f>
        <v>-3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6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1.0</v>
      </c>
      <c r="F85" s="115"/>
      <c r="G85" s="260">
        <v>0.0</v>
      </c>
      <c r="H85" s="158"/>
      <c r="I85" s="157" t="str">
        <f>IF(N31=3,L31,"2º do grupo B")</f>
        <v>Estados Unidos</v>
      </c>
      <c r="J85" s="159"/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2.0</v>
      </c>
      <c r="F86" s="115"/>
      <c r="G86" s="260">
        <v>1.0</v>
      </c>
      <c r="H86" s="158"/>
      <c r="I86" s="157" t="str">
        <f>IF(N47=3,L47,"2º do grupo D")</f>
        <v>França</v>
      </c>
      <c r="J86" s="159"/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2.0</v>
      </c>
      <c r="F87" s="115"/>
      <c r="G87" s="260">
        <v>0.0</v>
      </c>
      <c r="H87" s="158"/>
      <c r="I87" s="157" t="str">
        <f>IF(N23=3,L23,"2º do grupo A")</f>
        <v>Senegal</v>
      </c>
      <c r="J87" s="159"/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Dinamarca</v>
      </c>
      <c r="D88" s="158"/>
      <c r="E88" s="259">
        <v>1.0</v>
      </c>
      <c r="F88" s="115"/>
      <c r="G88" s="260">
        <v>0.0</v>
      </c>
      <c r="H88" s="158"/>
      <c r="I88" s="157" t="str">
        <f>IF(N39=3,L39,"2º do grupo C")</f>
        <v>Polônia</v>
      </c>
      <c r="J88" s="159"/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Espanha</v>
      </c>
      <c r="D89" s="158"/>
      <c r="E89" s="259">
        <v>1.0</v>
      </c>
      <c r="F89" s="115"/>
      <c r="G89" s="260">
        <v>3.0</v>
      </c>
      <c r="H89" s="158"/>
      <c r="I89" s="157" t="str">
        <f>IF(N63=3,L63,"2º do grupo F")</f>
        <v>Croácia</v>
      </c>
      <c r="J89" s="159"/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3.0</v>
      </c>
      <c r="F90" s="115"/>
      <c r="G90" s="260">
        <v>1.0</v>
      </c>
      <c r="H90" s="158"/>
      <c r="I90" s="157" t="str">
        <f>IF(N79=3,L79,"2º do grupo H")</f>
        <v>Coréia do Sul</v>
      </c>
      <c r="J90" s="159"/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58"/>
      <c r="E91" s="259">
        <v>2.0</v>
      </c>
      <c r="F91" s="115"/>
      <c r="G91" s="260">
        <v>0.0</v>
      </c>
      <c r="H91" s="158"/>
      <c r="I91" s="157" t="str">
        <f>IF(N55=3,L55,"2º do grupo E")</f>
        <v>Alemanha</v>
      </c>
      <c r="J91" s="159"/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0.0</v>
      </c>
      <c r="F92" s="115"/>
      <c r="G92" s="260">
        <v>1.0</v>
      </c>
      <c r="H92" s="158"/>
      <c r="I92" s="157" t="str">
        <f>IF(N71=3,L71,"2º do grupo G")</f>
        <v>Suiça</v>
      </c>
      <c r="J92" s="159"/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58"/>
      <c r="E95" s="259">
        <v>1.0</v>
      </c>
      <c r="F95" s="115"/>
      <c r="G95" s="260">
        <v>3.0</v>
      </c>
      <c r="H95" s="158"/>
      <c r="I95" s="157" t="str">
        <f>IF(OR(G86="",E86="",AND(G86=E86,OR(H86="",D86=""))),"Vencedor do 50",IF(G86=E86,IF(H86&gt;D86,I86,C86),IF(G86&gt;E86,I86,C86)))</f>
        <v>Argentina</v>
      </c>
      <c r="J95" s="159"/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Brasil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Croácia</v>
      </c>
      <c r="D96" s="158"/>
      <c r="E96" s="259">
        <v>1.0</v>
      </c>
      <c r="F96" s="115"/>
      <c r="G96" s="260">
        <v>2.0</v>
      </c>
      <c r="H96" s="158"/>
      <c r="I96" s="157" t="str">
        <f>IF(OR(G90="",E90="",AND(G90=E90,OR(H90="",D90=""))),"Vencedor do 52",IF(G90=E90,IF(H90&gt;D90,I90,C90),IF(G90&gt;E90,I90,C90)))</f>
        <v>Brasil</v>
      </c>
      <c r="J96" s="159"/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58"/>
      <c r="E97" s="259">
        <v>1.0</v>
      </c>
      <c r="F97" s="115"/>
      <c r="G97" s="260">
        <v>0.0</v>
      </c>
      <c r="H97" s="158"/>
      <c r="I97" s="157" t="str">
        <f>IF(OR(G88="",E88="",AND(G88=E88,OR(H88="",D88=""))),"Vencedor do 54",IF(G88=E88,IF(H88&gt;D88,I88,C88),IF(G88&gt;E88,I88,C88)))</f>
        <v>Dinamarca</v>
      </c>
      <c r="J97" s="159"/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158"/>
      <c r="E98" s="259">
        <v>2.0</v>
      </c>
      <c r="F98" s="115"/>
      <c r="G98" s="260">
        <v>0.0</v>
      </c>
      <c r="H98" s="158"/>
      <c r="I98" s="157" t="str">
        <f>IF(OR(G92="",E92="",AND(G92=E92,OR(H92="",D92=""))),"Vencedor do 56",IF(G92=E92,IF(H92&gt;D92,I92,C92),IF(G92&gt;E92,I92,C92)))</f>
        <v>Suiça</v>
      </c>
      <c r="J98" s="159"/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58"/>
      <c r="E101" s="259">
        <v>0.0</v>
      </c>
      <c r="F101" s="115"/>
      <c r="G101" s="260">
        <v>2.0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/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Inglaterra</v>
      </c>
      <c r="D102" s="158"/>
      <c r="E102" s="259">
        <v>2.0</v>
      </c>
      <c r="F102" s="115"/>
      <c r="G102" s="260">
        <v>1.0</v>
      </c>
      <c r="H102" s="158"/>
      <c r="I102" s="157" t="str">
        <f>IF(OR(G98="",E98="",AND(G98=E98,OR(H98="",D98=""))),"Vencedor do 60",IF(G98=E98,IF(H98&gt;D98,I98,C98),IF(G98&gt;E98,I98,C98)))</f>
        <v>Bélgica</v>
      </c>
      <c r="J102" s="159"/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Argentina</v>
      </c>
      <c r="D105" s="158"/>
      <c r="E105" s="259">
        <v>1.0</v>
      </c>
      <c r="F105" s="115"/>
      <c r="G105" s="260">
        <v>2.0</v>
      </c>
      <c r="H105" s="158"/>
      <c r="I105" s="183" t="str">
        <f>IF(OR(G102="",E102="",AND(G102=E102,OR(H102="",D102=""))),"    ",IF(G102=E102,IF(H102&lt;D102,I102,C102),IF(G102&lt;E102,I102,C102)))</f>
        <v>Bélgica</v>
      </c>
      <c r="J105" s="159"/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Brasil</v>
      </c>
      <c r="D108" s="249"/>
      <c r="E108" s="250">
        <v>2.0</v>
      </c>
      <c r="F108" s="251" t="s">
        <v>72</v>
      </c>
      <c r="G108" s="252">
        <v>0.0</v>
      </c>
      <c r="H108" s="249"/>
      <c r="I108" s="202" t="str">
        <f>IF(OR(G102="",E102="",AND(G102=E102,OR(H102="",D102=""))),"  ",IF(G102=E102,IF(H102&gt;D102,I102,C102),IF(G102&gt;E102,I102,C102)))</f>
        <v>Inglaterra</v>
      </c>
      <c r="J108" s="253"/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3</v>
      </c>
      <c r="LS3" s="71">
        <f>E20+E22+G25</f>
        <v>2</v>
      </c>
      <c r="LT3" s="71">
        <f>G20+G22+E25</f>
        <v>9</v>
      </c>
      <c r="LU3" s="71">
        <f t="shared" ref="LU3:LU6" si="1">LS3-LT3</f>
        <v>-7</v>
      </c>
      <c r="LV3" s="70">
        <f t="shared" ref="LV3:LV6" si="2">LN3</f>
        <v>0</v>
      </c>
      <c r="LW3" s="70">
        <f t="shared" ref="LW3:LW6" si="3">LU3/10</f>
        <v>-0.7</v>
      </c>
      <c r="LX3" s="70">
        <f t="shared" ref="LX3:LX6" si="4">LS3/100</f>
        <v>0.02</v>
      </c>
      <c r="LY3" s="70">
        <f t="shared" ref="LY3:LY6" si="5">SUM(LV3:LX3)</f>
        <v>-0.68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-0.68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6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2</v>
      </c>
      <c r="LQ4" s="71">
        <f>IF(OR(G20="",E20=""),0,IF(G20=E20,1,0))+IF(OR(G23="",E23=""),0,IF(G23=E23,1,0))+IF(OR(E25="",G25=""),0,IF(E25=G25,1,0))</f>
        <v>0</v>
      </c>
      <c r="LR4" s="71">
        <f>IF(OR(G20="",E20=""),0,IF(G20&lt;E20,1,0))+IF(OR(G23="",E23=""),0,IF(G23&lt;E23,1,0))+IF(OR(E25="",G25=""),0,IF(E25&lt;G25,1,0))</f>
        <v>1</v>
      </c>
      <c r="LS4" s="71">
        <f>G20+G23+E25</f>
        <v>7</v>
      </c>
      <c r="LT4" s="71">
        <f>E20+E23+G25</f>
        <v>3</v>
      </c>
      <c r="LU4" s="71">
        <f t="shared" si="1"/>
        <v>4</v>
      </c>
      <c r="LV4" s="70">
        <f t="shared" si="2"/>
        <v>6</v>
      </c>
      <c r="LW4" s="70">
        <f t="shared" si="3"/>
        <v>0.4</v>
      </c>
      <c r="LX4" s="70">
        <f t="shared" si="4"/>
        <v>0.07</v>
      </c>
      <c r="LY4" s="70">
        <f t="shared" si="5"/>
        <v>6.47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6.47</v>
      </c>
      <c r="MD4" s="70">
        <f t="shared" si="7"/>
        <v>2</v>
      </c>
      <c r="ME4" s="70">
        <f>IF(OR(AND(MD3=MD4,MD3=MD5,MD3=MD6),AND(MD4=MD3,MD4=MD5),AND(MD4=MD3,MD4=MD6),MD4=MD3),MD4+1,MD4)</f>
        <v>2</v>
      </c>
      <c r="MF4" s="70">
        <v>2.0</v>
      </c>
      <c r="MG4" s="70">
        <f t="shared" si="8"/>
        <v>2</v>
      </c>
      <c r="MH4" s="70" t="str">
        <f t="shared" si="9"/>
        <v>Equador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3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1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2</v>
      </c>
      <c r="LS5" s="71">
        <f>E21+G22+G24</f>
        <v>5</v>
      </c>
      <c r="LT5" s="71">
        <f>G21+E22+E24</f>
        <v>5</v>
      </c>
      <c r="LU5" s="71">
        <f t="shared" si="1"/>
        <v>0</v>
      </c>
      <c r="LV5" s="70">
        <f t="shared" si="2"/>
        <v>3</v>
      </c>
      <c r="LW5" s="70">
        <f t="shared" si="3"/>
        <v>0</v>
      </c>
      <c r="LX5" s="70">
        <f t="shared" si="4"/>
        <v>0.05</v>
      </c>
      <c r="LY5" s="70">
        <f t="shared" si="5"/>
        <v>3.05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3.05</v>
      </c>
      <c r="MD5" s="70">
        <f t="shared" si="7"/>
        <v>3</v>
      </c>
      <c r="ME5" s="70">
        <f>IF(OR(AND(MD3=MD4,MD3=MD5,MD3=MD6),AND(MD5=MD3,MD5=MD4)),MD5+2,IF(OR(AND(MD5=MD4,MD5=MD6),MD5=MD3,MD5=MD4),MD5+1,MD5))</f>
        <v>3</v>
      </c>
      <c r="MF5" s="70">
        <v>3.0</v>
      </c>
      <c r="MG5" s="70">
        <f t="shared" si="8"/>
        <v>3</v>
      </c>
      <c r="MH5" s="70" t="str">
        <f t="shared" si="9"/>
        <v>Senegal</v>
      </c>
    </row>
    <row r="6" ht="22.5" customHeight="1">
      <c r="A6" s="222" t="s">
        <v>166</v>
      </c>
      <c r="B6" s="223"/>
      <c r="C6" s="223"/>
      <c r="D6" s="263" t="s">
        <v>186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7</v>
      </c>
      <c r="LT6" s="71">
        <f>E21+G23+G25</f>
        <v>2</v>
      </c>
      <c r="LU6" s="71">
        <f t="shared" si="1"/>
        <v>5</v>
      </c>
      <c r="LV6" s="70">
        <f t="shared" si="2"/>
        <v>9</v>
      </c>
      <c r="LW6" s="70">
        <f t="shared" si="3"/>
        <v>0.5</v>
      </c>
      <c r="LX6" s="70">
        <f t="shared" si="4"/>
        <v>0.07</v>
      </c>
      <c r="LY6" s="70">
        <f t="shared" si="5"/>
        <v>9.57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9.57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64" t="s">
        <v>187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178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188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174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Oficial'!D113,20,IF('Zé Augusto'!D11='Resultado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6</v>
      </c>
      <c r="LT11" s="71">
        <f>G28+G31+E32</f>
        <v>2</v>
      </c>
      <c r="LU11" s="71">
        <f t="shared" ref="LU11:LU14" si="10">LS11-LT11</f>
        <v>4</v>
      </c>
      <c r="LV11" s="70">
        <f t="shared" ref="LV11:LV14" si="11">LN11</f>
        <v>9</v>
      </c>
      <c r="LW11" s="70">
        <f t="shared" ref="LW11:LW14" si="12">LU11/10</f>
        <v>0.4</v>
      </c>
      <c r="LX11" s="70">
        <f t="shared" ref="LX11:LX14" si="13">LS11/100</f>
        <v>0.06</v>
      </c>
      <c r="LY11" s="70">
        <f t="shared" ref="LY11:LY14" si="14">SUM(LV11:LX11)</f>
        <v>9.46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9.46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189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Oficial'!D113,20,IF('Zé Augusto'!D12='Resultado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1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1</v>
      </c>
      <c r="LR12" s="71">
        <f>IF(OR(G28="",E28=""),0,IF(G28&lt;E28,1,0))+IF(OR(G30="",E30=""),0,IF(G30&lt;E30,1,0))+IF(OR(E33="",G33=""),0,IF(E33&lt;G33,1,0))</f>
        <v>2</v>
      </c>
      <c r="LS12" s="71">
        <f>G28+G30+E33</f>
        <v>2</v>
      </c>
      <c r="LT12" s="71">
        <f>E28+E30+G33</f>
        <v>5</v>
      </c>
      <c r="LU12" s="71">
        <f t="shared" si="10"/>
        <v>-3</v>
      </c>
      <c r="LV12" s="70">
        <f t="shared" si="11"/>
        <v>1</v>
      </c>
      <c r="LW12" s="70">
        <f t="shared" si="12"/>
        <v>-0.3</v>
      </c>
      <c r="LX12" s="70">
        <f t="shared" si="13"/>
        <v>0.02</v>
      </c>
      <c r="LY12" s="70">
        <f t="shared" si="14"/>
        <v>0.72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0.72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4</v>
      </c>
      <c r="MH12" s="70" t="str">
        <f t="shared" si="17"/>
        <v>País de Gales</v>
      </c>
    </row>
    <row r="13" ht="22.5" customHeight="1">
      <c r="A13" s="222" t="s">
        <v>139</v>
      </c>
      <c r="B13" s="223"/>
      <c r="C13" s="223"/>
      <c r="D13" s="208" t="s">
        <v>176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Oficial'!D112,20,IF('Zé Augusto'!D13='Resultado Oficial'!D114,20,0)))))</f>
        <v>20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2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0</v>
      </c>
      <c r="LQ13" s="71">
        <f>IF(OR(E29="",G29=""),0,IF(E29=G29,1,0))+IF(OR(G31="",E31=""),0,IF(G31=E31,1,0))+IF(OR(G33="",E33=""),0,IF(G33=E33,1,0))</f>
        <v>2</v>
      </c>
      <c r="LR13" s="71">
        <f>IF(OR(E29="",G29=""),0,IF(E29&lt;G29,1,0))+IF(OR(G31="",E31=""),0,IF(G31&lt;E31,1,0))+IF(OR(G33="",E33=""),0,IF(G33&lt;E33,1,0))</f>
        <v>1</v>
      </c>
      <c r="LS13" s="71">
        <f>E29+G31+G33</f>
        <v>4</v>
      </c>
      <c r="LT13" s="71">
        <f>G29+E31+E33</f>
        <v>5</v>
      </c>
      <c r="LU13" s="71">
        <f t="shared" si="10"/>
        <v>-1</v>
      </c>
      <c r="LV13" s="70">
        <f t="shared" si="11"/>
        <v>2</v>
      </c>
      <c r="LW13" s="70">
        <f t="shared" si="12"/>
        <v>-0.1</v>
      </c>
      <c r="LX13" s="70">
        <f t="shared" si="13"/>
        <v>0.04</v>
      </c>
      <c r="LY13" s="70">
        <f t="shared" si="14"/>
        <v>1.94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1.94</v>
      </c>
      <c r="MD13" s="70">
        <f>RANK($MC$13,$MC$11:$MC$14,0)</f>
        <v>3</v>
      </c>
      <c r="ME13" s="70">
        <f>IF(OR(AND(MD11=MD12,MD11=MD13,MD11=MD14),AND(MD13=MD11,MD13=MD12)),MD13+2,IF(OR(AND(MD13=MD12,MD13=MD14),MD13=MD11,MD13=MD12),MD13+1,MD13))</f>
        <v>3</v>
      </c>
      <c r="MF13" s="70">
        <v>3.0</v>
      </c>
      <c r="MG13" s="70">
        <f t="shared" si="16"/>
        <v>3</v>
      </c>
      <c r="MH13" s="70" t="str">
        <f t="shared" si="17"/>
        <v>Estados Unidos</v>
      </c>
    </row>
    <row r="14" ht="22.5" customHeight="1">
      <c r="A14" s="222" t="s">
        <v>140</v>
      </c>
      <c r="B14" s="223"/>
      <c r="C14" s="223"/>
      <c r="D14" s="208" t="s">
        <v>190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Oficial'!D112,20,IF('Zé Augusto'!D14='Resultado Oficial'!D113,20,0)))))</f>
        <v>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4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1</v>
      </c>
      <c r="LQ14" s="71">
        <f>IF(OR(G29="",E29=""),0,IF(G29=E29,1,0))+IF(OR(E30="",G30=""),0,IF(E30=G30,1,0))+IF(OR(E32="",G32=""),0,IF(E32=G32,1,0))</f>
        <v>1</v>
      </c>
      <c r="LR14" s="71">
        <f>IF(OR(G29="",E29=""),0,IF(G29&lt;E29,1,0))+IF(OR(E30="",G30=""),0,IF(E30&lt;G30,1,0))+IF(OR(E32="",G32=""),0,IF(E32&lt;G32,1,0))</f>
        <v>1</v>
      </c>
      <c r="LS14" s="71">
        <f>G29+E30+E32</f>
        <v>5</v>
      </c>
      <c r="LT14" s="71">
        <f>E29+G30+G32</f>
        <v>5</v>
      </c>
      <c r="LU14" s="71">
        <f t="shared" si="10"/>
        <v>0</v>
      </c>
      <c r="LV14" s="70">
        <f t="shared" si="11"/>
        <v>4</v>
      </c>
      <c r="LW14" s="70">
        <f t="shared" si="12"/>
        <v>0</v>
      </c>
      <c r="LX14" s="70">
        <f t="shared" si="13"/>
        <v>0.05</v>
      </c>
      <c r="LY14" s="70">
        <f t="shared" si="14"/>
        <v>4.05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4.05</v>
      </c>
      <c r="MD14" s="70">
        <f>RANK($MC$14,$MC$11:$MC$14,0)</f>
        <v>2</v>
      </c>
      <c r="ME14" s="70">
        <f>IF(AND(MD11=MD12,MD11=MD13,MD11=MD14),MD14+3,IF(OR(AND(MD14=MD13,MD14=MD12),AND(MD14=MD12,MD14=MD11)),MD14+2,IF(OR(MD14=MD13,MD14=MD12,MD14=MD11),MD14+1,MD14)))</f>
        <v>2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123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9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3</v>
      </c>
      <c r="LQ19" s="71">
        <f>IF(OR(E36="",G36=""),0,IF(E36=G36,1,0))+IF(OR(E39="",G39=""),0,IF(E39=G39,1,0))+IF(OR(G40="",E40=""),0,IF(G40=E40,1,0))</f>
        <v>0</v>
      </c>
      <c r="LR19" s="71">
        <f>IF(OR(E36="",G36=""),0,IF(E36&lt;G36,1,0))+IF(OR(E39="",G39=""),0,IF(E39&lt;G39,1,0))+IF(OR(G40="",E40=""),0,IF(G40&lt;E40,1,0))</f>
        <v>0</v>
      </c>
      <c r="LS19" s="71">
        <f>E36+E39+G40</f>
        <v>6</v>
      </c>
      <c r="LT19" s="71">
        <f>G36+G39+E40</f>
        <v>1</v>
      </c>
      <c r="LU19" s="71">
        <f t="shared" ref="LU19:LU22" si="18">LS19-LT19</f>
        <v>5</v>
      </c>
      <c r="LV19" s="70">
        <f t="shared" ref="LV19:LV22" si="19">LN19</f>
        <v>9</v>
      </c>
      <c r="LW19" s="70">
        <f t="shared" ref="LW19:LW22" si="20">LU19/10</f>
        <v>0.5</v>
      </c>
      <c r="LX19" s="70">
        <f t="shared" ref="LX19:LX22" si="21">LS19/100</f>
        <v>0.06</v>
      </c>
      <c r="LY19" s="70">
        <f t="shared" ref="LY19:LY22" si="22">SUM(LV19:LX19)</f>
        <v>9.56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9.56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1.0</v>
      </c>
      <c r="F20" s="93" t="s">
        <v>72</v>
      </c>
      <c r="G20" s="94">
        <v>3.0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6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2</v>
      </c>
      <c r="LT20" s="71">
        <f>E36+E38+G41</f>
        <v>7</v>
      </c>
      <c r="LU20" s="71">
        <f t="shared" si="18"/>
        <v>-5</v>
      </c>
      <c r="LV20" s="70">
        <f t="shared" si="19"/>
        <v>0</v>
      </c>
      <c r="LW20" s="70">
        <f t="shared" si="20"/>
        <v>-0.5</v>
      </c>
      <c r="LX20" s="70">
        <f t="shared" si="21"/>
        <v>0.02</v>
      </c>
      <c r="LY20" s="70">
        <f t="shared" si="22"/>
        <v>-0.48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-0.48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3</v>
      </c>
      <c r="MH20" s="70" t="str">
        <f t="shared" si="25"/>
        <v>México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1.0</v>
      </c>
      <c r="F21" s="106" t="s">
        <v>72</v>
      </c>
      <c r="G21" s="107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3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4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1</v>
      </c>
      <c r="LS21" s="71">
        <f>E37+G39+G41</f>
        <v>4</v>
      </c>
      <c r="LT21" s="71">
        <f>G37+E39+E41</f>
        <v>3</v>
      </c>
      <c r="LU21" s="71">
        <f t="shared" si="18"/>
        <v>1</v>
      </c>
      <c r="LV21" s="70">
        <f t="shared" si="19"/>
        <v>4</v>
      </c>
      <c r="LW21" s="70">
        <f t="shared" si="20"/>
        <v>0.1</v>
      </c>
      <c r="LX21" s="70">
        <f t="shared" si="21"/>
        <v>0.04</v>
      </c>
      <c r="LY21" s="70">
        <f t="shared" si="22"/>
        <v>4.14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4.14</v>
      </c>
      <c r="MD21" s="70">
        <f>RANK($MC$21,$MC$19:$MC$22,0)</f>
        <v>2</v>
      </c>
      <c r="ME21" s="70">
        <f>IF(OR(AND(MD19=MD20,MD19=MD21,MD19=MD22),AND(MD21=MD19,MD21=MD20)),MD21+2,IF(OR(AND(MD21=MD20,MD21=MD22),MD21=MD19,MD21=MD20),MD21+1,MD21))</f>
        <v>2</v>
      </c>
      <c r="MF21" s="70">
        <v>3.0</v>
      </c>
      <c r="MG21" s="70">
        <f t="shared" si="24"/>
        <v>4</v>
      </c>
      <c r="MH21" s="70" t="str">
        <f t="shared" si="25"/>
        <v>Polônia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2.0</v>
      </c>
      <c r="H22" s="117"/>
      <c r="I22" s="96" t="s">
        <v>61</v>
      </c>
      <c r="J22" s="97" t="s">
        <v>76</v>
      </c>
      <c r="K22" s="109"/>
      <c r="L22" s="118" t="str">
        <f>'Zé Augusto'!MH3</f>
        <v>Holanda</v>
      </c>
      <c r="M22" s="119">
        <f>VLOOKUP(L22,'Zé Augusto'!$LM$3:$LU$6,2,FALSE)</f>
        <v>9</v>
      </c>
      <c r="N22" s="120">
        <f>VLOOKUP(L22,'Zé Augusto'!$LM$3:$LU$6,3,FALSE)</f>
        <v>3</v>
      </c>
      <c r="O22" s="120">
        <f>VLOOKUP(L22,'Zé Augusto'!$LM$3:$LU$6,4,FALSE)</f>
        <v>3</v>
      </c>
      <c r="P22" s="120">
        <f>VLOOKUP(L22,'Zé Augusto'!$LM$3:$LU$6,5,FALSE)</f>
        <v>0</v>
      </c>
      <c r="Q22" s="120">
        <f>VLOOKUP(L22,'Zé Augusto'!$LM$3:$LU$6,6,FALSE)</f>
        <v>0</v>
      </c>
      <c r="R22" s="120">
        <f>VLOOKUP(L22,'Zé Augusto'!$LM$3:$LU$6,7,FALSE)</f>
        <v>7</v>
      </c>
      <c r="S22" s="120">
        <f>VLOOKUP(L22,'Zé Augusto'!$LM$3:$LU$6,8,FALSE)</f>
        <v>2</v>
      </c>
      <c r="T22" s="121">
        <f>VLOOKUP(L22,'Zé Augusto'!$LM$3:$LU$6,9,FALSE)</f>
        <v>5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6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4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0</v>
      </c>
      <c r="LQ22" s="71">
        <f>IF(OR(G37="",E37=""),0,IF(G37=E37,1,0))+IF(OR(E38="",G38=""),0,IF(E38=G38,1,0))+IF(OR(E40="",G40=""),0,IF(E40=G40,1,0))</f>
        <v>1</v>
      </c>
      <c r="LR22" s="71">
        <f>IF(OR(G37="",E37=""),0,IF(G37&lt;E37,1,0))+IF(OR(E38="",G38=""),0,IF(E38&lt;G38,1,0))+IF(OR(E40="",G40=""),0,IF(E40&lt;G40,1,0))</f>
        <v>1</v>
      </c>
      <c r="LS22" s="71">
        <f>G37+E38+E40</f>
        <v>4</v>
      </c>
      <c r="LT22" s="71">
        <f>E37+G38+G40</f>
        <v>5</v>
      </c>
      <c r="LU22" s="71">
        <f t="shared" si="18"/>
        <v>-1</v>
      </c>
      <c r="LV22" s="70">
        <f t="shared" si="19"/>
        <v>4</v>
      </c>
      <c r="LW22" s="70">
        <f t="shared" si="20"/>
        <v>-0.1</v>
      </c>
      <c r="LX22" s="70">
        <f t="shared" si="21"/>
        <v>0.04</v>
      </c>
      <c r="LY22" s="70">
        <f t="shared" si="22"/>
        <v>3.94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3.94</v>
      </c>
      <c r="MD22" s="70">
        <f>RANK($MC$22,$MC$19:$MC$22,0)</f>
        <v>3</v>
      </c>
      <c r="ME22" s="70">
        <f>IF(AND(MD19=MD20,MD19=MD21,MD19=MD22),MD22+3,IF(OR(AND(MD22=MD21,MD22=MD20),AND(MD22=MD20,MD22=MD19)),MD22+2,IF(OR(MD22=MD21,MD22=MD20,MD22=MD19),MD22+1,MD22)))</f>
        <v>3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1.0</v>
      </c>
      <c r="F23" s="106" t="s">
        <v>72</v>
      </c>
      <c r="G23" s="107">
        <v>0.0</v>
      </c>
      <c r="H23" s="108"/>
      <c r="I23" s="96" t="s">
        <v>60</v>
      </c>
      <c r="J23" s="97" t="s">
        <v>80</v>
      </c>
      <c r="K23" s="109"/>
      <c r="L23" s="118" t="str">
        <f>'Zé Augusto'!MH4</f>
        <v>Equador</v>
      </c>
      <c r="M23" s="119">
        <f>VLOOKUP(L23,'Zé Augusto'!$LM$3:$LU$6,2,FALSE)</f>
        <v>6</v>
      </c>
      <c r="N23" s="120">
        <f>VLOOKUP(L23,'Zé Augusto'!$LM$3:$LU$6,3,FALSE)</f>
        <v>3</v>
      </c>
      <c r="O23" s="120">
        <f>VLOOKUP(L23,'Zé Augusto'!$LM$3:$LU$6,4,FALSE)</f>
        <v>2</v>
      </c>
      <c r="P23" s="120">
        <f>VLOOKUP(L23,'Zé Augusto'!$LM$3:$LU$6,5,FALSE)</f>
        <v>0</v>
      </c>
      <c r="Q23" s="120">
        <f>VLOOKUP(L23,'Zé Augusto'!$LM$3:$LU$6,6,FALSE)</f>
        <v>1</v>
      </c>
      <c r="R23" s="120">
        <f>VLOOKUP(L23,'Zé Augusto'!$LM$3:$LU$6,7,FALSE)</f>
        <v>7</v>
      </c>
      <c r="S23" s="120">
        <f>VLOOKUP(L23,'Zé Augusto'!$LM$3:$LU$6,8,FALSE)</f>
        <v>3</v>
      </c>
      <c r="T23" s="121">
        <f>VLOOKUP(L23,'Zé Augusto'!$LM$3:$LU$6,9,FALSE)</f>
        <v>4</v>
      </c>
      <c r="U23" s="52"/>
      <c r="V23" s="59" t="s">
        <v>81</v>
      </c>
      <c r="W23" s="122" t="str">
        <f t="shared" si="26"/>
        <v>Equador</v>
      </c>
      <c r="X23" s="236">
        <f>IF(AND(W23&lt;&gt;"",'Resultado Oficial'!W22&lt;&gt;"",'Resultado Oficial'!W23&lt;&gt;""),IF(W23='Resultado Oficial'!W23,5,IF(W23='Resultado Oficial'!W22,2,0)),"")</f>
        <v>0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3.0</v>
      </c>
      <c r="F24" s="106" t="s">
        <v>72</v>
      </c>
      <c r="G24" s="107">
        <v>2.0</v>
      </c>
      <c r="H24" s="108"/>
      <c r="I24" s="96" t="s">
        <v>61</v>
      </c>
      <c r="J24" s="97" t="s">
        <v>80</v>
      </c>
      <c r="K24" s="109"/>
      <c r="L24" s="118" t="str">
        <f>'Zé Augusto'!MH5</f>
        <v>Senegal</v>
      </c>
      <c r="M24" s="119">
        <f>VLOOKUP(L24,'Zé Augusto'!$LM$3:$LU$6,2,FALSE)</f>
        <v>3</v>
      </c>
      <c r="N24" s="120">
        <f>VLOOKUP(L24,'Zé Augusto'!$LM$3:$LU$6,3,FALSE)</f>
        <v>3</v>
      </c>
      <c r="O24" s="120">
        <f>VLOOKUP(L24,'Zé Augusto'!$LM$3:$LU$6,4,FALSE)</f>
        <v>1</v>
      </c>
      <c r="P24" s="120">
        <f>VLOOKUP(L24,'Zé Augusto'!$LM$3:$LU$6,5,FALSE)</f>
        <v>0</v>
      </c>
      <c r="Q24" s="120">
        <f>VLOOKUP(L24,'Zé Augusto'!$LM$3:$LU$6,6,FALSE)</f>
        <v>2</v>
      </c>
      <c r="R24" s="120">
        <f>VLOOKUP(L24,'Zé Augusto'!$LM$3:$LU$6,7,FALSE)</f>
        <v>5</v>
      </c>
      <c r="S24" s="120">
        <f>VLOOKUP(L24,'Zé Augusto'!$LM$3:$LU$6,8,FALSE)</f>
        <v>5</v>
      </c>
      <c r="T24" s="121">
        <f>VLOOKUP(L24,'Zé Augusto'!$LM$3:$LU$6,9,FALSE)</f>
        <v>0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0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4.0</v>
      </c>
      <c r="F25" s="106" t="s">
        <v>72</v>
      </c>
      <c r="G25" s="107">
        <v>1.0</v>
      </c>
      <c r="H25" s="108"/>
      <c r="I25" s="96" t="s">
        <v>82</v>
      </c>
      <c r="J25" s="97" t="s">
        <v>73</v>
      </c>
      <c r="K25" s="123"/>
      <c r="L25" s="124" t="str">
        <f>'Zé Augusto'!MH6</f>
        <v>Catar</v>
      </c>
      <c r="M25" s="125">
        <f>VLOOKUP(L25,'Zé Augusto'!$LM$3:$LU$6,2,FALSE)</f>
        <v>0</v>
      </c>
      <c r="N25" s="126">
        <f>VLOOKUP(L25,'Zé Augusto'!$LM$3:$LU$6,3,FALSE)</f>
        <v>3</v>
      </c>
      <c r="O25" s="126">
        <f>VLOOKUP(L25,'Zé Augusto'!$LM$3:$LU$6,4,FALSE)</f>
        <v>0</v>
      </c>
      <c r="P25" s="126">
        <f>VLOOKUP(L25,'Zé Augusto'!$LM$3:$LU$6,5,FALSE)</f>
        <v>0</v>
      </c>
      <c r="Q25" s="126">
        <f>VLOOKUP(L25,'Zé Augusto'!$LM$3:$LU$6,6,FALSE)</f>
        <v>3</v>
      </c>
      <c r="R25" s="126">
        <f>VLOOKUP(L25,'Zé Augusto'!$LM$3:$LU$6,7,FALSE)</f>
        <v>2</v>
      </c>
      <c r="S25" s="126">
        <f>VLOOKUP(L25,'Zé Augusto'!$LM$3:$LU$6,8,FALSE)</f>
        <v>9</v>
      </c>
      <c r="T25" s="127">
        <f>VLOOKUP(L25,'Zé Augusto'!$LM$3:$LU$6,9,FALSE)</f>
        <v>-7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9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3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0</v>
      </c>
      <c r="LS27" s="71">
        <f>E45+E47+G49</f>
        <v>6</v>
      </c>
      <c r="LT27" s="71">
        <f>G45+G47+E49</f>
        <v>2</v>
      </c>
      <c r="LU27" s="71">
        <f t="shared" ref="LU27:LU30" si="27">LS27-LT27</f>
        <v>4</v>
      </c>
      <c r="LV27" s="70">
        <f t="shared" ref="LV27:LV30" si="28">LN27</f>
        <v>9</v>
      </c>
      <c r="LW27" s="70">
        <f t="shared" ref="LW27:LW30" si="29">LU27/10</f>
        <v>0.4</v>
      </c>
      <c r="LX27" s="70">
        <f t="shared" ref="LX27:LX30" si="30">LS27/100</f>
        <v>0.06</v>
      </c>
      <c r="LY27" s="70">
        <f t="shared" ref="LY27:LY30" si="31">SUM(LV27:LX27)</f>
        <v>9.46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9.46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2.0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3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1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2</v>
      </c>
      <c r="LS28" s="71">
        <f>G45+G46+E48</f>
        <v>2</v>
      </c>
      <c r="LT28" s="71">
        <f>E45+E46+G48</f>
        <v>5</v>
      </c>
      <c r="LU28" s="71">
        <f t="shared" si="27"/>
        <v>-3</v>
      </c>
      <c r="LV28" s="70">
        <f t="shared" si="28"/>
        <v>3</v>
      </c>
      <c r="LW28" s="70">
        <f t="shared" si="29"/>
        <v>-0.3</v>
      </c>
      <c r="LX28" s="70">
        <f t="shared" si="30"/>
        <v>0.02</v>
      </c>
      <c r="LY28" s="70">
        <f t="shared" si="31"/>
        <v>2.72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2.72</v>
      </c>
      <c r="MD28" s="70">
        <f>RANK($MC$28,$MC$27:$MC$30,0)</f>
        <v>3</v>
      </c>
      <c r="ME28" s="70">
        <f>IF(OR(AND(MD27=MD28,MD27=MD29,MD27=MD30),AND(MD28=MD27,MD28=MD29),AND(MD28=MD27,MD28=MD30),MD28=MD27),MD28+1,MD28)</f>
        <v>3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2.0</v>
      </c>
      <c r="F29" s="106" t="s">
        <v>72</v>
      </c>
      <c r="G29" s="107">
        <v>2.0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6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4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1</v>
      </c>
      <c r="LQ29" s="71">
        <f>IF(OR(E44="",G44=""),0,IF(E44=G44,1,0))+IF(OR(G47="",E47=""),0,IF(G47=E47,1,0))+IF(OR(G48="",E48=""),0,IF(G48=E48,1,0))</f>
        <v>1</v>
      </c>
      <c r="LR29" s="71">
        <f>IF(OR(E44="",G44=""),0,IF(E44&lt;G44,1,0))+IF(OR(G47="",E47=""),0,IF(G47&lt;E47,1,0))+IF(OR(G48="",E48=""),0,IF(G48&lt;E48,1,0))</f>
        <v>1</v>
      </c>
      <c r="LS29" s="71">
        <f>E44+G47+G48</f>
        <v>6</v>
      </c>
      <c r="LT29" s="71">
        <f>G44+E47+E48</f>
        <v>5</v>
      </c>
      <c r="LU29" s="71">
        <f t="shared" si="27"/>
        <v>1</v>
      </c>
      <c r="LV29" s="70">
        <f t="shared" si="28"/>
        <v>4</v>
      </c>
      <c r="LW29" s="70">
        <f t="shared" si="29"/>
        <v>0.1</v>
      </c>
      <c r="LX29" s="70">
        <f t="shared" si="30"/>
        <v>0.06</v>
      </c>
      <c r="LY29" s="70">
        <f t="shared" si="31"/>
        <v>4.16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4.16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2</v>
      </c>
      <c r="MH29" s="70" t="str">
        <f t="shared" si="34"/>
        <v>Austrália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2.0</v>
      </c>
      <c r="F30" s="115" t="s">
        <v>72</v>
      </c>
      <c r="G30" s="116">
        <v>1.0</v>
      </c>
      <c r="H30" s="117"/>
      <c r="I30" s="96" t="s">
        <v>65</v>
      </c>
      <c r="J30" s="97" t="s">
        <v>88</v>
      </c>
      <c r="K30" s="109"/>
      <c r="L30" s="118" t="str">
        <f>'Zé Augusto'!MH11</f>
        <v>Inglaterra</v>
      </c>
      <c r="M30" s="119">
        <f>VLOOKUP(L30,'Zé Augusto'!$LM$11:$LU$14,2,FALSE)</f>
        <v>9</v>
      </c>
      <c r="N30" s="120">
        <f>VLOOKUP(L30,'Zé Augusto'!$LM$11:$LU$14,3,FALSE)</f>
        <v>3</v>
      </c>
      <c r="O30" s="120">
        <f>VLOOKUP(L30,'Zé Augusto'!$LM$11:$LU$14,4,FALSE)</f>
        <v>3</v>
      </c>
      <c r="P30" s="120">
        <f>VLOOKUP(L30,'Zé Augusto'!$LM$11:$LU$14,5,FALSE)</f>
        <v>0</v>
      </c>
      <c r="Q30" s="120">
        <f>VLOOKUP(L30,'Zé Augusto'!$LM$11:$LU$14,6,FALSE)</f>
        <v>0</v>
      </c>
      <c r="R30" s="120">
        <f>VLOOKUP(L30,'Zé Augusto'!$LM$11:$LU$14,7,FALSE)</f>
        <v>6</v>
      </c>
      <c r="S30" s="120">
        <f>VLOOKUP(L30,'Zé Augusto'!$LM$11:$LU$14,8,FALSE)</f>
        <v>2</v>
      </c>
      <c r="T30" s="121">
        <f>VLOOKUP(L30,'Zé Augusto'!$LM$11:$LU$14,9,FALSE)</f>
        <v>4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0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2</v>
      </c>
      <c r="LS30" s="71">
        <f>G44+E46+E49</f>
        <v>3</v>
      </c>
      <c r="LT30" s="71">
        <f>E44+G46+G49</f>
        <v>5</v>
      </c>
      <c r="LU30" s="71">
        <f t="shared" si="27"/>
        <v>-2</v>
      </c>
      <c r="LV30" s="70">
        <f t="shared" si="28"/>
        <v>0</v>
      </c>
      <c r="LW30" s="70">
        <f t="shared" si="29"/>
        <v>-0.2</v>
      </c>
      <c r="LX30" s="70">
        <f t="shared" si="30"/>
        <v>0.03</v>
      </c>
      <c r="LY30" s="70">
        <f t="shared" si="31"/>
        <v>-0.17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-0.17</v>
      </c>
      <c r="MD30" s="70">
        <f>RANK($MC$30,$MC$27:$MC$30,0)</f>
        <v>4</v>
      </c>
      <c r="ME30" s="70">
        <f>IF(AND(MD27=MD28,MD27=MD29,MD27=MD30),MD30+3,IF(OR(AND(MD30=MD29,MD30=MD28),AND(MD30=MD28,MD30=MD27)),MD30+2,IF(OR(MD30=MD29,MD30=MD28,MD30=MD27),MD30+1,MD30)))</f>
        <v>4</v>
      </c>
      <c r="MF30" s="70">
        <v>4.0</v>
      </c>
      <c r="MG30" s="70">
        <f t="shared" si="33"/>
        <v>4</v>
      </c>
      <c r="MH30" s="70" t="str">
        <f t="shared" si="34"/>
        <v>Tunísia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106" t="s">
        <v>72</v>
      </c>
      <c r="G31" s="107">
        <v>1.0</v>
      </c>
      <c r="H31" s="108"/>
      <c r="I31" s="96" t="s">
        <v>66</v>
      </c>
      <c r="J31" s="97" t="s">
        <v>73</v>
      </c>
      <c r="K31" s="109"/>
      <c r="L31" s="118" t="str">
        <f>'Zé Augusto'!MH12</f>
        <v>País de Gales</v>
      </c>
      <c r="M31" s="119">
        <f>VLOOKUP(L31,'Zé Augusto'!$LM$11:$LU$14,2,FALSE)</f>
        <v>4</v>
      </c>
      <c r="N31" s="120">
        <f>VLOOKUP(L31,'Zé Augusto'!$LM$11:$LU$14,3,FALSE)</f>
        <v>3</v>
      </c>
      <c r="O31" s="120">
        <f>VLOOKUP(L31,'Zé Augusto'!$LM$11:$LU$14,4,FALSE)</f>
        <v>1</v>
      </c>
      <c r="P31" s="120">
        <f>VLOOKUP(L31,'Zé Augusto'!$LM$11:$LU$14,5,FALSE)</f>
        <v>1</v>
      </c>
      <c r="Q31" s="120">
        <f>VLOOKUP(L31,'Zé Augusto'!$LM$11:$LU$14,6,FALSE)</f>
        <v>1</v>
      </c>
      <c r="R31" s="120">
        <f>VLOOKUP(L31,'Zé Augusto'!$LM$11:$LU$14,7,FALSE)</f>
        <v>5</v>
      </c>
      <c r="S31" s="120">
        <f>VLOOKUP(L31,'Zé Augusto'!$LM$11:$LU$14,8,FALSE)</f>
        <v>5</v>
      </c>
      <c r="T31" s="121">
        <f>VLOOKUP(L31,'Zé Augusto'!$LM$11:$LU$14,9,FALSE)</f>
        <v>0</v>
      </c>
      <c r="U31" s="53"/>
      <c r="V31" s="59" t="s">
        <v>81</v>
      </c>
      <c r="W31" s="122" t="str">
        <f t="shared" si="35"/>
        <v>País de Gales</v>
      </c>
      <c r="X31" s="236">
        <f>IF(AND(W31&lt;&gt;"",'Resultado Oficial'!W30&lt;&gt;"",'Resultado Oficial'!W31&lt;&gt;""),IF(W31='Resultado Oficial'!W31,5,IF(W31='Resultado Oficial'!W30,2,0)),"")</f>
        <v>0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1.0</v>
      </c>
      <c r="F32" s="106" t="s">
        <v>72</v>
      </c>
      <c r="G32" s="107">
        <v>2.0</v>
      </c>
      <c r="H32" s="108"/>
      <c r="I32" s="96" t="s">
        <v>64</v>
      </c>
      <c r="J32" s="97" t="s">
        <v>88</v>
      </c>
      <c r="K32" s="109"/>
      <c r="L32" s="118" t="str">
        <f>'Zé Augusto'!MH13</f>
        <v>Estados Unidos</v>
      </c>
      <c r="M32" s="119">
        <f>VLOOKUP(L32,'Zé Augusto'!$LM$11:$LU$14,2,FALSE)</f>
        <v>2</v>
      </c>
      <c r="N32" s="120">
        <f>VLOOKUP(L32,'Zé Augusto'!$LM$11:$LU$14,3,FALSE)</f>
        <v>3</v>
      </c>
      <c r="O32" s="120">
        <f>VLOOKUP(L32,'Zé Augusto'!$LM$11:$LU$14,4,FALSE)</f>
        <v>0</v>
      </c>
      <c r="P32" s="120">
        <f>VLOOKUP(L32,'Zé Augusto'!$LM$11:$LU$14,5,FALSE)</f>
        <v>2</v>
      </c>
      <c r="Q32" s="120">
        <f>VLOOKUP(L32,'Zé Augusto'!$LM$11:$LU$14,6,FALSE)</f>
        <v>1</v>
      </c>
      <c r="R32" s="120">
        <f>VLOOKUP(L32,'Zé Augusto'!$LM$11:$LU$14,7,FALSE)</f>
        <v>4</v>
      </c>
      <c r="S32" s="120">
        <f>VLOOKUP(L32,'Zé Augusto'!$LM$11:$LU$14,8,FALSE)</f>
        <v>5</v>
      </c>
      <c r="T32" s="121">
        <f>VLOOKUP(L32,'Zé Augusto'!$LM$11:$LU$14,9,FALSE)</f>
        <v>-1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1.0</v>
      </c>
      <c r="F33" s="106" t="s">
        <v>72</v>
      </c>
      <c r="G33" s="107">
        <v>1.0</v>
      </c>
      <c r="H33" s="108"/>
      <c r="I33" s="96" t="s">
        <v>66</v>
      </c>
      <c r="J33" s="97" t="s">
        <v>76</v>
      </c>
      <c r="K33" s="123"/>
      <c r="L33" s="124" t="str">
        <f>'Zé Augusto'!MH14</f>
        <v>Irã</v>
      </c>
      <c r="M33" s="125">
        <f>VLOOKUP(L33,'Zé Augusto'!$LM$11:$LU$14,2,FALSE)</f>
        <v>1</v>
      </c>
      <c r="N33" s="126">
        <f>VLOOKUP(L33,'Zé Augusto'!$LM$11:$LU$14,3,FALSE)</f>
        <v>3</v>
      </c>
      <c r="O33" s="126">
        <f>VLOOKUP(L33,'Zé Augusto'!$LM$11:$LU$14,4,FALSE)</f>
        <v>0</v>
      </c>
      <c r="P33" s="126">
        <f>VLOOKUP(L33,'Zé Augusto'!$LM$11:$LU$14,5,FALSE)</f>
        <v>1</v>
      </c>
      <c r="Q33" s="126">
        <f>VLOOKUP(L33,'Zé Augusto'!$LM$11:$LU$14,6,FALSE)</f>
        <v>2</v>
      </c>
      <c r="R33" s="126">
        <f>VLOOKUP(L33,'Zé Augusto'!$LM$11:$LU$14,7,FALSE)</f>
        <v>2</v>
      </c>
      <c r="S33" s="126">
        <f>VLOOKUP(L33,'Zé Augusto'!$LM$11:$LU$14,8,FALSE)</f>
        <v>5</v>
      </c>
      <c r="T33" s="127">
        <f>VLOOKUP(L33,'Zé Augusto'!$LM$11:$LU$14,9,FALSE)</f>
        <v>-3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0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6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0</v>
      </c>
      <c r="LR35" s="71">
        <f>IF(OR(E53="",G53=""),0,IF(E53&lt;G53,1,0))+IF(OR(E55="",G55=""),0,IF(E55&lt;G55,1,0))+IF(OR(G56="",E56=""),0,IF(G56&lt;E56,1,0))</f>
        <v>1</v>
      </c>
      <c r="LS35" s="71">
        <f>E53+E55+G56</f>
        <v>6</v>
      </c>
      <c r="LT35" s="71">
        <f>G53+G55+E56</f>
        <v>3</v>
      </c>
      <c r="LU35" s="71">
        <f t="shared" ref="LU35:LU38" si="36">LS35-LT35</f>
        <v>3</v>
      </c>
      <c r="LV35" s="70">
        <f t="shared" ref="LV35:LV38" si="37">LN35</f>
        <v>6</v>
      </c>
      <c r="LW35" s="70">
        <f t="shared" ref="LW35:LW38" si="38">LU35/10</f>
        <v>0.3</v>
      </c>
      <c r="LX35" s="70">
        <f t="shared" ref="LX35:LX38" si="39">LS35/100</f>
        <v>0.06</v>
      </c>
      <c r="LY35" s="70">
        <f t="shared" ref="LY35:LY38" si="40">SUM(LV35:LX35)</f>
        <v>6.36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6.36</v>
      </c>
      <c r="MD35" s="70">
        <f>RANK($MC$35,$MC$35:$MC$38,0)</f>
        <v>2</v>
      </c>
      <c r="ME35" s="70">
        <f>MD35</f>
        <v>2</v>
      </c>
      <c r="MF35" s="70">
        <v>1.0</v>
      </c>
      <c r="MG35" s="70">
        <f t="shared" ref="MG35:MG38" si="42">MATCH(MF35,$ME$35:$ME$38,0)</f>
        <v>3</v>
      </c>
      <c r="MH35" s="70" t="str">
        <f t="shared" ref="MH35:MH38" si="43">INDEX($LM$35:$LM$38,MG35)</f>
        <v>Alemanha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2.0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3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1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2</v>
      </c>
      <c r="LS36" s="71">
        <f>G53+G54+E57</f>
        <v>2</v>
      </c>
      <c r="LT36" s="71">
        <f>E53+E54+G57</f>
        <v>6</v>
      </c>
      <c r="LU36" s="71">
        <f t="shared" si="36"/>
        <v>-4</v>
      </c>
      <c r="LV36" s="70">
        <f t="shared" si="37"/>
        <v>3</v>
      </c>
      <c r="LW36" s="70">
        <f t="shared" si="38"/>
        <v>-0.4</v>
      </c>
      <c r="LX36" s="70">
        <f t="shared" si="39"/>
        <v>0.02</v>
      </c>
      <c r="LY36" s="70">
        <f t="shared" si="40"/>
        <v>2.62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2.62</v>
      </c>
      <c r="MD36" s="70">
        <f>RANK($MC$36,$MC$35:$MC$38,0)</f>
        <v>3</v>
      </c>
      <c r="ME36" s="70">
        <f>IF(OR(AND(MD35=MD36,MD35=MD37,MD35=MD38),AND(MD36=MD35,MD36=MD37),AND(MD36=MD35,MD36=MD38),MD36=MD35),MD36+1,MD36)</f>
        <v>3</v>
      </c>
      <c r="MF36" s="70">
        <v>2.0</v>
      </c>
      <c r="MG36" s="70">
        <f t="shared" si="42"/>
        <v>1</v>
      </c>
      <c r="MH36" s="70" t="str">
        <f t="shared" si="43"/>
        <v>Espanha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1.0</v>
      </c>
      <c r="F37" s="106" t="s">
        <v>72</v>
      </c>
      <c r="G37" s="107">
        <v>1.0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6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9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3</v>
      </c>
      <c r="LQ37" s="71">
        <f>IF(OR(E52="",G52=""),0,IF(E52=G52,1,0))+IF(OR(G55="",E55=""),0,IF(G55=E55,1,0))+IF(OR(G57="",E57=""),0,IF(G57=E57,1,0))</f>
        <v>0</v>
      </c>
      <c r="LR37" s="71">
        <f>IF(OR(E52="",G52=""),0,IF(E52&lt;G52,1,0))+IF(OR(G55="",E55=""),0,IF(G55&lt;E55,1,0))+IF(OR(G57="",E57=""),0,IF(G57&lt;E57,1,0))</f>
        <v>0</v>
      </c>
      <c r="LS37" s="71">
        <f>E52+G55+G57</f>
        <v>7</v>
      </c>
      <c r="LT37" s="71">
        <f>G52+E55+E57</f>
        <v>1</v>
      </c>
      <c r="LU37" s="71">
        <f t="shared" si="36"/>
        <v>6</v>
      </c>
      <c r="LV37" s="70">
        <f t="shared" si="37"/>
        <v>9</v>
      </c>
      <c r="LW37" s="70">
        <f t="shared" si="38"/>
        <v>0.6</v>
      </c>
      <c r="LX37" s="70">
        <f t="shared" si="39"/>
        <v>0.07</v>
      </c>
      <c r="LY37" s="70">
        <f t="shared" si="40"/>
        <v>9.67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9.67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1</v>
      </c>
      <c r="MF37" s="70">
        <v>3.0</v>
      </c>
      <c r="MG37" s="70">
        <f t="shared" si="42"/>
        <v>2</v>
      </c>
      <c r="MH37" s="70" t="str">
        <f t="shared" si="43"/>
        <v>Costa Rica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2.0</v>
      </c>
      <c r="F38" s="115" t="s">
        <v>72</v>
      </c>
      <c r="G38" s="116">
        <v>1.0</v>
      </c>
      <c r="H38" s="117"/>
      <c r="I38" s="96" t="s">
        <v>75</v>
      </c>
      <c r="J38" s="97" t="s">
        <v>99</v>
      </c>
      <c r="K38" s="109"/>
      <c r="L38" s="118" t="str">
        <f>'Zé Augusto'!MH19</f>
        <v>Argentina</v>
      </c>
      <c r="M38" s="119">
        <f>VLOOKUP(L38,'Zé Augusto'!$LM$19:$LU$22,2,FALSE)</f>
        <v>9</v>
      </c>
      <c r="N38" s="120">
        <f>VLOOKUP(L38,'Zé Augusto'!$LM$19:$LU$22,3,FALSE)</f>
        <v>3</v>
      </c>
      <c r="O38" s="120">
        <f>VLOOKUP(L38,'Zé Augusto'!$LM$19:$LU$22,4,FALSE)</f>
        <v>3</v>
      </c>
      <c r="P38" s="120">
        <f>VLOOKUP(L38,'Zé Augusto'!$LM$19:$LU$22,5,FALSE)</f>
        <v>0</v>
      </c>
      <c r="Q38" s="120">
        <f>VLOOKUP(L38,'Zé Augusto'!$LM$19:$LU$22,6,FALSE)</f>
        <v>0</v>
      </c>
      <c r="R38" s="120">
        <f>VLOOKUP(L38,'Zé Augusto'!$LM$19:$LU$22,7,FALSE)</f>
        <v>6</v>
      </c>
      <c r="S38" s="120">
        <f>VLOOKUP(L38,'Zé Augusto'!$LM$19:$LU$22,8,FALSE)</f>
        <v>1</v>
      </c>
      <c r="T38" s="121">
        <f>VLOOKUP(L38,'Zé Augusto'!$LM$19:$LU$22,9,FALSE)</f>
        <v>5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0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3</v>
      </c>
      <c r="LS38" s="71">
        <f>G52+E54+E56</f>
        <v>2</v>
      </c>
      <c r="LT38" s="71">
        <f>E52+G54+G56</f>
        <v>7</v>
      </c>
      <c r="LU38" s="71">
        <f t="shared" si="36"/>
        <v>-5</v>
      </c>
      <c r="LV38" s="70">
        <f t="shared" si="37"/>
        <v>0</v>
      </c>
      <c r="LW38" s="70">
        <f t="shared" si="38"/>
        <v>-0.5</v>
      </c>
      <c r="LX38" s="70">
        <f t="shared" si="39"/>
        <v>0.02</v>
      </c>
      <c r="LY38" s="70">
        <f t="shared" si="40"/>
        <v>-0.48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-0.48</v>
      </c>
      <c r="MD38" s="70">
        <f>RANK($MC$38,$MC$35:$MC$38,0)</f>
        <v>4</v>
      </c>
      <c r="ME38" s="70">
        <f>IF(AND(MD35=MD36,MD35=MD37,MD35=MD38),MD38+3,IF(OR(AND(MD38=MD37,MD38=MD36),AND(MD38=MD36,MD38=MD35)),MD38+2,IF(OR(MD38=MD37,MD38=MD36,MD38=MD35),MD38+1,MD38)))</f>
        <v>4</v>
      </c>
      <c r="MF38" s="70">
        <v>4.0</v>
      </c>
      <c r="MG38" s="70">
        <f t="shared" si="42"/>
        <v>4</v>
      </c>
      <c r="MH38" s="70" t="str">
        <f t="shared" si="43"/>
        <v>Japão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1.0</v>
      </c>
      <c r="F39" s="106" t="s">
        <v>72</v>
      </c>
      <c r="G39" s="107">
        <v>0.0</v>
      </c>
      <c r="H39" s="108"/>
      <c r="I39" s="96" t="s">
        <v>77</v>
      </c>
      <c r="J39" s="97" t="s">
        <v>94</v>
      </c>
      <c r="K39" s="109"/>
      <c r="L39" s="118" t="str">
        <f>'Zé Augusto'!MH20</f>
        <v>México</v>
      </c>
      <c r="M39" s="119">
        <f>VLOOKUP(L39,'Zé Augusto'!$LM$19:$LU$22,2,FALSE)</f>
        <v>4</v>
      </c>
      <c r="N39" s="120">
        <f>VLOOKUP(L39,'Zé Augusto'!$LM$19:$LU$22,3,FALSE)</f>
        <v>3</v>
      </c>
      <c r="O39" s="120">
        <f>VLOOKUP(L39,'Zé Augusto'!$LM$19:$LU$22,4,FALSE)</f>
        <v>1</v>
      </c>
      <c r="P39" s="120">
        <f>VLOOKUP(L39,'Zé Augusto'!$LM$19:$LU$22,5,FALSE)</f>
        <v>1</v>
      </c>
      <c r="Q39" s="120">
        <f>VLOOKUP(L39,'Zé Augusto'!$LM$19:$LU$22,6,FALSE)</f>
        <v>1</v>
      </c>
      <c r="R39" s="120">
        <f>VLOOKUP(L39,'Zé Augusto'!$LM$19:$LU$22,7,FALSE)</f>
        <v>4</v>
      </c>
      <c r="S39" s="120">
        <f>VLOOKUP(L39,'Zé Augusto'!$LM$19:$LU$22,8,FALSE)</f>
        <v>3</v>
      </c>
      <c r="T39" s="121">
        <f>VLOOKUP(L39,'Zé Augusto'!$LM$19:$LU$22,9,FALSE)</f>
        <v>1</v>
      </c>
      <c r="U39" s="53"/>
      <c r="V39" s="59" t="s">
        <v>81</v>
      </c>
      <c r="W39" s="122" t="str">
        <f t="shared" si="44"/>
        <v>México</v>
      </c>
      <c r="X39" s="236">
        <f>IF(AND(W39&lt;&gt;"",'Resultado Oficial'!W38&lt;&gt;"",'Resultado Oficial'!W39&lt;&gt;""),IF(W39='Resultado Oficial'!W39,5,IF(W39='Resultado Oficial'!W38,2,0)),"")</f>
        <v>0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1.0</v>
      </c>
      <c r="F40" s="106" t="s">
        <v>72</v>
      </c>
      <c r="G40" s="107">
        <v>3.0</v>
      </c>
      <c r="H40" s="108"/>
      <c r="I40" s="96" t="s">
        <v>71</v>
      </c>
      <c r="J40" s="97" t="s">
        <v>97</v>
      </c>
      <c r="K40" s="109"/>
      <c r="L40" s="118" t="str">
        <f>'Zé Augusto'!MH21</f>
        <v>Polônia</v>
      </c>
      <c r="M40" s="119">
        <f>VLOOKUP(L40,'Zé Augusto'!$LM$19:$LU$22,2,FALSE)</f>
        <v>4</v>
      </c>
      <c r="N40" s="120">
        <f>VLOOKUP(L40,'Zé Augusto'!$LM$19:$LU$22,3,FALSE)</f>
        <v>3</v>
      </c>
      <c r="O40" s="120">
        <f>VLOOKUP(L40,'Zé Augusto'!$LM$19:$LU$22,4,FALSE)</f>
        <v>0</v>
      </c>
      <c r="P40" s="120">
        <f>VLOOKUP(L40,'Zé Augusto'!$LM$19:$LU$22,5,FALSE)</f>
        <v>1</v>
      </c>
      <c r="Q40" s="120">
        <f>VLOOKUP(L40,'Zé Augusto'!$LM$19:$LU$22,6,FALSE)</f>
        <v>1</v>
      </c>
      <c r="R40" s="120">
        <f>VLOOKUP(L40,'Zé Augusto'!$LM$19:$LU$22,7,FALSE)</f>
        <v>4</v>
      </c>
      <c r="S40" s="120">
        <f>VLOOKUP(L40,'Zé Augusto'!$LM$19:$LU$22,8,FALSE)</f>
        <v>5</v>
      </c>
      <c r="T40" s="121">
        <f>VLOOKUP(L40,'Zé Augusto'!$LM$19:$LU$22,9,FALSE)</f>
        <v>-1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6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1.0</v>
      </c>
      <c r="F41" s="106" t="s">
        <v>72</v>
      </c>
      <c r="G41" s="107">
        <v>3.0</v>
      </c>
      <c r="H41" s="108"/>
      <c r="I41" s="96" t="s">
        <v>77</v>
      </c>
      <c r="J41" s="97" t="s">
        <v>94</v>
      </c>
      <c r="K41" s="123"/>
      <c r="L41" s="124" t="str">
        <f>'Zé Augusto'!MH22</f>
        <v>Arábia Saudita</v>
      </c>
      <c r="M41" s="125">
        <f>VLOOKUP(L41,'Zé Augusto'!$LM$19:$LU$22,2,FALSE)</f>
        <v>0</v>
      </c>
      <c r="N41" s="126">
        <f>VLOOKUP(L41,'Zé Augusto'!$LM$19:$LU$22,3,FALSE)</f>
        <v>3</v>
      </c>
      <c r="O41" s="126">
        <f>VLOOKUP(L41,'Zé Augusto'!$LM$19:$LU$22,4,FALSE)</f>
        <v>0</v>
      </c>
      <c r="P41" s="126">
        <f>VLOOKUP(L41,'Zé Augusto'!$LM$19:$LU$22,5,FALSE)</f>
        <v>0</v>
      </c>
      <c r="Q41" s="126">
        <f>VLOOKUP(L41,'Zé Augusto'!$LM$19:$LU$22,6,FALSE)</f>
        <v>3</v>
      </c>
      <c r="R41" s="126">
        <f>VLOOKUP(L41,'Zé Augusto'!$LM$19:$LU$22,7,FALSE)</f>
        <v>2</v>
      </c>
      <c r="S41" s="126">
        <f>VLOOKUP(L41,'Zé Augusto'!$LM$19:$LU$22,8,FALSE)</f>
        <v>7</v>
      </c>
      <c r="T41" s="127">
        <f>VLOOKUP(L41,'Zé Augusto'!$LM$19:$LU$22,9,FALSE)</f>
        <v>-5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3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1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9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3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8</v>
      </c>
      <c r="LT43" s="71">
        <f>G61+G62+E64</f>
        <v>1</v>
      </c>
      <c r="LU43" s="71">
        <f t="shared" ref="LU43:LU46" si="45">LS43-LT43</f>
        <v>7</v>
      </c>
      <c r="LV43" s="70">
        <f t="shared" ref="LV43:LV46" si="46">LN43</f>
        <v>9</v>
      </c>
      <c r="LW43" s="70">
        <f t="shared" ref="LW43:LW46" si="47">LU43/10</f>
        <v>0.7</v>
      </c>
      <c r="LX43" s="70">
        <f t="shared" ref="LX43:LX46" si="48">LS43/100</f>
        <v>0.08</v>
      </c>
      <c r="LY43" s="70">
        <f t="shared" ref="LY43:LY46" si="49">SUM(LV43:LX43)</f>
        <v>9.78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9.78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2.0</v>
      </c>
      <c r="F44" s="106" t="s">
        <v>72</v>
      </c>
      <c r="G44" s="107">
        <v>2.0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3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4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1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1</v>
      </c>
      <c r="LS44" s="71">
        <f>G61+G63+E65</f>
        <v>3</v>
      </c>
      <c r="LT44" s="71">
        <f>E61+E63+G65</f>
        <v>4</v>
      </c>
      <c r="LU44" s="71">
        <f t="shared" si="45"/>
        <v>-1</v>
      </c>
      <c r="LV44" s="70">
        <f t="shared" si="46"/>
        <v>4</v>
      </c>
      <c r="LW44" s="70">
        <f t="shared" si="47"/>
        <v>-0.1</v>
      </c>
      <c r="LX44" s="70">
        <f t="shared" si="48"/>
        <v>0.03</v>
      </c>
      <c r="LY44" s="70">
        <f t="shared" si="49"/>
        <v>3.93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3.93</v>
      </c>
      <c r="MD44" s="70">
        <f>RANK($MC$44,$MC$43:$MC$46,0)</f>
        <v>2</v>
      </c>
      <c r="ME44" s="70">
        <f>IF(OR(AND(MD43=MD44,MD43=MD45,MD43=MD46),AND(MD44=MD43,MD44=MD45),AND(MD44=MD43,MD44=MD46),MD44=MD43),MD44+1,MD44)</f>
        <v>2</v>
      </c>
      <c r="MF44" s="70">
        <v>2.0</v>
      </c>
      <c r="MG44" s="70">
        <f t="shared" si="51"/>
        <v>2</v>
      </c>
      <c r="MH44" s="70" t="str">
        <f t="shared" si="52"/>
        <v>Canadá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2.0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0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3</v>
      </c>
      <c r="LS45" s="71">
        <f>E60+G62+G65</f>
        <v>0</v>
      </c>
      <c r="LT45" s="71">
        <f>G60+E62+E65</f>
        <v>5</v>
      </c>
      <c r="LU45" s="71">
        <f t="shared" si="45"/>
        <v>-5</v>
      </c>
      <c r="LV45" s="70">
        <f t="shared" si="46"/>
        <v>0</v>
      </c>
      <c r="LW45" s="70">
        <f t="shared" si="47"/>
        <v>-0.5</v>
      </c>
      <c r="LX45" s="70">
        <f t="shared" si="48"/>
        <v>0</v>
      </c>
      <c r="LY45" s="70">
        <f t="shared" si="49"/>
        <v>-0.5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-0.5</v>
      </c>
      <c r="MD45" s="70">
        <f>RANK($MC$45,$MC$43:$MC$46,0)</f>
        <v>4</v>
      </c>
      <c r="ME45" s="70">
        <f>IF(OR(AND(MD43=MD44,MD43=MD45,MD43=MD46),AND(MD45=MD43,MD45=MD44)),MD45+2,IF(OR(AND(MD45=MD44,MD45=MD46),MD45=MD43,MD45=MD44),MD45+1,MD45))</f>
        <v>4</v>
      </c>
      <c r="MF45" s="70">
        <v>3.0</v>
      </c>
      <c r="MG45" s="70">
        <f t="shared" si="51"/>
        <v>4</v>
      </c>
      <c r="MH45" s="70" t="str">
        <f t="shared" si="52"/>
        <v>Croácia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0.0</v>
      </c>
      <c r="F46" s="115" t="s">
        <v>72</v>
      </c>
      <c r="G46" s="116">
        <v>1.0</v>
      </c>
      <c r="H46" s="117"/>
      <c r="I46" s="96" t="s">
        <v>87</v>
      </c>
      <c r="J46" s="97" t="s">
        <v>106</v>
      </c>
      <c r="K46" s="109"/>
      <c r="L46" s="118" t="str">
        <f>'Zé Augusto'!MH27</f>
        <v>França</v>
      </c>
      <c r="M46" s="119">
        <f>VLOOKUP(L46,'Zé Augusto'!$LM$27:$LU$30,2,FALSE)</f>
        <v>9</v>
      </c>
      <c r="N46" s="120">
        <f>VLOOKUP(L46,'Zé Augusto'!$LM$27:$LU$30,3,FALSE)</f>
        <v>3</v>
      </c>
      <c r="O46" s="120">
        <f>VLOOKUP(L46,'Zé Augusto'!$LM$27:$LU$30,4,FALSE)</f>
        <v>3</v>
      </c>
      <c r="P46" s="120">
        <f>VLOOKUP(L46,'Zé Augusto'!$LM$27:$LU$30,5,FALSE)</f>
        <v>0</v>
      </c>
      <c r="Q46" s="120">
        <f>VLOOKUP(L46,'Zé Augusto'!$LM$27:$LU$30,6,FALSE)</f>
        <v>0</v>
      </c>
      <c r="R46" s="120">
        <f>VLOOKUP(L46,'Zé Augusto'!$LM$27:$LU$30,7,FALSE)</f>
        <v>6</v>
      </c>
      <c r="S46" s="120">
        <f>VLOOKUP(L46,'Zé Augusto'!$LM$27:$LU$30,8,FALSE)</f>
        <v>2</v>
      </c>
      <c r="T46" s="121">
        <f>VLOOKUP(L46,'Zé Augusto'!$LM$27:$LU$30,9,FALSE)</f>
        <v>4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10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4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1</v>
      </c>
      <c r="LQ46" s="71">
        <f>IF(OR(G60="",E60=""),0,IF(G60=E60,1,0))+IF(OR(E63="",G63=""),0,IF(E63=G63,1,0))+IF(OR(E64="",G64=""),0,IF(E64=G64,1,0))</f>
        <v>1</v>
      </c>
      <c r="LR46" s="71">
        <f>IF(OR(G60="",E60=""),0,IF(G60&lt;E60,1,0))+IF(OR(E63="",G63=""),0,IF(E63&lt;G63,1,0))+IF(OR(E64="",G64=""),0,IF(E64&lt;G64,1,0))</f>
        <v>1</v>
      </c>
      <c r="LS46" s="71">
        <f>G60+E63+E64</f>
        <v>3</v>
      </c>
      <c r="LT46" s="71">
        <f>E60+G63+G64</f>
        <v>4</v>
      </c>
      <c r="LU46" s="71">
        <f t="shared" si="45"/>
        <v>-1</v>
      </c>
      <c r="LV46" s="70">
        <f t="shared" si="46"/>
        <v>4</v>
      </c>
      <c r="LW46" s="70">
        <f t="shared" si="47"/>
        <v>-0.1</v>
      </c>
      <c r="LX46" s="70">
        <f t="shared" si="48"/>
        <v>0.03</v>
      </c>
      <c r="LY46" s="70">
        <f t="shared" si="49"/>
        <v>3.93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3.93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3</v>
      </c>
      <c r="MF46" s="70">
        <v>4.0</v>
      </c>
      <c r="MG46" s="70">
        <f t="shared" si="51"/>
        <v>3</v>
      </c>
      <c r="MH46" s="70" t="str">
        <f t="shared" si="52"/>
        <v>Marrocos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2.0</v>
      </c>
      <c r="F47" s="106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'Zé Augusto'!MH28</f>
        <v>Dinamarca</v>
      </c>
      <c r="M47" s="119">
        <f>VLOOKUP(L47,'Zé Augusto'!$LM$27:$LU$30,2,FALSE)</f>
        <v>4</v>
      </c>
      <c r="N47" s="120">
        <f>VLOOKUP(L47,'Zé Augusto'!$LM$27:$LU$30,3,FALSE)</f>
        <v>3</v>
      </c>
      <c r="O47" s="120">
        <f>VLOOKUP(L47,'Zé Augusto'!$LM$27:$LU$30,4,FALSE)</f>
        <v>1</v>
      </c>
      <c r="P47" s="120">
        <f>VLOOKUP(L47,'Zé Augusto'!$LM$27:$LU$30,5,FALSE)</f>
        <v>1</v>
      </c>
      <c r="Q47" s="120">
        <f>VLOOKUP(L47,'Zé Augusto'!$LM$27:$LU$30,6,FALSE)</f>
        <v>1</v>
      </c>
      <c r="R47" s="120">
        <f>VLOOKUP(L47,'Zé Augusto'!$LM$27:$LU$30,7,FALSE)</f>
        <v>6</v>
      </c>
      <c r="S47" s="120">
        <f>VLOOKUP(L47,'Zé Augusto'!$LM$27:$LU$30,8,FALSE)</f>
        <v>5</v>
      </c>
      <c r="T47" s="121">
        <f>VLOOKUP(L47,'Zé Augusto'!$LM$27:$LU$30,9,FALSE)</f>
        <v>1</v>
      </c>
      <c r="U47" s="53"/>
      <c r="V47" s="59" t="s">
        <v>81</v>
      </c>
      <c r="W47" s="122" t="str">
        <f t="shared" si="53"/>
        <v>Dinamarca</v>
      </c>
      <c r="X47" s="236">
        <f>IF(AND(W47&lt;&gt;"",'Resultado Oficial'!W46&lt;&gt;"",'Resultado Oficial'!W47&lt;&gt;""),IF(W47='Resultado Oficial'!W47,5,IF(W47='Resultado Oficial'!W46,2,0)),"")</f>
        <v>0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10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1.0</v>
      </c>
      <c r="F48" s="106" t="s">
        <v>72</v>
      </c>
      <c r="G48" s="107">
        <v>3.0</v>
      </c>
      <c r="H48" s="108"/>
      <c r="I48" s="96" t="s">
        <v>89</v>
      </c>
      <c r="J48" s="97" t="s">
        <v>106</v>
      </c>
      <c r="K48" s="109"/>
      <c r="L48" s="118" t="str">
        <f>'Zé Augusto'!MH29</f>
        <v>Austrália</v>
      </c>
      <c r="M48" s="119">
        <f>VLOOKUP(L48,'Zé Augusto'!$LM$27:$LU$30,2,FALSE)</f>
        <v>3</v>
      </c>
      <c r="N48" s="120">
        <f>VLOOKUP(L48,'Zé Augusto'!$LM$27:$LU$30,3,FALSE)</f>
        <v>3</v>
      </c>
      <c r="O48" s="120">
        <f>VLOOKUP(L48,'Zé Augusto'!$LM$27:$LU$30,4,FALSE)</f>
        <v>1</v>
      </c>
      <c r="P48" s="120">
        <f>VLOOKUP(L48,'Zé Augusto'!$LM$27:$LU$30,5,FALSE)</f>
        <v>0</v>
      </c>
      <c r="Q48" s="120">
        <f>VLOOKUP(L48,'Zé Augusto'!$LM$27:$LU$30,6,FALSE)</f>
        <v>2</v>
      </c>
      <c r="R48" s="120">
        <f>VLOOKUP(L48,'Zé Augusto'!$LM$27:$LU$30,7,FALSE)</f>
        <v>2</v>
      </c>
      <c r="S48" s="120">
        <f>VLOOKUP(L48,'Zé Augusto'!$LM$27:$LU$30,8,FALSE)</f>
        <v>5</v>
      </c>
      <c r="T48" s="121">
        <f>VLOOKUP(L48,'Zé Augusto'!$LM$27:$LU$30,9,FALSE)</f>
        <v>-3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1.0</v>
      </c>
      <c r="F49" s="106" t="s">
        <v>72</v>
      </c>
      <c r="G49" s="107">
        <v>2.0</v>
      </c>
      <c r="H49" s="108"/>
      <c r="I49" s="96" t="s">
        <v>85</v>
      </c>
      <c r="J49" s="97" t="s">
        <v>99</v>
      </c>
      <c r="K49" s="123"/>
      <c r="L49" s="124" t="str">
        <f>'Zé Augusto'!MH30</f>
        <v>Tunísia</v>
      </c>
      <c r="M49" s="125">
        <f>VLOOKUP(L49,'Zé Augusto'!$LM$27:$LU$30,2,FALSE)</f>
        <v>0</v>
      </c>
      <c r="N49" s="126">
        <f>VLOOKUP(L49,'Zé Augusto'!$LM$27:$LU$30,3,FALSE)</f>
        <v>3</v>
      </c>
      <c r="O49" s="126">
        <f>VLOOKUP(L49,'Zé Augusto'!$LM$27:$LU$30,4,FALSE)</f>
        <v>0</v>
      </c>
      <c r="P49" s="126">
        <f>VLOOKUP(L49,'Zé Augusto'!$LM$27:$LU$30,5,FALSE)</f>
        <v>1</v>
      </c>
      <c r="Q49" s="126">
        <f>VLOOKUP(L49,'Zé Augusto'!$LM$27:$LU$30,6,FALSE)</f>
        <v>2</v>
      </c>
      <c r="R49" s="126">
        <f>VLOOKUP(L49,'Zé Augusto'!$LM$27:$LU$30,7,FALSE)</f>
        <v>3</v>
      </c>
      <c r="S49" s="126">
        <f>VLOOKUP(L49,'Zé Augusto'!$LM$27:$LU$30,8,FALSE)</f>
        <v>5</v>
      </c>
      <c r="T49" s="127">
        <f>VLOOKUP(L49,'Zé Augusto'!$LM$27:$LU$30,9,FALSE)</f>
        <v>-2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8</v>
      </c>
      <c r="LT51" s="71">
        <f>G69+G71+E73</f>
        <v>1</v>
      </c>
      <c r="LU51" s="71">
        <f t="shared" ref="LU51:LU54" si="54">LS51-LT51</f>
        <v>7</v>
      </c>
      <c r="LV51" s="70">
        <f t="shared" ref="LV51:LV54" si="55">LN51</f>
        <v>9</v>
      </c>
      <c r="LW51" s="70">
        <f t="shared" ref="LW51:LW54" si="56">LU51/10</f>
        <v>0.7</v>
      </c>
      <c r="LX51" s="70">
        <f t="shared" ref="LX51:LX54" si="57">LS51/100</f>
        <v>0.08</v>
      </c>
      <c r="LY51" s="70">
        <f t="shared" ref="LY51:LY54" si="58">SUM(LV51:LX51)</f>
        <v>9.78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9.78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2.0</v>
      </c>
      <c r="F52" s="106" t="s">
        <v>72</v>
      </c>
      <c r="G52" s="107">
        <v>0.0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4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1</v>
      </c>
      <c r="LQ52" s="71">
        <f>IF(OR(G69="",E69=""),0,IF(G69=E69,1,0))+IF(OR(G70="",E70=""),0,IF(G70=E70,1,0))+IF(OR(E72="",G72=""),0,IF(E72=G72,1,0))</f>
        <v>1</v>
      </c>
      <c r="LR52" s="71">
        <f>IF(OR(G69="",E69=""),0,IF(G69&lt;E69,1,0))+IF(OR(G70="",E70=""),0,IF(G70&lt;E70,1,0))+IF(OR(E72="",G72=""),0,IF(E72&lt;G72,1,0))</f>
        <v>1</v>
      </c>
      <c r="LS52" s="71">
        <f>G69+G70+E72</f>
        <v>3</v>
      </c>
      <c r="LT52" s="71">
        <f>E69+E70+G72</f>
        <v>4</v>
      </c>
      <c r="LU52" s="71">
        <f t="shared" si="54"/>
        <v>-1</v>
      </c>
      <c r="LV52" s="70">
        <f t="shared" si="55"/>
        <v>4</v>
      </c>
      <c r="LW52" s="70">
        <f t="shared" si="56"/>
        <v>-0.1</v>
      </c>
      <c r="LX52" s="70">
        <f t="shared" si="57"/>
        <v>0.03</v>
      </c>
      <c r="LY52" s="70">
        <f t="shared" si="58"/>
        <v>3.93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3.93</v>
      </c>
      <c r="MD52" s="70">
        <f>RANK($MC$52,$MC$51:$MC$54,0)</f>
        <v>2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2.0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1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0</v>
      </c>
      <c r="LQ53" s="71">
        <f>IF(OR(E68="",G68=""),0,IF(E68=G68,1,0))+IF(OR(G71="",E71=""),0,IF(G71=E71,1,0))+IF(OR(G72="",E72=""),0,IF(G72=E72,1,0))</f>
        <v>1</v>
      </c>
      <c r="LR53" s="71">
        <f>IF(OR(E68="",G68=""),0,IF(E68&lt;G68,1,0))+IF(OR(G71="",E71=""),0,IF(G71&lt;E71,1,0))+IF(OR(G72="",E72=""),0,IF(G72&lt;E72,1,0))</f>
        <v>2</v>
      </c>
      <c r="LS53" s="71">
        <f>E68+G71+G72</f>
        <v>2</v>
      </c>
      <c r="LT53" s="71">
        <f>G68+E71+E72</f>
        <v>6</v>
      </c>
      <c r="LU53" s="71">
        <f t="shared" si="54"/>
        <v>-4</v>
      </c>
      <c r="LV53" s="70">
        <f t="shared" si="55"/>
        <v>1</v>
      </c>
      <c r="LW53" s="70">
        <f t="shared" si="56"/>
        <v>-0.4</v>
      </c>
      <c r="LX53" s="70">
        <f t="shared" si="57"/>
        <v>0.02</v>
      </c>
      <c r="LY53" s="70">
        <f t="shared" si="58"/>
        <v>0.62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0.62</v>
      </c>
      <c r="MD53" s="70">
        <f>RANK($MC$53,$MC$51:$MC$54,0)</f>
        <v>4</v>
      </c>
      <c r="ME53" s="70">
        <f>IF(OR(AND(MD51=MD52,MD51=MD53,MD51=MD54),AND(MD53=MD51,MD53=MD52)),MD53+2,IF(OR(AND(MD53=MD52,MD53=MD54),MD53=MD51,MD53=MD52),MD53+1,MD53))</f>
        <v>4</v>
      </c>
      <c r="MF53" s="70">
        <v>3.0</v>
      </c>
      <c r="MG53" s="70">
        <f t="shared" si="60"/>
        <v>4</v>
      </c>
      <c r="MH53" s="70" t="str">
        <f t="shared" si="61"/>
        <v>Camarões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1.0</v>
      </c>
      <c r="F54" s="115" t="s">
        <v>72</v>
      </c>
      <c r="G54" s="116">
        <v>2.0</v>
      </c>
      <c r="H54" s="117"/>
      <c r="I54" s="96" t="s">
        <v>96</v>
      </c>
      <c r="J54" s="97" t="s">
        <v>115</v>
      </c>
      <c r="K54" s="109"/>
      <c r="L54" s="118" t="str">
        <f>'Zé Augusto'!MH35</f>
        <v>Alemanha</v>
      </c>
      <c r="M54" s="119">
        <f>VLOOKUP(L54,'Zé Augusto'!$LM$35:$LU$38,2,FALSE)</f>
        <v>9</v>
      </c>
      <c r="N54" s="120">
        <f>VLOOKUP(L54,'Zé Augusto'!$LM$35:$LU$38,3,FALSE)</f>
        <v>3</v>
      </c>
      <c r="O54" s="120">
        <f>VLOOKUP(L54,'Zé Augusto'!$LM$35:$LU$38,4,FALSE)</f>
        <v>3</v>
      </c>
      <c r="P54" s="120">
        <f>VLOOKUP(L54,'Zé Augusto'!$LM$35:$LU$38,5,FALSE)</f>
        <v>0</v>
      </c>
      <c r="Q54" s="120">
        <f>VLOOKUP(L54,'Zé Augusto'!$LM$35:$LU$38,6,FALSE)</f>
        <v>0</v>
      </c>
      <c r="R54" s="120">
        <f>VLOOKUP(L54,'Zé Augusto'!$LM$35:$LU$38,7,FALSE)</f>
        <v>7</v>
      </c>
      <c r="S54" s="120">
        <f>VLOOKUP(L54,'Zé Augusto'!$LM$35:$LU$38,8,FALSE)</f>
        <v>1</v>
      </c>
      <c r="T54" s="121">
        <f>VLOOKUP(L54,'Zé Augusto'!$LM$35:$LU$38,9,FALSE)</f>
        <v>6</v>
      </c>
      <c r="U54" s="53"/>
      <c r="V54" s="59" t="s">
        <v>78</v>
      </c>
      <c r="W54" s="122" t="str">
        <f t="shared" ref="W54:W55" si="62">IF(N54&lt;&gt;3,"",L54)</f>
        <v>Alemanha</v>
      </c>
      <c r="X54" s="236">
        <f>IF(AND(W54&lt;&gt;"",'Resultado Oficial'!W54&lt;&gt;"",'Resultado Oficial'!W55&lt;&gt;""),IF(W54='Resultado Oficial'!W54,5,IF(W54='Resultado Oficial'!W55,2,0)),"")</f>
        <v>0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6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2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2</v>
      </c>
      <c r="LR54" s="71">
        <f>IF(OR(G68="",E68=""),0,IF(G68&lt;E68,1,0))+IF(OR(E70="",G70=""),0,IF(E70&lt;G70,1,0))+IF(OR(E73="",G73=""),0,IF(E73&lt;G73,1,0))</f>
        <v>1</v>
      </c>
      <c r="LS54" s="71">
        <f>G68+E70+E73</f>
        <v>3</v>
      </c>
      <c r="LT54" s="71">
        <f>E68+G70+G73</f>
        <v>5</v>
      </c>
      <c r="LU54" s="71">
        <f t="shared" si="54"/>
        <v>-2</v>
      </c>
      <c r="LV54" s="70">
        <f t="shared" si="55"/>
        <v>2</v>
      </c>
      <c r="LW54" s="70">
        <f t="shared" si="56"/>
        <v>-0.2</v>
      </c>
      <c r="LX54" s="70">
        <f t="shared" si="57"/>
        <v>0.03</v>
      </c>
      <c r="LY54" s="70">
        <f t="shared" si="58"/>
        <v>1.83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1.83</v>
      </c>
      <c r="MD54" s="70">
        <f>RANK($MC$54,$MC$51:$MC$54,0)</f>
        <v>3</v>
      </c>
      <c r="ME54" s="70">
        <f>IF(AND(MD51=MD52,MD51=MD53,MD51=MD54),MD54+3,IF(OR(AND(MD54=MD53,MD54=MD52),AND(MD54=MD52,MD54=MD51)),MD54+2,IF(OR(MD54=MD53,MD54=MD52,MD54=MD51),MD54+1,MD54)))</f>
        <v>3</v>
      </c>
      <c r="MF54" s="70">
        <v>4.0</v>
      </c>
      <c r="MG54" s="70">
        <f t="shared" si="60"/>
        <v>3</v>
      </c>
      <c r="MH54" s="70" t="str">
        <f t="shared" si="61"/>
        <v>Suiça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1.0</v>
      </c>
      <c r="F55" s="106" t="s">
        <v>72</v>
      </c>
      <c r="G55" s="107">
        <v>2.0</v>
      </c>
      <c r="H55" s="108"/>
      <c r="I55" s="96" t="s">
        <v>98</v>
      </c>
      <c r="J55" s="97" t="s">
        <v>73</v>
      </c>
      <c r="K55" s="109"/>
      <c r="L55" s="118" t="str">
        <f>'Zé Augusto'!MH36</f>
        <v>Espanha</v>
      </c>
      <c r="M55" s="119">
        <f>VLOOKUP(L55,'Zé Augusto'!$LM$35:$LU$38,2,FALSE)</f>
        <v>6</v>
      </c>
      <c r="N55" s="120">
        <f>VLOOKUP(L55,'Zé Augusto'!$LM$35:$LU$38,3,FALSE)</f>
        <v>3</v>
      </c>
      <c r="O55" s="120">
        <f>VLOOKUP(L55,'Zé Augusto'!$LM$35:$LU$38,4,FALSE)</f>
        <v>2</v>
      </c>
      <c r="P55" s="120">
        <f>VLOOKUP(L55,'Zé Augusto'!$LM$35:$LU$38,5,FALSE)</f>
        <v>0</v>
      </c>
      <c r="Q55" s="120">
        <f>VLOOKUP(L55,'Zé Augusto'!$LM$35:$LU$38,6,FALSE)</f>
        <v>1</v>
      </c>
      <c r="R55" s="120">
        <f>VLOOKUP(L55,'Zé Augusto'!$LM$35:$LU$38,7,FALSE)</f>
        <v>6</v>
      </c>
      <c r="S55" s="120">
        <f>VLOOKUP(L55,'Zé Augusto'!$LM$35:$LU$38,8,FALSE)</f>
        <v>3</v>
      </c>
      <c r="T55" s="121">
        <f>VLOOKUP(L55,'Zé Augusto'!$LM$35:$LU$38,9,FALSE)</f>
        <v>3</v>
      </c>
      <c r="U55" s="53"/>
      <c r="V55" s="59" t="s">
        <v>81</v>
      </c>
      <c r="W55" s="122" t="str">
        <f t="shared" si="62"/>
        <v>Espanha</v>
      </c>
      <c r="X55" s="236">
        <f>IF(AND(W55&lt;&gt;"",'Resultado Oficial'!W54&lt;&gt;"",'Resultado Oficial'!W55&lt;&gt;""),IF(W55='Resultado Oficial'!W55,5,IF(W55='Resultado Oficial'!W54,2,0)),"")</f>
        <v>5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0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1.0</v>
      </c>
      <c r="F56" s="106" t="s">
        <v>72</v>
      </c>
      <c r="G56" s="107">
        <v>3.0</v>
      </c>
      <c r="H56" s="108"/>
      <c r="I56" s="96" t="s">
        <v>93</v>
      </c>
      <c r="J56" s="97" t="s">
        <v>80</v>
      </c>
      <c r="K56" s="109"/>
      <c r="L56" s="118" t="str">
        <f>'Zé Augusto'!MH37</f>
        <v>Costa Rica</v>
      </c>
      <c r="M56" s="119">
        <f>VLOOKUP(L56,'Zé Augusto'!$LM$35:$LU$38,2,FALSE)</f>
        <v>3</v>
      </c>
      <c r="N56" s="120">
        <f>VLOOKUP(L56,'Zé Augusto'!$LM$35:$LU$38,3,FALSE)</f>
        <v>3</v>
      </c>
      <c r="O56" s="120">
        <f>VLOOKUP(L56,'Zé Augusto'!$LM$35:$LU$38,4,FALSE)</f>
        <v>1</v>
      </c>
      <c r="P56" s="120">
        <f>VLOOKUP(L56,'Zé Augusto'!$LM$35:$LU$38,5,FALSE)</f>
        <v>0</v>
      </c>
      <c r="Q56" s="120">
        <f>VLOOKUP(L56,'Zé Augusto'!$LM$35:$LU$38,6,FALSE)</f>
        <v>2</v>
      </c>
      <c r="R56" s="120">
        <f>VLOOKUP(L56,'Zé Augusto'!$LM$35:$LU$38,7,FALSE)</f>
        <v>2</v>
      </c>
      <c r="S56" s="120">
        <f>VLOOKUP(L56,'Zé Augusto'!$LM$35:$LU$38,8,FALSE)</f>
        <v>6</v>
      </c>
      <c r="T56" s="121">
        <f>VLOOKUP(L56,'Zé Augusto'!$LM$35:$LU$38,9,FALSE)</f>
        <v>-4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106" t="s">
        <v>72</v>
      </c>
      <c r="G57" s="107">
        <v>3.0</v>
      </c>
      <c r="H57" s="108"/>
      <c r="I57" s="96" t="s">
        <v>98</v>
      </c>
      <c r="J57" s="97" t="s">
        <v>73</v>
      </c>
      <c r="K57" s="123"/>
      <c r="L57" s="124" t="str">
        <f>'Zé Augusto'!MH38</f>
        <v>Japão</v>
      </c>
      <c r="M57" s="125">
        <f>VLOOKUP(L57,'Zé Augusto'!$LM$35:$LU$38,2,FALSE)</f>
        <v>0</v>
      </c>
      <c r="N57" s="126">
        <f>VLOOKUP(L57,'Zé Augusto'!$LM$35:$LU$38,3,FALSE)</f>
        <v>3</v>
      </c>
      <c r="O57" s="126">
        <f>VLOOKUP(L57,'Zé Augusto'!$LM$35:$LU$38,4,FALSE)</f>
        <v>0</v>
      </c>
      <c r="P57" s="126">
        <f>VLOOKUP(L57,'Zé Augusto'!$LM$35:$LU$38,5,FALSE)</f>
        <v>0</v>
      </c>
      <c r="Q57" s="126">
        <f>VLOOKUP(L57,'Zé Augusto'!$LM$35:$LU$38,6,FALSE)</f>
        <v>3</v>
      </c>
      <c r="R57" s="126">
        <f>VLOOKUP(L57,'Zé Augusto'!$LM$35:$LU$38,7,FALSE)</f>
        <v>2</v>
      </c>
      <c r="S57" s="126">
        <f>VLOOKUP(L57,'Zé Augusto'!$LM$35:$LU$38,8,FALSE)</f>
        <v>7</v>
      </c>
      <c r="T57" s="127">
        <f>VLOOKUP(L57,'Zé Augusto'!$LM$35:$LU$38,9,FALSE)</f>
        <v>-5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3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7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1</v>
      </c>
      <c r="LR59" s="71">
        <f>IF(OR(E77="",G77=""),0,IF(E77&lt;G77,1,0))+IF(OR(E79="",G79=""),0,IF(E79&lt;G79,1,0))+IF(OR(G81="",E81=""),0,IF(G81&lt;E81,1,0))</f>
        <v>0</v>
      </c>
      <c r="LS59" s="71">
        <f>E77+E79+G81</f>
        <v>6</v>
      </c>
      <c r="LT59" s="71">
        <f>G77+G79+E81</f>
        <v>2</v>
      </c>
      <c r="LU59" s="71">
        <f t="shared" ref="LU59:LU62" si="63">LS59-LT59</f>
        <v>4</v>
      </c>
      <c r="LV59" s="70">
        <f t="shared" ref="LV59:LV62" si="64">LN59</f>
        <v>7</v>
      </c>
      <c r="LW59" s="70">
        <f t="shared" ref="LW59:LW62" si="65">LU59/10</f>
        <v>0.4</v>
      </c>
      <c r="LX59" s="70">
        <f t="shared" ref="LX59:LX62" si="66">LS59/100</f>
        <v>0.06</v>
      </c>
      <c r="LY59" s="70">
        <f t="shared" ref="LY59:LY62" si="67">SUM(LV59:LX59)</f>
        <v>7.46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7.46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1.0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3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1</v>
      </c>
      <c r="LQ60" s="71">
        <f>IF(OR(G77="",E77=""),0,IF(G77=E77,1,0))+IF(OR(G78="",E78=""),0,IF(G78=E78,1,0))+IF(OR(E80="",G80=""),0,IF(E80=G80,1,0))</f>
        <v>0</v>
      </c>
      <c r="LR60" s="71">
        <f>IF(OR(G77="",E77=""),0,IF(G77&lt;E77,1,0))+IF(OR(G78="",E78=""),0,IF(G78&lt;E78,1,0))+IF(OR(E80="",G80=""),0,IF(E80&lt;G80,1,0))</f>
        <v>2</v>
      </c>
      <c r="LS60" s="71">
        <f>G77+G78+E80</f>
        <v>2</v>
      </c>
      <c r="LT60" s="71">
        <f>E77+E78+G80</f>
        <v>5</v>
      </c>
      <c r="LU60" s="71">
        <f t="shared" si="63"/>
        <v>-3</v>
      </c>
      <c r="LV60" s="70">
        <f t="shared" si="64"/>
        <v>3</v>
      </c>
      <c r="LW60" s="70">
        <f t="shared" si="65"/>
        <v>-0.3</v>
      </c>
      <c r="LX60" s="70">
        <f t="shared" si="66"/>
        <v>0.02</v>
      </c>
      <c r="LY60" s="70">
        <f t="shared" si="67"/>
        <v>2.72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2.72</v>
      </c>
      <c r="MD60" s="70">
        <f>RANK($MC$60,$MC$59:$MC$62,0)</f>
        <v>3</v>
      </c>
      <c r="ME60" s="70">
        <f>IF(OR(AND(MD59=MD60,MD59=MD61,MD59=MD62),AND(MD60=MD59,MD60=MD61),AND(MD60=MD59,MD60=MD62),MD60=MD59),MD60+1,MD60)</f>
        <v>3</v>
      </c>
      <c r="MF60" s="70">
        <v>2.0</v>
      </c>
      <c r="MG60" s="70">
        <f t="shared" si="69"/>
        <v>3</v>
      </c>
      <c r="MH60" s="70" t="str">
        <f t="shared" si="70"/>
        <v>Uruguai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3.0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7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0</v>
      </c>
      <c r="LS61" s="71">
        <f>E76+G79+G80</f>
        <v>6</v>
      </c>
      <c r="LT61" s="71">
        <f>G76+E79+E80</f>
        <v>2</v>
      </c>
      <c r="LU61" s="71">
        <f t="shared" si="63"/>
        <v>4</v>
      </c>
      <c r="LV61" s="70">
        <f t="shared" si="64"/>
        <v>7</v>
      </c>
      <c r="LW61" s="70">
        <f t="shared" si="65"/>
        <v>0.4</v>
      </c>
      <c r="LX61" s="70">
        <f t="shared" si="66"/>
        <v>0.06</v>
      </c>
      <c r="LY61" s="70">
        <f t="shared" si="67"/>
        <v>7.46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7.46</v>
      </c>
      <c r="MD61" s="70">
        <f>RANK($MC$61,$MC$59:$MC$62,0)</f>
        <v>1</v>
      </c>
      <c r="ME61" s="70">
        <f>IF(OR(AND(MD59=MD60,MD59=MD61,MD59=MD62),AND(MD61=MD59,MD61=MD60)),MD61+2,IF(OR(AND(MD61=MD60,MD61=MD62),MD61=MD59,MD61=MD60),MD61+1,MD61))</f>
        <v>2</v>
      </c>
      <c r="MF61" s="70">
        <v>3.0</v>
      </c>
      <c r="MG61" s="70">
        <f t="shared" si="69"/>
        <v>2</v>
      </c>
      <c r="MH61" s="70" t="str">
        <f t="shared" si="70"/>
        <v>Gana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2.0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'Zé Augusto'!MH43</f>
        <v>Bélgica</v>
      </c>
      <c r="M62" s="119">
        <f>VLOOKUP(L62,'Zé Augusto'!$LM$43:$LU$46,2,FALSE)</f>
        <v>9</v>
      </c>
      <c r="N62" s="120">
        <f>VLOOKUP(L62,'Zé Augusto'!$LM$43:$LU$46,3,FALSE)</f>
        <v>3</v>
      </c>
      <c r="O62" s="120">
        <f>VLOOKUP(L62,'Zé Augusto'!$LM$43:$LU$46,4,FALSE)</f>
        <v>3</v>
      </c>
      <c r="P62" s="120">
        <f>VLOOKUP(L62,'Zé Augusto'!$LM$43:$LU$46,5,FALSE)</f>
        <v>0</v>
      </c>
      <c r="Q62" s="120">
        <f>VLOOKUP(L62,'Zé Augusto'!$LM$43:$LU$46,6,FALSE)</f>
        <v>0</v>
      </c>
      <c r="R62" s="120">
        <f>VLOOKUP(L62,'Zé Augusto'!$LM$43:$LU$46,7,FALSE)</f>
        <v>8</v>
      </c>
      <c r="S62" s="120">
        <f>VLOOKUP(L62,'Zé Augusto'!$LM$43:$LU$46,8,FALSE)</f>
        <v>1</v>
      </c>
      <c r="T62" s="121">
        <f>VLOOKUP(L62,'Zé Augusto'!$LM$43:$LU$46,9,FALSE)</f>
        <v>7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0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0</v>
      </c>
      <c r="LR62" s="71">
        <f>IF(OR(G76="",E76=""),0,IF(G76&lt;E76,1,0))+IF(OR(E78="",G78=""),0,IF(E78&lt;G78,1,0))+IF(OR(E81="",G81=""),0,IF(E81&lt;G81,1,0))</f>
        <v>3</v>
      </c>
      <c r="LS62" s="71">
        <f>G76+E78+E81</f>
        <v>1</v>
      </c>
      <c r="LT62" s="71">
        <f>E76+G78+G81</f>
        <v>6</v>
      </c>
      <c r="LU62" s="71">
        <f t="shared" si="63"/>
        <v>-5</v>
      </c>
      <c r="LV62" s="70">
        <f t="shared" si="64"/>
        <v>0</v>
      </c>
      <c r="LW62" s="70">
        <f t="shared" si="65"/>
        <v>-0.5</v>
      </c>
      <c r="LX62" s="70">
        <f t="shared" si="66"/>
        <v>0.01</v>
      </c>
      <c r="LY62" s="70">
        <f t="shared" si="67"/>
        <v>-0.49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-0.49</v>
      </c>
      <c r="MD62" s="70">
        <f>RANK($MC$62,$MC$59:$MC$62,0)</f>
        <v>4</v>
      </c>
      <c r="ME62" s="70">
        <f>IF(AND(MD59=MD60,MD59=MD61,MD59=MD62),MD62+3,IF(OR(AND(MD62=MD61,MD62=MD60),AND(MD62=MD60,MD62=MD59)),MD62+2,IF(OR(MD62=MD61,MD62=MD60,MD62=MD59),MD62+1,MD62)))</f>
        <v>4</v>
      </c>
      <c r="MF62" s="70">
        <v>4.0</v>
      </c>
      <c r="MG62" s="70">
        <f t="shared" si="69"/>
        <v>4</v>
      </c>
      <c r="MH62" s="70" t="str">
        <f t="shared" si="70"/>
        <v>Coréia do Sul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1.0</v>
      </c>
      <c r="F63" s="106" t="s">
        <v>72</v>
      </c>
      <c r="G63" s="107">
        <v>1.0</v>
      </c>
      <c r="H63" s="108"/>
      <c r="I63" s="96" t="s">
        <v>105</v>
      </c>
      <c r="J63" s="97" t="s">
        <v>80</v>
      </c>
      <c r="K63" s="109"/>
      <c r="L63" s="118" t="str">
        <f>'Zé Augusto'!MH44</f>
        <v>Canadá</v>
      </c>
      <c r="M63" s="119">
        <f>VLOOKUP(L63,'Zé Augusto'!$LM$43:$LU$46,2,FALSE)</f>
        <v>4</v>
      </c>
      <c r="N63" s="120">
        <f>VLOOKUP(L63,'Zé Augusto'!$LM$43:$LU$46,3,FALSE)</f>
        <v>3</v>
      </c>
      <c r="O63" s="120">
        <f>VLOOKUP(L63,'Zé Augusto'!$LM$43:$LU$46,4,FALSE)</f>
        <v>1</v>
      </c>
      <c r="P63" s="120">
        <f>VLOOKUP(L63,'Zé Augusto'!$LM$43:$LU$46,5,FALSE)</f>
        <v>1</v>
      </c>
      <c r="Q63" s="120">
        <f>VLOOKUP(L63,'Zé Augusto'!$LM$43:$LU$46,6,FALSE)</f>
        <v>1</v>
      </c>
      <c r="R63" s="120">
        <f>VLOOKUP(L63,'Zé Augusto'!$LM$43:$LU$46,7,FALSE)</f>
        <v>3</v>
      </c>
      <c r="S63" s="120">
        <f>VLOOKUP(L63,'Zé Augusto'!$LM$43:$LU$46,8,FALSE)</f>
        <v>4</v>
      </c>
      <c r="T63" s="121">
        <f>VLOOKUP(L63,'Zé Augusto'!$LM$43:$LU$46,9,FALSE)</f>
        <v>-1</v>
      </c>
      <c r="U63" s="53"/>
      <c r="V63" s="59" t="s">
        <v>81</v>
      </c>
      <c r="W63" s="122" t="str">
        <f t="shared" si="71"/>
        <v>Canadá</v>
      </c>
      <c r="X63" s="236">
        <f>IF(AND(W63&lt;&gt;"",'Resultado Oficial'!W62&lt;&gt;"",'Resultado Oficial'!W63&lt;&gt;""),IF(W63='Resultado Oficial'!W63,5,IF(W63='Resultado Oficial'!W62,2,0)),"")</f>
        <v>0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0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1.0</v>
      </c>
      <c r="F64" s="106" t="s">
        <v>72</v>
      </c>
      <c r="G64" s="107">
        <v>3.0</v>
      </c>
      <c r="H64" s="108"/>
      <c r="I64" s="96" t="s">
        <v>103</v>
      </c>
      <c r="J64" s="97" t="s">
        <v>88</v>
      </c>
      <c r="K64" s="109"/>
      <c r="L64" s="118" t="str">
        <f>'Zé Augusto'!MH45</f>
        <v>Croácia</v>
      </c>
      <c r="M64" s="119">
        <f>VLOOKUP(L64,'Zé Augusto'!$LM$43:$LU$46,2,FALSE)</f>
        <v>4</v>
      </c>
      <c r="N64" s="120">
        <f>VLOOKUP(L64,'Zé Augusto'!$LM$43:$LU$46,3,FALSE)</f>
        <v>3</v>
      </c>
      <c r="O64" s="120">
        <f>VLOOKUP(L64,'Zé Augusto'!$LM$43:$LU$46,4,FALSE)</f>
        <v>1</v>
      </c>
      <c r="P64" s="120">
        <f>VLOOKUP(L64,'Zé Augusto'!$LM$43:$LU$46,5,FALSE)</f>
        <v>1</v>
      </c>
      <c r="Q64" s="120">
        <f>VLOOKUP(L64,'Zé Augusto'!$LM$43:$LU$46,6,FALSE)</f>
        <v>1</v>
      </c>
      <c r="R64" s="120">
        <f>VLOOKUP(L64,'Zé Augusto'!$LM$43:$LU$46,7,FALSE)</f>
        <v>3</v>
      </c>
      <c r="S64" s="120">
        <f>VLOOKUP(L64,'Zé Augusto'!$LM$43:$LU$46,8,FALSE)</f>
        <v>4</v>
      </c>
      <c r="T64" s="121">
        <f>VLOOKUP(L64,'Zé Augusto'!$LM$43:$LU$46,9,FALSE)</f>
        <v>-1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2.0</v>
      </c>
      <c r="F65" s="106" t="s">
        <v>72</v>
      </c>
      <c r="G65" s="107">
        <v>0.0</v>
      </c>
      <c r="H65" s="108"/>
      <c r="I65" s="96" t="s">
        <v>107</v>
      </c>
      <c r="J65" s="97" t="s">
        <v>76</v>
      </c>
      <c r="K65" s="123"/>
      <c r="L65" s="124" t="str">
        <f>'Zé Augusto'!MH46</f>
        <v>Marrocos</v>
      </c>
      <c r="M65" s="125">
        <f>VLOOKUP(L65,'Zé Augusto'!$LM$43:$LU$46,2,FALSE)</f>
        <v>0</v>
      </c>
      <c r="N65" s="126">
        <f>VLOOKUP(L65,'Zé Augusto'!$LM$43:$LU$46,3,FALSE)</f>
        <v>3</v>
      </c>
      <c r="O65" s="126">
        <f>VLOOKUP(L65,'Zé Augusto'!$LM$43:$LU$46,4,FALSE)</f>
        <v>0</v>
      </c>
      <c r="P65" s="126">
        <f>VLOOKUP(L65,'Zé Augusto'!$LM$43:$LU$46,5,FALSE)</f>
        <v>0</v>
      </c>
      <c r="Q65" s="126">
        <f>VLOOKUP(L65,'Zé Augusto'!$LM$43:$LU$46,6,FALSE)</f>
        <v>3</v>
      </c>
      <c r="R65" s="126">
        <f>VLOOKUP(L65,'Zé Augusto'!$LM$43:$LU$46,7,FALSE)</f>
        <v>0</v>
      </c>
      <c r="S65" s="126">
        <f>VLOOKUP(L65,'Zé Augusto'!$LM$43:$LU$46,8,FALSE)</f>
        <v>5</v>
      </c>
      <c r="T65" s="127">
        <f>VLOOKUP(L65,'Zé Augusto'!$LM$43:$LU$46,9,FALSE)</f>
        <v>-5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1.0</v>
      </c>
      <c r="F68" s="106" t="s">
        <v>72</v>
      </c>
      <c r="G68" s="107">
        <v>1.0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106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10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1.0</v>
      </c>
      <c r="F70" s="115" t="s">
        <v>72</v>
      </c>
      <c r="G70" s="116">
        <v>1.0</v>
      </c>
      <c r="H70" s="117"/>
      <c r="I70" s="96" t="s">
        <v>113</v>
      </c>
      <c r="J70" s="97" t="s">
        <v>106</v>
      </c>
      <c r="K70" s="109"/>
      <c r="L70" s="118" t="str">
        <f>'Zé Augusto'!MH51</f>
        <v>Brasil</v>
      </c>
      <c r="M70" s="119">
        <f>VLOOKUP(L70,'Zé Augusto'!$LM$51:$LU$54,2,FALSE)</f>
        <v>9</v>
      </c>
      <c r="N70" s="120">
        <f>VLOOKUP(L70,'Zé Augusto'!$LM$51:$LU$54,3,FALSE)</f>
        <v>3</v>
      </c>
      <c r="O70" s="120">
        <f>VLOOKUP(L70,'Zé Augusto'!$LM$51:$LU$54,4,FALSE)</f>
        <v>3</v>
      </c>
      <c r="P70" s="120">
        <f>VLOOKUP(L70,'Zé Augusto'!$LM$51:$LU$54,5,FALSE)</f>
        <v>0</v>
      </c>
      <c r="Q70" s="120">
        <f>VLOOKUP(L70,'Zé Augusto'!$LM$51:$LU$54,6,FALSE)</f>
        <v>0</v>
      </c>
      <c r="R70" s="120">
        <f>VLOOKUP(L70,'Zé Augusto'!$LM$51:$LU$54,7,FALSE)</f>
        <v>8</v>
      </c>
      <c r="S70" s="120">
        <f>VLOOKUP(L70,'Zé Augusto'!$LM$51:$LU$54,8,FALSE)</f>
        <v>1</v>
      </c>
      <c r="T70" s="121">
        <f>VLOOKUP(L70,'Zé Augusto'!$LM$51:$LU$54,9,FALSE)</f>
        <v>7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3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3.0</v>
      </c>
      <c r="F71" s="106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'Zé Augusto'!MH52</f>
        <v>Sérvia</v>
      </c>
      <c r="M71" s="119">
        <f>VLOOKUP(L71,'Zé Augusto'!$LM$51:$LU$54,2,FALSE)</f>
        <v>4</v>
      </c>
      <c r="N71" s="120">
        <f>VLOOKUP(L71,'Zé Augusto'!$LM$51:$LU$54,3,FALSE)</f>
        <v>3</v>
      </c>
      <c r="O71" s="120">
        <f>VLOOKUP(L71,'Zé Augusto'!$LM$51:$LU$54,4,FALSE)</f>
        <v>1</v>
      </c>
      <c r="P71" s="120">
        <f>VLOOKUP(L71,'Zé Augusto'!$LM$51:$LU$54,5,FALSE)</f>
        <v>1</v>
      </c>
      <c r="Q71" s="120">
        <f>VLOOKUP(L71,'Zé Augusto'!$LM$51:$LU$54,6,FALSE)</f>
        <v>1</v>
      </c>
      <c r="R71" s="120">
        <f>VLOOKUP(L71,'Zé Augusto'!$LM$51:$LU$54,7,FALSE)</f>
        <v>3</v>
      </c>
      <c r="S71" s="120">
        <f>VLOOKUP(L71,'Zé Augusto'!$LM$51:$LU$54,8,FALSE)</f>
        <v>4</v>
      </c>
      <c r="T71" s="121">
        <f>VLOOKUP(L71,'Zé Augusto'!$LM$51:$LU$54,9,FALSE)</f>
        <v>-1</v>
      </c>
      <c r="U71" s="53"/>
      <c r="V71" s="59" t="s">
        <v>81</v>
      </c>
      <c r="W71" s="122" t="str">
        <f t="shared" si="72"/>
        <v>Sérvia</v>
      </c>
      <c r="X71" s="236">
        <f>IF(AND(W71&lt;&gt;"",'Resultado Oficial'!W70&lt;&gt;"",'Resultado Oficial'!W71&lt;&gt;""),IF(W71='Resultado Oficial'!W71,5,IF(W71='Resultado Oficial'!W70,2,0)),"")</f>
        <v>0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3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2.0</v>
      </c>
      <c r="F72" s="106" t="s">
        <v>72</v>
      </c>
      <c r="G72" s="107">
        <v>1.0</v>
      </c>
      <c r="H72" s="108"/>
      <c r="I72" s="96" t="s">
        <v>114</v>
      </c>
      <c r="J72" s="97" t="s">
        <v>97</v>
      </c>
      <c r="K72" s="109"/>
      <c r="L72" s="118" t="str">
        <f>'Zé Augusto'!MH53</f>
        <v>Camarões</v>
      </c>
      <c r="M72" s="119">
        <f>VLOOKUP(L72,'Zé Augusto'!$LM$51:$LU$54,2,FALSE)</f>
        <v>2</v>
      </c>
      <c r="N72" s="120">
        <f>VLOOKUP(L72,'Zé Augusto'!$LM$51:$LU$54,3,FALSE)</f>
        <v>3</v>
      </c>
      <c r="O72" s="120">
        <f>VLOOKUP(L72,'Zé Augusto'!$LM$51:$LU$54,4,FALSE)</f>
        <v>0</v>
      </c>
      <c r="P72" s="120">
        <f>VLOOKUP(L72,'Zé Augusto'!$LM$51:$LU$54,5,FALSE)</f>
        <v>2</v>
      </c>
      <c r="Q72" s="120">
        <f>VLOOKUP(L72,'Zé Augusto'!$LM$51:$LU$54,6,FALSE)</f>
        <v>1</v>
      </c>
      <c r="R72" s="120">
        <f>VLOOKUP(L72,'Zé Augusto'!$LM$51:$LU$54,7,FALSE)</f>
        <v>3</v>
      </c>
      <c r="S72" s="120">
        <f>VLOOKUP(L72,'Zé Augusto'!$LM$51:$LU$54,8,FALSE)</f>
        <v>5</v>
      </c>
      <c r="T72" s="121">
        <f>VLOOKUP(L72,'Zé Augusto'!$LM$51:$LU$54,9,FALSE)</f>
        <v>-2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1.0</v>
      </c>
      <c r="F73" s="106" t="s">
        <v>72</v>
      </c>
      <c r="G73" s="107">
        <v>3.0</v>
      </c>
      <c r="H73" s="108"/>
      <c r="I73" s="96" t="s">
        <v>111</v>
      </c>
      <c r="J73" s="97" t="s">
        <v>94</v>
      </c>
      <c r="K73" s="123"/>
      <c r="L73" s="124" t="str">
        <f>'Zé Augusto'!MH54</f>
        <v>Suiça</v>
      </c>
      <c r="M73" s="125">
        <f>VLOOKUP(L73,'Zé Augusto'!$LM$51:$LU$54,2,FALSE)</f>
        <v>1</v>
      </c>
      <c r="N73" s="126">
        <f>VLOOKUP(L73,'Zé Augusto'!$LM$51:$LU$54,3,FALSE)</f>
        <v>3</v>
      </c>
      <c r="O73" s="126">
        <f>VLOOKUP(L73,'Zé Augusto'!$LM$51:$LU$54,4,FALSE)</f>
        <v>0</v>
      </c>
      <c r="P73" s="126">
        <f>VLOOKUP(L73,'Zé Augusto'!$LM$51:$LU$54,5,FALSE)</f>
        <v>1</v>
      </c>
      <c r="Q73" s="126">
        <f>VLOOKUP(L73,'Zé Augusto'!$LM$51:$LU$54,6,FALSE)</f>
        <v>2</v>
      </c>
      <c r="R73" s="126">
        <f>VLOOKUP(L73,'Zé Augusto'!$LM$51:$LU$54,7,FALSE)</f>
        <v>2</v>
      </c>
      <c r="S73" s="126">
        <f>VLOOKUP(L73,'Zé Augusto'!$LM$51:$LU$54,8,FALSE)</f>
        <v>6</v>
      </c>
      <c r="T73" s="127">
        <f>VLOOKUP(L73,'Zé Augusto'!$LM$51:$LU$54,9,FALSE)</f>
        <v>-4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2.0</v>
      </c>
      <c r="F76" s="106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2.0</v>
      </c>
      <c r="F77" s="106" t="s">
        <v>72</v>
      </c>
      <c r="G77" s="107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3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0.0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'Zé Augusto'!MH59</f>
        <v>Portugal</v>
      </c>
      <c r="M78" s="119">
        <f>VLOOKUP(L78,'Zé Augusto'!$LM$59:$LU$62,2,FALSE)</f>
        <v>7</v>
      </c>
      <c r="N78" s="120">
        <f>VLOOKUP(L78,'Zé Augusto'!$LM$59:$LU$62,3,FALSE)</f>
        <v>3</v>
      </c>
      <c r="O78" s="120">
        <f>VLOOKUP(L78,'Zé Augusto'!$LM$59:$LU$62,4,FALSE)</f>
        <v>2</v>
      </c>
      <c r="P78" s="120">
        <f>VLOOKUP(L78,'Zé Augusto'!$LM$59:$LU$62,5,FALSE)</f>
        <v>1</v>
      </c>
      <c r="Q78" s="120">
        <f>VLOOKUP(L78,'Zé Augusto'!$LM$59:$LU$62,6,FALSE)</f>
        <v>0</v>
      </c>
      <c r="R78" s="120">
        <f>VLOOKUP(L78,'Zé Augusto'!$LM$59:$LU$62,7,FALSE)</f>
        <v>6</v>
      </c>
      <c r="S78" s="120">
        <f>VLOOKUP(L78,'Zé Augusto'!$LM$59:$LU$62,8,FALSE)</f>
        <v>2</v>
      </c>
      <c r="T78" s="121">
        <f>VLOOKUP(L78,'Zé Augusto'!$LM$59:$LU$62,9,FALSE)</f>
        <v>4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6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1.0</v>
      </c>
      <c r="F79" s="106" t="s">
        <v>72</v>
      </c>
      <c r="G79" s="107">
        <v>1.0</v>
      </c>
      <c r="H79" s="108"/>
      <c r="I79" s="96" t="s">
        <v>122</v>
      </c>
      <c r="J79" s="97" t="s">
        <v>94</v>
      </c>
      <c r="K79" s="109"/>
      <c r="L79" s="118" t="str">
        <f>'Zé Augusto'!MH60</f>
        <v>Uruguai</v>
      </c>
      <c r="M79" s="119">
        <f>VLOOKUP(L79,'Zé Augusto'!$LM$59:$LU$62,2,FALSE)</f>
        <v>7</v>
      </c>
      <c r="N79" s="120">
        <f>VLOOKUP(L79,'Zé Augusto'!$LM$59:$LU$62,3,FALSE)</f>
        <v>3</v>
      </c>
      <c r="O79" s="120">
        <f>VLOOKUP(L79,'Zé Augusto'!$LM$59:$LU$62,4,FALSE)</f>
        <v>2</v>
      </c>
      <c r="P79" s="120">
        <f>VLOOKUP(L79,'Zé Augusto'!$LM$59:$LU$62,5,FALSE)</f>
        <v>1</v>
      </c>
      <c r="Q79" s="120">
        <f>VLOOKUP(L79,'Zé Augusto'!$LM$59:$LU$62,6,FALSE)</f>
        <v>0</v>
      </c>
      <c r="R79" s="120">
        <f>VLOOKUP(L79,'Zé Augusto'!$LM$59:$LU$62,7,FALSE)</f>
        <v>6</v>
      </c>
      <c r="S79" s="120">
        <f>VLOOKUP(L79,'Zé Augusto'!$LM$59:$LU$62,8,FALSE)</f>
        <v>2</v>
      </c>
      <c r="T79" s="121">
        <f>VLOOKUP(L79,'Zé Augusto'!$LM$59:$LU$62,9,FALSE)</f>
        <v>4</v>
      </c>
      <c r="U79" s="53"/>
      <c r="V79" s="59" t="s">
        <v>81</v>
      </c>
      <c r="W79" s="122" t="str">
        <f t="shared" si="73"/>
        <v>Uruguai</v>
      </c>
      <c r="X79" s="236">
        <f>IF(AND(W79&lt;&gt;"",'Resultado Oficial'!W78&lt;&gt;"",'Resultado Oficial'!W79&lt;&gt;""),IF(W79='Resultado Oficial'!W79,5,IF(W79='Resultado Oficial'!W78,2,0)),"")</f>
        <v>0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106" t="s">
        <v>72</v>
      </c>
      <c r="G80" s="107">
        <v>3.0</v>
      </c>
      <c r="H80" s="108"/>
      <c r="I80" s="96" t="s">
        <v>122</v>
      </c>
      <c r="J80" s="97" t="s">
        <v>106</v>
      </c>
      <c r="K80" s="109"/>
      <c r="L80" s="118" t="str">
        <f>'Zé Augusto'!MH61</f>
        <v>Gana</v>
      </c>
      <c r="M80" s="119">
        <f>VLOOKUP(L80,'Zé Augusto'!$LM$59:$LU$62,2,FALSE)</f>
        <v>3</v>
      </c>
      <c r="N80" s="120">
        <f>VLOOKUP(L80,'Zé Augusto'!$LM$59:$LU$62,3,FALSE)</f>
        <v>3</v>
      </c>
      <c r="O80" s="120">
        <f>VLOOKUP(L80,'Zé Augusto'!$LM$59:$LU$62,4,FALSE)</f>
        <v>1</v>
      </c>
      <c r="P80" s="120">
        <f>VLOOKUP(L80,'Zé Augusto'!$LM$59:$LU$62,5,FALSE)</f>
        <v>0</v>
      </c>
      <c r="Q80" s="120">
        <f>VLOOKUP(L80,'Zé Augusto'!$LM$59:$LU$62,6,FALSE)</f>
        <v>2</v>
      </c>
      <c r="R80" s="120">
        <f>VLOOKUP(L80,'Zé Augusto'!$LM$59:$LU$62,7,FALSE)</f>
        <v>2</v>
      </c>
      <c r="S80" s="120">
        <f>VLOOKUP(L80,'Zé Augusto'!$LM$59:$LU$62,8,FALSE)</f>
        <v>5</v>
      </c>
      <c r="T80" s="121">
        <f>VLOOKUP(L80,'Zé Augusto'!$LM$59:$LU$62,9,FALSE)</f>
        <v>-3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6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1.0</v>
      </c>
      <c r="F81" s="106" t="s">
        <v>72</v>
      </c>
      <c r="G81" s="107">
        <v>3.0</v>
      </c>
      <c r="H81" s="108"/>
      <c r="I81" s="96" t="s">
        <v>119</v>
      </c>
      <c r="J81" s="97" t="s">
        <v>99</v>
      </c>
      <c r="K81" s="123"/>
      <c r="L81" s="124" t="str">
        <f>'Zé Augusto'!MH62</f>
        <v>Coréia do Sul</v>
      </c>
      <c r="M81" s="125">
        <f>VLOOKUP(L81,'Zé Augusto'!$LM$59:$LU$62,2,FALSE)</f>
        <v>0</v>
      </c>
      <c r="N81" s="126">
        <f>VLOOKUP(L81,'Zé Augusto'!$LM$59:$LU$62,3,FALSE)</f>
        <v>3</v>
      </c>
      <c r="O81" s="126">
        <f>VLOOKUP(L81,'Zé Augusto'!$LM$59:$LU$62,4,FALSE)</f>
        <v>0</v>
      </c>
      <c r="P81" s="126">
        <f>VLOOKUP(L81,'Zé Augusto'!$LM$59:$LU$62,5,FALSE)</f>
        <v>0</v>
      </c>
      <c r="Q81" s="126">
        <f>VLOOKUP(L81,'Zé Augusto'!$LM$59:$LU$62,6,FALSE)</f>
        <v>3</v>
      </c>
      <c r="R81" s="126">
        <f>VLOOKUP(L81,'Zé Augusto'!$LM$59:$LU$62,7,FALSE)</f>
        <v>1</v>
      </c>
      <c r="S81" s="126">
        <f>VLOOKUP(L81,'Zé Augusto'!$LM$59:$LU$62,8,FALSE)</f>
        <v>6</v>
      </c>
      <c r="T81" s="127">
        <f>VLOOKUP(L81,'Zé Augusto'!$LM$59:$LU$62,9,FALSE)</f>
        <v>-5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115"/>
      <c r="G85" s="260">
        <v>1.0</v>
      </c>
      <c r="H85" s="158"/>
      <c r="I85" s="157" t="str">
        <f>IF(N31=3,L31,"2º do grupo B")</f>
        <v>País de Gales</v>
      </c>
      <c r="J85" s="159"/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2.0</v>
      </c>
      <c r="F86" s="115"/>
      <c r="G86" s="260">
        <v>0.0</v>
      </c>
      <c r="H86" s="158"/>
      <c r="I86" s="157" t="str">
        <f>IF(N47=3,L47,"2º do grupo D")</f>
        <v>Dinamarca</v>
      </c>
      <c r="J86" s="159"/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2.0</v>
      </c>
      <c r="F87" s="115"/>
      <c r="G87" s="260">
        <v>0.0</v>
      </c>
      <c r="H87" s="158"/>
      <c r="I87" s="157" t="str">
        <f>IF(N23=3,L23,"2º do grupo A")</f>
        <v>Equador</v>
      </c>
      <c r="J87" s="159"/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158"/>
      <c r="E88" s="259">
        <v>1.0</v>
      </c>
      <c r="F88" s="115"/>
      <c r="G88" s="260">
        <v>2.0</v>
      </c>
      <c r="H88" s="158"/>
      <c r="I88" s="157" t="str">
        <f>IF(N39=3,L39,"2º do grupo C")</f>
        <v>México</v>
      </c>
      <c r="J88" s="159"/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Alemanha</v>
      </c>
      <c r="D89" s="158"/>
      <c r="E89" s="259">
        <v>3.0</v>
      </c>
      <c r="F89" s="115"/>
      <c r="G89" s="260">
        <v>0.0</v>
      </c>
      <c r="H89" s="158"/>
      <c r="I89" s="157" t="str">
        <f>IF(N63=3,L63,"2º do grupo F")</f>
        <v>Canadá</v>
      </c>
      <c r="J89" s="159"/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2.0</v>
      </c>
      <c r="F90" s="115"/>
      <c r="G90" s="260">
        <v>1.0</v>
      </c>
      <c r="H90" s="158"/>
      <c r="I90" s="157" t="str">
        <f>IF(N79=3,L79,"2º do grupo H")</f>
        <v>Uruguai</v>
      </c>
      <c r="J90" s="159"/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58"/>
      <c r="E91" s="259">
        <v>1.0</v>
      </c>
      <c r="F91" s="115"/>
      <c r="G91" s="260">
        <v>2.0</v>
      </c>
      <c r="H91" s="158"/>
      <c r="I91" s="157" t="str">
        <f>IF(N55=3,L55,"2º do grupo E")</f>
        <v>Espanha</v>
      </c>
      <c r="J91" s="159"/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2.0</v>
      </c>
      <c r="F92" s="115"/>
      <c r="G92" s="260">
        <v>1.0</v>
      </c>
      <c r="H92" s="158"/>
      <c r="I92" s="157" t="str">
        <f>IF(N71=3,L71,"2º do grupo G")</f>
        <v>Sérvia</v>
      </c>
      <c r="J92" s="159"/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58"/>
      <c r="E95" s="259">
        <v>0.0</v>
      </c>
      <c r="F95" s="115"/>
      <c r="G95" s="260">
        <v>2.0</v>
      </c>
      <c r="H95" s="158"/>
      <c r="I95" s="157" t="str">
        <f>IF(OR(G86="",E86="",AND(G86=E86,OR(H86="",D86=""))),"Vencedor do 50",IF(G86=E86,IF(H86&gt;D86,I86,C86),IF(G86&gt;E86,I86,C86)))</f>
        <v>Argentina</v>
      </c>
      <c r="J95" s="159"/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Brasil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Alemanha</v>
      </c>
      <c r="D96" s="158"/>
      <c r="E96" s="259">
        <v>1.0</v>
      </c>
      <c r="F96" s="115"/>
      <c r="G96" s="260">
        <v>3.0</v>
      </c>
      <c r="H96" s="158"/>
      <c r="I96" s="157" t="str">
        <f>IF(OR(G90="",E90="",AND(G90=E90,OR(H90="",D90=""))),"Vencedor do 52",IF(G90=E90,IF(H90&gt;D90,I90,C90),IF(G90&gt;E90,I90,C90)))</f>
        <v>Brasil</v>
      </c>
      <c r="J96" s="159"/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58"/>
      <c r="E97" s="259">
        <v>1.0</v>
      </c>
      <c r="F97" s="115"/>
      <c r="G97" s="260">
        <v>0.0</v>
      </c>
      <c r="H97" s="158"/>
      <c r="I97" s="157" t="str">
        <f>IF(OR(G88="",E88="",AND(G88=E88,OR(H88="",D88=""))),"Vencedor do 54",IF(G88=E88,IF(H88&gt;D88,I88,C88),IF(G88&gt;E88,I88,C88)))</f>
        <v>México</v>
      </c>
      <c r="J97" s="159"/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Espanha</v>
      </c>
      <c r="D98" s="162">
        <v>5.0</v>
      </c>
      <c r="E98" s="259">
        <v>1.0</v>
      </c>
      <c r="F98" s="115"/>
      <c r="G98" s="260">
        <v>1.0</v>
      </c>
      <c r="H98" s="162">
        <v>4.0</v>
      </c>
      <c r="I98" s="157" t="str">
        <f>IF(OR(G92="",E92="",AND(G92=E92,OR(H92="",D92=""))),"Vencedor do 56",IF(G92=E92,IF(H92&gt;D92,I92,C92),IF(G92&gt;E92,I92,C92)))</f>
        <v>Portugal</v>
      </c>
      <c r="J98" s="159"/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58"/>
      <c r="E101" s="259">
        <v>1.0</v>
      </c>
      <c r="F101" s="115"/>
      <c r="G101" s="260">
        <v>3.0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/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Inglaterra</v>
      </c>
      <c r="D102" s="158"/>
      <c r="E102" s="259">
        <v>1.0</v>
      </c>
      <c r="F102" s="115"/>
      <c r="G102" s="260">
        <v>0.0</v>
      </c>
      <c r="H102" s="158"/>
      <c r="I102" s="157" t="str">
        <f>IF(OR(G98="",E98="",AND(G98=E98,OR(H98="",D98=""))),"Vencedor do 60",IF(G98=E98,IF(H98&gt;D98,I98,C98),IF(G98&gt;E98,I98,C98)))</f>
        <v>Espanha</v>
      </c>
      <c r="J102" s="159"/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Argentina</v>
      </c>
      <c r="D105" s="158"/>
      <c r="E105" s="259">
        <v>2.0</v>
      </c>
      <c r="F105" s="115"/>
      <c r="G105" s="260">
        <v>0.0</v>
      </c>
      <c r="H105" s="158"/>
      <c r="I105" s="183" t="str">
        <f>IF(OR(G102="",E102="",AND(G102=E102,OR(H102="",D102=""))),"    ",IF(G102=E102,IF(H102&lt;D102,I102,C102),IF(G102&lt;E102,I102,C102)))</f>
        <v>Espanha</v>
      </c>
      <c r="J105" s="159"/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Brasil</v>
      </c>
      <c r="D108" s="249"/>
      <c r="E108" s="250">
        <v>2.0</v>
      </c>
      <c r="F108" s="251" t="s">
        <v>72</v>
      </c>
      <c r="G108" s="252">
        <v>0.0</v>
      </c>
      <c r="H108" s="249"/>
      <c r="I108" s="202" t="str">
        <f>IF(OR(G102="",E102="",AND(G102=E102,OR(H102="",D102=""))),"  ",IF(G102=E102,IF(H102&gt;D102,I102,C102),IF(G102&gt;E102,I102,C102)))</f>
        <v>Inglaterra</v>
      </c>
      <c r="J108" s="253"/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0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0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0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0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0</v>
      </c>
      <c r="LR3" s="71">
        <f>IF(OR(E20="",G20=""),0,IF(E20&lt;G20,1,0))+IF(OR(E22="",G22=""),0,IF(E22&lt;G22,1,0))+IF(OR(G25="",E25=""),0,IF(G25&lt;E25,1,0))</f>
        <v>3</v>
      </c>
      <c r="LS3" s="71">
        <f>E20+E22+G25</f>
        <v>0</v>
      </c>
      <c r="LT3" s="71">
        <f>G20+G22+E25</f>
        <v>6</v>
      </c>
      <c r="LU3" s="71">
        <f t="shared" ref="LU3:LU6" si="1">LS3-LT3</f>
        <v>-6</v>
      </c>
      <c r="LV3" s="70">
        <f t="shared" ref="LV3:LV6" si="2">LN3</f>
        <v>0</v>
      </c>
      <c r="LW3" s="70">
        <f t="shared" ref="LW3:LW6" si="3">LU3/10</f>
        <v>-0.6</v>
      </c>
      <c r="LX3" s="70">
        <f t="shared" ref="LX3:LX6" si="4">LS3/100</f>
        <v>0</v>
      </c>
      <c r="LY3" s="70">
        <f t="shared" ref="LY3:LY6" si="5">SUM(LV3:LX3)</f>
        <v>-0.6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-0.6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279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3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2</v>
      </c>
      <c r="LQ4" s="71">
        <f>IF(OR(G20="",E20=""),0,IF(G20=E20,1,0))+IF(OR(G23="",E23=""),0,IF(G23=E23,1,0))+IF(OR(E25="",G25=""),0,IF(E25=G25,1,0))</f>
        <v>0</v>
      </c>
      <c r="LR4" s="71">
        <f>IF(OR(G20="",E20=""),0,IF(G20&lt;E20,1,0))+IF(OR(G23="",E23=""),0,IF(G23&lt;E23,1,0))+IF(OR(E25="",G25=""),0,IF(E25&lt;G25,1,0))</f>
        <v>1</v>
      </c>
      <c r="LS4" s="71">
        <f>G20+G23+E25</f>
        <v>5</v>
      </c>
      <c r="LT4" s="71">
        <f>E20+E23+G25</f>
        <v>2</v>
      </c>
      <c r="LU4" s="71">
        <f t="shared" si="1"/>
        <v>3</v>
      </c>
      <c r="LV4" s="70">
        <f t="shared" si="2"/>
        <v>3</v>
      </c>
      <c r="LW4" s="70">
        <f t="shared" si="3"/>
        <v>0.3</v>
      </c>
      <c r="LX4" s="70">
        <f t="shared" si="4"/>
        <v>0.05</v>
      </c>
      <c r="LY4" s="70">
        <f t="shared" si="5"/>
        <v>3.35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3.35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221" t="s">
        <v>165</v>
      </c>
      <c r="B5" s="51"/>
      <c r="C5" s="52"/>
      <c r="D5" s="53"/>
      <c r="E5" s="53"/>
      <c r="F5" s="50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6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1</v>
      </c>
      <c r="LS5" s="71">
        <f>E21+G22+G24</f>
        <v>4</v>
      </c>
      <c r="LT5" s="71">
        <f>G21+E22+E24</f>
        <v>3</v>
      </c>
      <c r="LU5" s="71">
        <f t="shared" si="1"/>
        <v>1</v>
      </c>
      <c r="LV5" s="70">
        <f t="shared" si="2"/>
        <v>6</v>
      </c>
      <c r="LW5" s="70">
        <f t="shared" si="3"/>
        <v>0.1</v>
      </c>
      <c r="LX5" s="70">
        <f t="shared" si="4"/>
        <v>0.04</v>
      </c>
      <c r="LY5" s="70">
        <f t="shared" si="5"/>
        <v>6.14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6.14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22.5" customHeight="1">
      <c r="A6" s="222" t="s">
        <v>166</v>
      </c>
      <c r="B6" s="223"/>
      <c r="C6" s="223"/>
      <c r="D6" s="263" t="s">
        <v>191</v>
      </c>
      <c r="E6" s="225"/>
      <c r="F6" s="225"/>
      <c r="G6" s="256" t="s">
        <v>159</v>
      </c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7</v>
      </c>
      <c r="LT6" s="71">
        <f>E21+G23+G25</f>
        <v>1</v>
      </c>
      <c r="LU6" s="71">
        <f t="shared" si="1"/>
        <v>6</v>
      </c>
      <c r="LV6" s="70">
        <f t="shared" si="2"/>
        <v>9</v>
      </c>
      <c r="LW6" s="70">
        <f t="shared" si="3"/>
        <v>0.6</v>
      </c>
      <c r="LX6" s="70">
        <f t="shared" si="4"/>
        <v>0.07</v>
      </c>
      <c r="LY6" s="70">
        <f t="shared" si="5"/>
        <v>9.67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9.67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28"/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191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0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192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0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64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Oficial'!D113,20,IF(Epocler!D11='Resultado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7</v>
      </c>
      <c r="LT11" s="71">
        <f>G28+G31+E32</f>
        <v>1</v>
      </c>
      <c r="LU11" s="71">
        <f t="shared" ref="LU11:LU14" si="10">LS11-LT11</f>
        <v>6</v>
      </c>
      <c r="LV11" s="70">
        <f t="shared" ref="LV11:LV14" si="11">LN11</f>
        <v>9</v>
      </c>
      <c r="LW11" s="70">
        <f t="shared" ref="LW11:LW14" si="12">LU11/10</f>
        <v>0.6</v>
      </c>
      <c r="LX11" s="70">
        <f t="shared" ref="LX11:LX14" si="13">LS11/100</f>
        <v>0.07</v>
      </c>
      <c r="LY11" s="70">
        <f t="shared" ref="LY11:LY14" si="14">SUM(LV11:LX11)</f>
        <v>9.67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9.67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93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Oficial'!D113,20,IF(Epocler!D12='Resultado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0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3</v>
      </c>
      <c r="LS12" s="71">
        <f>G28+G30+E33</f>
        <v>0</v>
      </c>
      <c r="LT12" s="71">
        <f>E28+E30+G33</f>
        <v>7</v>
      </c>
      <c r="LU12" s="71">
        <f t="shared" si="10"/>
        <v>-7</v>
      </c>
      <c r="LV12" s="70">
        <f t="shared" si="11"/>
        <v>0</v>
      </c>
      <c r="LW12" s="70">
        <f t="shared" si="12"/>
        <v>-0.7</v>
      </c>
      <c r="LX12" s="70">
        <f t="shared" si="13"/>
        <v>0</v>
      </c>
      <c r="LY12" s="70">
        <f t="shared" si="14"/>
        <v>-0.7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-0.7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3</v>
      </c>
      <c r="MH12" s="70" t="str">
        <f t="shared" si="17"/>
        <v>Estados Unidos</v>
      </c>
    </row>
    <row r="13" ht="22.5" customHeight="1">
      <c r="A13" s="222" t="s">
        <v>139</v>
      </c>
      <c r="B13" s="223"/>
      <c r="C13" s="223"/>
      <c r="D13" s="208" t="s">
        <v>181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Oficial'!D112,20,IF(Epocler!D13='Resultado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6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2</v>
      </c>
      <c r="LQ13" s="71">
        <f>IF(OR(E29="",G29=""),0,IF(E29=G29,1,0))+IF(OR(G31="",E31=""),0,IF(G31=E31,1,0))+IF(OR(G33="",E33=""),0,IF(G33=E33,1,0))</f>
        <v>0</v>
      </c>
      <c r="LR13" s="71">
        <f>IF(OR(E29="",G29=""),0,IF(E29&lt;G29,1,0))+IF(OR(G31="",E31=""),0,IF(G31&lt;E31,1,0))+IF(OR(G33="",E33=""),0,IF(G33&lt;E33,1,0))</f>
        <v>1</v>
      </c>
      <c r="LS13" s="71">
        <f>E29+G31+G33</f>
        <v>4</v>
      </c>
      <c r="LT13" s="71">
        <f>G29+E31+E33</f>
        <v>2</v>
      </c>
      <c r="LU13" s="71">
        <f t="shared" si="10"/>
        <v>2</v>
      </c>
      <c r="LV13" s="70">
        <f t="shared" si="11"/>
        <v>6</v>
      </c>
      <c r="LW13" s="70">
        <f t="shared" si="12"/>
        <v>0.2</v>
      </c>
      <c r="LX13" s="70">
        <f t="shared" si="13"/>
        <v>0.04</v>
      </c>
      <c r="LY13" s="70">
        <f t="shared" si="14"/>
        <v>6.24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6.24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2</v>
      </c>
      <c r="MF13" s="70">
        <v>3.0</v>
      </c>
      <c r="MG13" s="70">
        <f t="shared" si="16"/>
        <v>4</v>
      </c>
      <c r="MH13" s="70" t="str">
        <f t="shared" si="17"/>
        <v>País de Gales</v>
      </c>
    </row>
    <row r="14" ht="22.5" customHeight="1">
      <c r="A14" s="222" t="s">
        <v>140</v>
      </c>
      <c r="B14" s="223"/>
      <c r="C14" s="223"/>
      <c r="D14" s="208" t="s">
        <v>71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Oficial'!D112,20,IF(Epocler!D14='Resultado Oficial'!D113,20,0)))))</f>
        <v>20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3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1</v>
      </c>
      <c r="LQ14" s="71">
        <f>IF(OR(G29="",E29=""),0,IF(G29=E29,1,0))+IF(OR(E30="",G30=""),0,IF(E30=G30,1,0))+IF(OR(E32="",G32=""),0,IF(E32=G32,1,0))</f>
        <v>0</v>
      </c>
      <c r="LR14" s="71">
        <f>IF(OR(G29="",E29=""),0,IF(G29&lt;E29,1,0))+IF(OR(E30="",G30=""),0,IF(E30&lt;G30,1,0))+IF(OR(E32="",G32=""),0,IF(E32&lt;G32,1,0))</f>
        <v>2</v>
      </c>
      <c r="LS14" s="71">
        <f>G29+E30+E32</f>
        <v>2</v>
      </c>
      <c r="LT14" s="71">
        <f>E29+G30+G32</f>
        <v>3</v>
      </c>
      <c r="LU14" s="71">
        <f t="shared" si="10"/>
        <v>-1</v>
      </c>
      <c r="LV14" s="70">
        <f t="shared" si="11"/>
        <v>3</v>
      </c>
      <c r="LW14" s="70">
        <f t="shared" si="12"/>
        <v>-0.1</v>
      </c>
      <c r="LX14" s="70">
        <f t="shared" si="13"/>
        <v>0.02</v>
      </c>
      <c r="LY14" s="70">
        <f t="shared" si="14"/>
        <v>2.92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2.92</v>
      </c>
      <c r="MD14" s="70">
        <f>RANK($MC$14,$MC$11:$MC$14,0)</f>
        <v>3</v>
      </c>
      <c r="ME14" s="70">
        <f>IF(AND(MD11=MD12,MD11=MD13,MD11=MD14),MD14+3,IF(OR(AND(MD14=MD13,MD14=MD12),AND(MD14=MD12,MD14=MD11)),MD14+2,IF(OR(MD14=MD13,MD14=MD12,MD14=MD11),MD14+1,MD14)))</f>
        <v>3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0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0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279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0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119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8</v>
      </c>
      <c r="LT19" s="71">
        <f>G36+G39+E40</f>
        <v>1</v>
      </c>
      <c r="LU19" s="71">
        <f t="shared" ref="LU19:LU22" si="18">LS19-LT19</f>
        <v>7</v>
      </c>
      <c r="LV19" s="70">
        <f t="shared" ref="LV19:LV22" si="19">LN19</f>
        <v>7</v>
      </c>
      <c r="LW19" s="70">
        <f t="shared" ref="LW19:LW22" si="20">LU19/10</f>
        <v>0.7</v>
      </c>
      <c r="LX19" s="70">
        <f t="shared" ref="LX19:LX22" si="21">LS19/100</f>
        <v>0.08</v>
      </c>
      <c r="LY19" s="70">
        <f t="shared" ref="LY19:LY22" si="22">SUM(LV19:LX19)</f>
        <v>7.78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7.78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0.0</v>
      </c>
      <c r="F20" s="280" t="s">
        <v>72</v>
      </c>
      <c r="G20" s="94">
        <v>1.0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3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0</v>
      </c>
      <c r="LT20" s="71">
        <f>E36+E38+G41</f>
        <v>10</v>
      </c>
      <c r="LU20" s="71">
        <f t="shared" si="18"/>
        <v>-10</v>
      </c>
      <c r="LV20" s="70">
        <f t="shared" si="19"/>
        <v>0</v>
      </c>
      <c r="LW20" s="70">
        <f t="shared" si="20"/>
        <v>-1</v>
      </c>
      <c r="LX20" s="70">
        <f t="shared" si="21"/>
        <v>0</v>
      </c>
      <c r="LY20" s="70">
        <f t="shared" si="22"/>
        <v>-1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-1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0.0</v>
      </c>
      <c r="F21" s="281" t="s">
        <v>72</v>
      </c>
      <c r="G21" s="107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10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4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1</v>
      </c>
      <c r="LS21" s="71">
        <f>E37+G39+G41</f>
        <v>4</v>
      </c>
      <c r="LT21" s="71">
        <f>G37+E39+E41</f>
        <v>5</v>
      </c>
      <c r="LU21" s="71">
        <f t="shared" si="18"/>
        <v>-1</v>
      </c>
      <c r="LV21" s="70">
        <f t="shared" si="19"/>
        <v>4</v>
      </c>
      <c r="LW21" s="70">
        <f t="shared" si="20"/>
        <v>-0.1</v>
      </c>
      <c r="LX21" s="70">
        <f t="shared" si="21"/>
        <v>0.04</v>
      </c>
      <c r="LY21" s="70">
        <f t="shared" si="22"/>
        <v>3.94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3.94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282" t="s">
        <v>72</v>
      </c>
      <c r="G22" s="116">
        <v>2.0</v>
      </c>
      <c r="H22" s="117"/>
      <c r="I22" s="96" t="s">
        <v>61</v>
      </c>
      <c r="J22" s="97" t="s">
        <v>76</v>
      </c>
      <c r="K22" s="109"/>
      <c r="L22" s="118" t="str">
        <f>Epocler!MH3</f>
        <v>Holanda</v>
      </c>
      <c r="M22" s="119">
        <f>VLOOKUP(L22,Epocler!$LM$3:$LU$6,2,FALSE)</f>
        <v>9</v>
      </c>
      <c r="N22" s="120">
        <f>VLOOKUP(L22,Epocler!$LM$3:$LU$6,3,FALSE)</f>
        <v>3</v>
      </c>
      <c r="O22" s="120">
        <f>VLOOKUP(L22,Epocler!$LM$3:$LU$6,4,FALSE)</f>
        <v>3</v>
      </c>
      <c r="P22" s="120">
        <f>VLOOKUP(L22,Epocler!$LM$3:$LU$6,5,FALSE)</f>
        <v>0</v>
      </c>
      <c r="Q22" s="120">
        <f>VLOOKUP(L22,Epocler!$LM$3:$LU$6,6,FALSE)</f>
        <v>0</v>
      </c>
      <c r="R22" s="120">
        <f>VLOOKUP(L22,Epocler!$LM$3:$LU$6,7,FALSE)</f>
        <v>7</v>
      </c>
      <c r="S22" s="120">
        <f>VLOOKUP(L22,Epocler!$LM$3:$LU$6,8,FALSE)</f>
        <v>1</v>
      </c>
      <c r="T22" s="121">
        <f>VLOOKUP(L22,Epocler!$LM$3:$LU$6,9,FALSE)</f>
        <v>6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6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5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0</v>
      </c>
      <c r="LQ22" s="71">
        <f>IF(OR(G37="",E37=""),0,IF(G37=E37,1,0))+IF(OR(E38="",G38=""),0,IF(E38=G38,1,0))+IF(OR(E40="",G40=""),0,IF(E40=G40,1,0))</f>
        <v>2</v>
      </c>
      <c r="LR22" s="71">
        <f>IF(OR(G37="",E37=""),0,IF(G37&lt;E37,1,0))+IF(OR(E38="",G38=""),0,IF(E38&lt;G38,1,0))+IF(OR(E40="",G40=""),0,IF(E40&lt;G40,1,0))</f>
        <v>0</v>
      </c>
      <c r="LS22" s="71">
        <f>G37+E38+E40</f>
        <v>7</v>
      </c>
      <c r="LT22" s="71">
        <f>E37+G38+G40</f>
        <v>3</v>
      </c>
      <c r="LU22" s="71">
        <f t="shared" si="18"/>
        <v>4</v>
      </c>
      <c r="LV22" s="70">
        <f t="shared" si="19"/>
        <v>5</v>
      </c>
      <c r="LW22" s="70">
        <f t="shared" si="20"/>
        <v>0.4</v>
      </c>
      <c r="LX22" s="70">
        <f t="shared" si="21"/>
        <v>0.07</v>
      </c>
      <c r="LY22" s="70">
        <f t="shared" si="22"/>
        <v>5.47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5.47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281" t="s">
        <v>72</v>
      </c>
      <c r="G23" s="107">
        <v>1.0</v>
      </c>
      <c r="H23" s="108"/>
      <c r="I23" s="96" t="s">
        <v>60</v>
      </c>
      <c r="J23" s="97" t="s">
        <v>80</v>
      </c>
      <c r="K23" s="109"/>
      <c r="L23" s="118" t="str">
        <f>Epocler!MH4</f>
        <v>Senegal</v>
      </c>
      <c r="M23" s="119">
        <f>VLOOKUP(L23,Epocler!$LM$3:$LU$6,2,FALSE)</f>
        <v>6</v>
      </c>
      <c r="N23" s="120">
        <f>VLOOKUP(L23,Epocler!$LM$3:$LU$6,3,FALSE)</f>
        <v>3</v>
      </c>
      <c r="O23" s="120">
        <f>VLOOKUP(L23,Epocler!$LM$3:$LU$6,4,FALSE)</f>
        <v>2</v>
      </c>
      <c r="P23" s="120">
        <f>VLOOKUP(L23,Epocler!$LM$3:$LU$6,5,FALSE)</f>
        <v>0</v>
      </c>
      <c r="Q23" s="120">
        <f>VLOOKUP(L23,Epocler!$LM$3:$LU$6,6,FALSE)</f>
        <v>1</v>
      </c>
      <c r="R23" s="120">
        <f>VLOOKUP(L23,Epocler!$LM$3:$LU$6,7,FALSE)</f>
        <v>4</v>
      </c>
      <c r="S23" s="120">
        <f>VLOOKUP(L23,Epocler!$LM$3:$LU$6,8,FALSE)</f>
        <v>3</v>
      </c>
      <c r="T23" s="121">
        <f>VLOOKUP(L23,Epocler!$LM$3:$LU$6,9,FALSE)</f>
        <v>1</v>
      </c>
      <c r="U23" s="52"/>
      <c r="V23" s="59" t="s">
        <v>81</v>
      </c>
      <c r="W23" s="122" t="str">
        <f t="shared" si="26"/>
        <v>Senegal</v>
      </c>
      <c r="X23" s="236">
        <f>IF(AND(W23&lt;&gt;"",'Resultado Oficial'!W22&lt;&gt;"",'Resultado Oficial'!W23&lt;&gt;""),IF(W23='Resultado Oficial'!W23,5,IF(W23='Resultado Oficial'!W22,2,0)),"")</f>
        <v>5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1.0</v>
      </c>
      <c r="F24" s="281" t="s">
        <v>72</v>
      </c>
      <c r="G24" s="107">
        <v>2.0</v>
      </c>
      <c r="H24" s="108"/>
      <c r="I24" s="96" t="s">
        <v>61</v>
      </c>
      <c r="J24" s="97" t="s">
        <v>80</v>
      </c>
      <c r="K24" s="109"/>
      <c r="L24" s="118" t="str">
        <f>Epocler!MH5</f>
        <v>Equador</v>
      </c>
      <c r="M24" s="119">
        <f>VLOOKUP(L24,Epocler!$LM$3:$LU$6,2,FALSE)</f>
        <v>3</v>
      </c>
      <c r="N24" s="120">
        <f>VLOOKUP(L24,Epocler!$LM$3:$LU$6,3,FALSE)</f>
        <v>3</v>
      </c>
      <c r="O24" s="120">
        <f>VLOOKUP(L24,Epocler!$LM$3:$LU$6,4,FALSE)</f>
        <v>2</v>
      </c>
      <c r="P24" s="120">
        <f>VLOOKUP(L24,Epocler!$LM$3:$LU$6,5,FALSE)</f>
        <v>0</v>
      </c>
      <c r="Q24" s="120">
        <f>VLOOKUP(L24,Epocler!$LM$3:$LU$6,6,FALSE)</f>
        <v>1</v>
      </c>
      <c r="R24" s="120">
        <f>VLOOKUP(L24,Epocler!$LM$3:$LU$6,7,FALSE)</f>
        <v>5</v>
      </c>
      <c r="S24" s="120">
        <f>VLOOKUP(L24,Epocler!$LM$3:$LU$6,8,FALSE)</f>
        <v>2</v>
      </c>
      <c r="T24" s="121">
        <f>VLOOKUP(L24,Epocler!$LM$3:$LU$6,9,FALSE)</f>
        <v>3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10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3.0</v>
      </c>
      <c r="F25" s="281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Epocler!MH6</f>
        <v>Catar</v>
      </c>
      <c r="M25" s="125">
        <f>VLOOKUP(L25,Epocler!$LM$3:$LU$6,2,FALSE)</f>
        <v>0</v>
      </c>
      <c r="N25" s="126">
        <f>VLOOKUP(L25,Epocler!$LM$3:$LU$6,3,FALSE)</f>
        <v>3</v>
      </c>
      <c r="O25" s="126">
        <f>VLOOKUP(L25,Epocler!$LM$3:$LU$6,4,FALSE)</f>
        <v>0</v>
      </c>
      <c r="P25" s="126">
        <f>VLOOKUP(L25,Epocler!$LM$3:$LU$6,5,FALSE)</f>
        <v>0</v>
      </c>
      <c r="Q25" s="126">
        <f>VLOOKUP(L25,Epocler!$LM$3:$LU$6,6,FALSE)</f>
        <v>3</v>
      </c>
      <c r="R25" s="126">
        <f>VLOOKUP(L25,Epocler!$LM$3:$LU$6,7,FALSE)</f>
        <v>0</v>
      </c>
      <c r="S25" s="126">
        <f>VLOOKUP(L25,Epocler!$LM$3:$LU$6,8,FALSE)</f>
        <v>6</v>
      </c>
      <c r="T25" s="127">
        <f>VLOOKUP(L25,Epocler!$LM$3:$LU$6,9,FALSE)</f>
        <v>-6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283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9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3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0</v>
      </c>
      <c r="LS27" s="71">
        <f>E45+E47+G49</f>
        <v>8</v>
      </c>
      <c r="LT27" s="71">
        <f>G45+G47+E49</f>
        <v>1</v>
      </c>
      <c r="LU27" s="71">
        <f t="shared" ref="LU27:LU30" si="27">LS27-LT27</f>
        <v>7</v>
      </c>
      <c r="LV27" s="70">
        <f t="shared" ref="LV27:LV30" si="28">LN27</f>
        <v>9</v>
      </c>
      <c r="LW27" s="70">
        <f t="shared" ref="LW27:LW30" si="29">LU27/10</f>
        <v>0.7</v>
      </c>
      <c r="LX27" s="70">
        <f t="shared" ref="LX27:LX30" si="30">LS27/100</f>
        <v>0.08</v>
      </c>
      <c r="LY27" s="70">
        <f t="shared" ref="LY27:LY30" si="31">SUM(LV27:LX27)</f>
        <v>9.78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9.78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3.0</v>
      </c>
      <c r="F28" s="281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3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1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2</v>
      </c>
      <c r="LS28" s="71">
        <f>G45+G46+E48</f>
        <v>1</v>
      </c>
      <c r="LT28" s="71">
        <f>E45+E46+G48</f>
        <v>4</v>
      </c>
      <c r="LU28" s="71">
        <f t="shared" si="27"/>
        <v>-3</v>
      </c>
      <c r="LV28" s="70">
        <f t="shared" si="28"/>
        <v>3</v>
      </c>
      <c r="LW28" s="70">
        <f t="shared" si="29"/>
        <v>-0.3</v>
      </c>
      <c r="LX28" s="70">
        <f t="shared" si="30"/>
        <v>0.01</v>
      </c>
      <c r="LY28" s="70">
        <f t="shared" si="31"/>
        <v>2.71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2.71</v>
      </c>
      <c r="MD28" s="70">
        <f>RANK($MC$28,$MC$27:$MC$30,0)</f>
        <v>3</v>
      </c>
      <c r="ME28" s="70">
        <f>IF(OR(AND(MD27=MD28,MD27=MD29,MD27=MD30),AND(MD28=MD27,MD28=MD29),AND(MD28=MD27,MD28=MD30),MD28=MD27),MD28+1,MD28)</f>
        <v>3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1.0</v>
      </c>
      <c r="F29" s="281" t="s">
        <v>72</v>
      </c>
      <c r="G29" s="107">
        <v>0.0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6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1</v>
      </c>
      <c r="LS29" s="71">
        <f>E44+G47+G48</f>
        <v>5</v>
      </c>
      <c r="LT29" s="71">
        <f>G44+E47+E48</f>
        <v>3</v>
      </c>
      <c r="LU29" s="71">
        <f t="shared" si="27"/>
        <v>2</v>
      </c>
      <c r="LV29" s="70">
        <f t="shared" si="28"/>
        <v>6</v>
      </c>
      <c r="LW29" s="70">
        <f t="shared" si="29"/>
        <v>0.2</v>
      </c>
      <c r="LX29" s="70">
        <f t="shared" si="30"/>
        <v>0.05</v>
      </c>
      <c r="LY29" s="70">
        <f t="shared" si="31"/>
        <v>6.25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6.25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2</v>
      </c>
      <c r="MH29" s="70" t="str">
        <f t="shared" si="34"/>
        <v>Austrália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2.0</v>
      </c>
      <c r="F30" s="282" t="s">
        <v>72</v>
      </c>
      <c r="G30" s="116">
        <v>0.0</v>
      </c>
      <c r="H30" s="117"/>
      <c r="I30" s="96" t="s">
        <v>65</v>
      </c>
      <c r="J30" s="97" t="s">
        <v>88</v>
      </c>
      <c r="K30" s="109"/>
      <c r="L30" s="118" t="str">
        <f>Epocler!MH11</f>
        <v>Inglaterra</v>
      </c>
      <c r="M30" s="119">
        <f>VLOOKUP(L30,Epocler!$LM$11:$LU$14,2,FALSE)</f>
        <v>9</v>
      </c>
      <c r="N30" s="120">
        <f>VLOOKUP(L30,Epocler!$LM$11:$LU$14,3,FALSE)</f>
        <v>3</v>
      </c>
      <c r="O30" s="120">
        <f>VLOOKUP(L30,Epocler!$LM$11:$LU$14,4,FALSE)</f>
        <v>3</v>
      </c>
      <c r="P30" s="120">
        <f>VLOOKUP(L30,Epocler!$LM$11:$LU$14,5,FALSE)</f>
        <v>0</v>
      </c>
      <c r="Q30" s="120">
        <f>VLOOKUP(L30,Epocler!$LM$11:$LU$14,6,FALSE)</f>
        <v>0</v>
      </c>
      <c r="R30" s="120">
        <f>VLOOKUP(L30,Epocler!$LM$11:$LU$14,7,FALSE)</f>
        <v>7</v>
      </c>
      <c r="S30" s="120">
        <f>VLOOKUP(L30,Epocler!$LM$11:$LU$14,8,FALSE)</f>
        <v>1</v>
      </c>
      <c r="T30" s="121">
        <f>VLOOKUP(L30,Epocler!$LM$11:$LU$14,9,FALSE)</f>
        <v>6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0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0</v>
      </c>
      <c r="LR30" s="71">
        <f>IF(OR(G44="",E44=""),0,IF(G44&lt;E44,1,0))+IF(OR(E46="",G46=""),0,IF(E46&lt;G46,1,0))+IF(OR(E49="",G49=""),0,IF(E49&lt;G49,1,0))</f>
        <v>3</v>
      </c>
      <c r="LS30" s="71">
        <f>G44+E46+E49</f>
        <v>0</v>
      </c>
      <c r="LT30" s="71">
        <f>E44+G46+G49</f>
        <v>6</v>
      </c>
      <c r="LU30" s="71">
        <f t="shared" si="27"/>
        <v>-6</v>
      </c>
      <c r="LV30" s="70">
        <f t="shared" si="28"/>
        <v>0</v>
      </c>
      <c r="LW30" s="70">
        <f t="shared" si="29"/>
        <v>-0.6</v>
      </c>
      <c r="LX30" s="70">
        <f t="shared" si="30"/>
        <v>0</v>
      </c>
      <c r="LY30" s="70">
        <f t="shared" si="31"/>
        <v>-0.6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-0.6</v>
      </c>
      <c r="MD30" s="70">
        <f>RANK($MC$30,$MC$27:$MC$30,0)</f>
        <v>4</v>
      </c>
      <c r="ME30" s="70">
        <f>IF(AND(MD27=MD28,MD27=MD29,MD27=MD30),MD30+3,IF(OR(AND(MD30=MD29,MD30=MD28),AND(MD30=MD28,MD30=MD27)),MD30+2,IF(OR(MD30=MD29,MD30=MD28,MD30=MD27),MD30+1,MD30)))</f>
        <v>4</v>
      </c>
      <c r="MF30" s="70">
        <v>4.0</v>
      </c>
      <c r="MG30" s="70">
        <f t="shared" si="33"/>
        <v>4</v>
      </c>
      <c r="MH30" s="70" t="str">
        <f t="shared" si="34"/>
        <v>Tunísia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281" t="s">
        <v>72</v>
      </c>
      <c r="G31" s="107">
        <v>1.0</v>
      </c>
      <c r="H31" s="108"/>
      <c r="I31" s="96" t="s">
        <v>66</v>
      </c>
      <c r="J31" s="97" t="s">
        <v>73</v>
      </c>
      <c r="K31" s="109"/>
      <c r="L31" s="118" t="str">
        <f>Epocler!MH12</f>
        <v>Estados Unidos</v>
      </c>
      <c r="M31" s="119">
        <f>VLOOKUP(L31,Epocler!$LM$11:$LU$14,2,FALSE)</f>
        <v>6</v>
      </c>
      <c r="N31" s="120">
        <f>VLOOKUP(L31,Epocler!$LM$11:$LU$14,3,FALSE)</f>
        <v>3</v>
      </c>
      <c r="O31" s="120">
        <f>VLOOKUP(L31,Epocler!$LM$11:$LU$14,4,FALSE)</f>
        <v>2</v>
      </c>
      <c r="P31" s="120">
        <f>VLOOKUP(L31,Epocler!$LM$11:$LU$14,5,FALSE)</f>
        <v>0</v>
      </c>
      <c r="Q31" s="120">
        <f>VLOOKUP(L31,Epocler!$LM$11:$LU$14,6,FALSE)</f>
        <v>1</v>
      </c>
      <c r="R31" s="120">
        <f>VLOOKUP(L31,Epocler!$LM$11:$LU$14,7,FALSE)</f>
        <v>4</v>
      </c>
      <c r="S31" s="120">
        <f>VLOOKUP(L31,Epocler!$LM$11:$LU$14,8,FALSE)</f>
        <v>2</v>
      </c>
      <c r="T31" s="121">
        <f>VLOOKUP(L31,Epocler!$LM$11:$LU$14,9,FALSE)</f>
        <v>2</v>
      </c>
      <c r="U31" s="53"/>
      <c r="V31" s="59" t="s">
        <v>81</v>
      </c>
      <c r="W31" s="122" t="str">
        <f t="shared" si="35"/>
        <v>Estados Unidos</v>
      </c>
      <c r="X31" s="236">
        <f>IF(AND(W31&lt;&gt;"",'Resultado Oficial'!W30&lt;&gt;"",'Resultado Oficial'!W31&lt;&gt;""),IF(W31='Resultado Oficial'!W31,5,IF(W31='Resultado Oficial'!W30,2,0)),"")</f>
        <v>5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0.0</v>
      </c>
      <c r="F32" s="281" t="s">
        <v>72</v>
      </c>
      <c r="G32" s="107">
        <v>2.0</v>
      </c>
      <c r="H32" s="108"/>
      <c r="I32" s="96" t="s">
        <v>64</v>
      </c>
      <c r="J32" s="97" t="s">
        <v>88</v>
      </c>
      <c r="K32" s="109"/>
      <c r="L32" s="118" t="str">
        <f>Epocler!MH13</f>
        <v>País de Gales</v>
      </c>
      <c r="M32" s="119">
        <f>VLOOKUP(L32,Epocler!$LM$11:$LU$14,2,FALSE)</f>
        <v>3</v>
      </c>
      <c r="N32" s="120">
        <f>VLOOKUP(L32,Epocler!$LM$11:$LU$14,3,FALSE)</f>
        <v>3</v>
      </c>
      <c r="O32" s="120">
        <f>VLOOKUP(L32,Epocler!$LM$11:$LU$14,4,FALSE)</f>
        <v>1</v>
      </c>
      <c r="P32" s="120">
        <f>VLOOKUP(L32,Epocler!$LM$11:$LU$14,5,FALSE)</f>
        <v>0</v>
      </c>
      <c r="Q32" s="120">
        <f>VLOOKUP(L32,Epocler!$LM$11:$LU$14,6,FALSE)</f>
        <v>2</v>
      </c>
      <c r="R32" s="120">
        <f>VLOOKUP(L32,Epocler!$LM$11:$LU$14,7,FALSE)</f>
        <v>2</v>
      </c>
      <c r="S32" s="120">
        <f>VLOOKUP(L32,Epocler!$LM$11:$LU$14,8,FALSE)</f>
        <v>3</v>
      </c>
      <c r="T32" s="121">
        <f>VLOOKUP(L32,Epocler!$LM$11:$LU$14,9,FALSE)</f>
        <v>-1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281" t="s">
        <v>72</v>
      </c>
      <c r="G33" s="107">
        <v>2.0</v>
      </c>
      <c r="H33" s="108"/>
      <c r="I33" s="96" t="s">
        <v>66</v>
      </c>
      <c r="J33" s="97" t="s">
        <v>76</v>
      </c>
      <c r="K33" s="123"/>
      <c r="L33" s="124" t="str">
        <f>Epocler!MH14</f>
        <v>Irã</v>
      </c>
      <c r="M33" s="125">
        <f>VLOOKUP(L33,Epocler!$LM$11:$LU$14,2,FALSE)</f>
        <v>0</v>
      </c>
      <c r="N33" s="126">
        <f>VLOOKUP(L33,Epocler!$LM$11:$LU$14,3,FALSE)</f>
        <v>3</v>
      </c>
      <c r="O33" s="126">
        <f>VLOOKUP(L33,Epocler!$LM$11:$LU$14,4,FALSE)</f>
        <v>0</v>
      </c>
      <c r="P33" s="126">
        <f>VLOOKUP(L33,Epocler!$LM$11:$LU$14,5,FALSE)</f>
        <v>0</v>
      </c>
      <c r="Q33" s="126">
        <f>VLOOKUP(L33,Epocler!$LM$11:$LU$14,6,FALSE)</f>
        <v>3</v>
      </c>
      <c r="R33" s="126">
        <f>VLOOKUP(L33,Epocler!$LM$11:$LU$14,7,FALSE)</f>
        <v>0</v>
      </c>
      <c r="S33" s="126">
        <f>VLOOKUP(L33,Epocler!$LM$11:$LU$14,8,FALSE)</f>
        <v>7</v>
      </c>
      <c r="T33" s="127">
        <f>VLOOKUP(L33,Epocler!$LM$11:$LU$14,9,FALSE)</f>
        <v>-7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3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28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1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7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1</v>
      </c>
      <c r="LR35" s="71">
        <f>IF(OR(E53="",G53=""),0,IF(E53&lt;G53,1,0))+IF(OR(E55="",G55=""),0,IF(E55&lt;G55,1,0))+IF(OR(G56="",E56=""),0,IF(G56&lt;E56,1,0))</f>
        <v>0</v>
      </c>
      <c r="LS35" s="71">
        <f>E53+E55+G56</f>
        <v>7</v>
      </c>
      <c r="LT35" s="71">
        <f>G53+G55+E56</f>
        <v>2</v>
      </c>
      <c r="LU35" s="71">
        <f t="shared" ref="LU35:LU38" si="36">LS35-LT35</f>
        <v>5</v>
      </c>
      <c r="LV35" s="70">
        <f t="shared" ref="LV35:LV38" si="37">LN35</f>
        <v>7</v>
      </c>
      <c r="LW35" s="70">
        <f t="shared" ref="LW35:LW38" si="38">LU35/10</f>
        <v>0.5</v>
      </c>
      <c r="LX35" s="70">
        <f t="shared" ref="LX35:LX38" si="39">LS35/100</f>
        <v>0.07</v>
      </c>
      <c r="LY35" s="70">
        <f t="shared" ref="LY35:LY38" si="40">SUM(LV35:LX35)</f>
        <v>7.57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7.57</v>
      </c>
      <c r="MD35" s="70">
        <f>RANK($MC$35,$MC$35:$MC$38,0)</f>
        <v>1</v>
      </c>
      <c r="ME35" s="70">
        <f>MD35</f>
        <v>1</v>
      </c>
      <c r="MF35" s="70">
        <v>1.0</v>
      </c>
      <c r="MG35" s="70">
        <f t="shared" ref="MG35:MG38" si="42">MATCH(MF35,$ME$35:$ME$38,0)</f>
        <v>1</v>
      </c>
      <c r="MH35" s="70" t="str">
        <f t="shared" ref="MH35:MH38" si="43">INDEX($LM$35:$LM$38,MG35)</f>
        <v>Espanha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4.0</v>
      </c>
      <c r="F36" s="281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0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3</v>
      </c>
      <c r="LS36" s="71">
        <f>G53+G54+E57</f>
        <v>2</v>
      </c>
      <c r="LT36" s="71">
        <f>E53+E54+G57</f>
        <v>8</v>
      </c>
      <c r="LU36" s="71">
        <f t="shared" si="36"/>
        <v>-6</v>
      </c>
      <c r="LV36" s="70">
        <f t="shared" si="37"/>
        <v>0</v>
      </c>
      <c r="LW36" s="70">
        <f t="shared" si="38"/>
        <v>-0.6</v>
      </c>
      <c r="LX36" s="70">
        <f t="shared" si="39"/>
        <v>0.02</v>
      </c>
      <c r="LY36" s="70">
        <f t="shared" si="40"/>
        <v>-0.58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-0.58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3</v>
      </c>
      <c r="MH36" s="70" t="str">
        <f t="shared" si="43"/>
        <v>Alemanha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2.0</v>
      </c>
      <c r="F37" s="281" t="s">
        <v>72</v>
      </c>
      <c r="G37" s="107">
        <v>2.0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3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7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2</v>
      </c>
      <c r="LQ37" s="71">
        <f>IF(OR(E52="",G52=""),0,IF(E52=G52,1,0))+IF(OR(G55="",E55=""),0,IF(G55=E55,1,0))+IF(OR(G57="",E57=""),0,IF(G57=E57,1,0))</f>
        <v>1</v>
      </c>
      <c r="LR37" s="71">
        <f>IF(OR(E52="",G52=""),0,IF(E52&lt;G52,1,0))+IF(OR(G55="",E55=""),0,IF(G55&lt;E55,1,0))+IF(OR(G57="",E57=""),0,IF(G57&lt;E57,1,0))</f>
        <v>0</v>
      </c>
      <c r="LS37" s="71">
        <f>E52+G55+G57</f>
        <v>6</v>
      </c>
      <c r="LT37" s="71">
        <f>G52+E55+E57</f>
        <v>2</v>
      </c>
      <c r="LU37" s="71">
        <f t="shared" si="36"/>
        <v>4</v>
      </c>
      <c r="LV37" s="70">
        <f t="shared" si="37"/>
        <v>7</v>
      </c>
      <c r="LW37" s="70">
        <f t="shared" si="38"/>
        <v>0.4</v>
      </c>
      <c r="LX37" s="70">
        <f t="shared" si="39"/>
        <v>0.06</v>
      </c>
      <c r="LY37" s="70">
        <f t="shared" si="40"/>
        <v>7.46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7.46</v>
      </c>
      <c r="MD37" s="70">
        <f>RANK($MC$37,$MC$35:$MC$38,0)</f>
        <v>2</v>
      </c>
      <c r="ME37" s="70">
        <f>IF(OR(AND(MD35=MD36,MD35=MD37,MD35=MD38),AND(MD37=MD35,MD37=MD36)),MD37+2,IF(OR(AND(MD37=MD36,MD37=MD38),MD37=MD35,MD37=MD36),MD37+1,MD37))</f>
        <v>2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4.0</v>
      </c>
      <c r="F38" s="282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Epocler!MH19</f>
        <v>Argentina</v>
      </c>
      <c r="M38" s="119">
        <f>VLOOKUP(L38,Epocler!$LM$19:$LU$22,2,FALSE)</f>
        <v>7</v>
      </c>
      <c r="N38" s="120">
        <f>VLOOKUP(L38,Epocler!$LM$19:$LU$22,3,FALSE)</f>
        <v>3</v>
      </c>
      <c r="O38" s="120">
        <f>VLOOKUP(L38,Epocler!$LM$19:$LU$22,4,FALSE)</f>
        <v>2</v>
      </c>
      <c r="P38" s="120">
        <f>VLOOKUP(L38,Epocler!$LM$19:$LU$22,5,FALSE)</f>
        <v>1</v>
      </c>
      <c r="Q38" s="120">
        <f>VLOOKUP(L38,Epocler!$LM$19:$LU$22,6,FALSE)</f>
        <v>0</v>
      </c>
      <c r="R38" s="120">
        <f>VLOOKUP(L38,Epocler!$LM$19:$LU$22,7,FALSE)</f>
        <v>8</v>
      </c>
      <c r="S38" s="120">
        <f>VLOOKUP(L38,Epocler!$LM$19:$LU$22,8,FALSE)</f>
        <v>1</v>
      </c>
      <c r="T38" s="121">
        <f>VLOOKUP(L38,Epocler!$LM$19:$LU$22,9,FALSE)</f>
        <v>7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3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1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2</v>
      </c>
      <c r="LS38" s="71">
        <f>G52+E54+E56</f>
        <v>5</v>
      </c>
      <c r="LT38" s="71">
        <f>E52+G54+G56</f>
        <v>8</v>
      </c>
      <c r="LU38" s="71">
        <f t="shared" si="36"/>
        <v>-3</v>
      </c>
      <c r="LV38" s="70">
        <f t="shared" si="37"/>
        <v>3</v>
      </c>
      <c r="LW38" s="70">
        <f t="shared" si="38"/>
        <v>-0.3</v>
      </c>
      <c r="LX38" s="70">
        <f t="shared" si="39"/>
        <v>0.05</v>
      </c>
      <c r="LY38" s="70">
        <f t="shared" si="40"/>
        <v>2.75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2.75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3.0</v>
      </c>
      <c r="F39" s="281" t="s">
        <v>72</v>
      </c>
      <c r="G39" s="107">
        <v>0.0</v>
      </c>
      <c r="H39" s="108"/>
      <c r="I39" s="96" t="s">
        <v>77</v>
      </c>
      <c r="J39" s="97" t="s">
        <v>94</v>
      </c>
      <c r="K39" s="109"/>
      <c r="L39" s="118" t="str">
        <f>Epocler!MH20</f>
        <v>Polônia</v>
      </c>
      <c r="M39" s="119">
        <f>VLOOKUP(L39,Epocler!$LM$19:$LU$22,2,FALSE)</f>
        <v>5</v>
      </c>
      <c r="N39" s="120">
        <f>VLOOKUP(L39,Epocler!$LM$19:$LU$22,3,FALSE)</f>
        <v>3</v>
      </c>
      <c r="O39" s="120">
        <f>VLOOKUP(L39,Epocler!$LM$19:$LU$22,4,FALSE)</f>
        <v>0</v>
      </c>
      <c r="P39" s="120">
        <f>VLOOKUP(L39,Epocler!$LM$19:$LU$22,5,FALSE)</f>
        <v>2</v>
      </c>
      <c r="Q39" s="120">
        <f>VLOOKUP(L39,Epocler!$LM$19:$LU$22,6,FALSE)</f>
        <v>0</v>
      </c>
      <c r="R39" s="120">
        <f>VLOOKUP(L39,Epocler!$LM$19:$LU$22,7,FALSE)</f>
        <v>7</v>
      </c>
      <c r="S39" s="120">
        <f>VLOOKUP(L39,Epocler!$LM$19:$LU$22,8,FALSE)</f>
        <v>3</v>
      </c>
      <c r="T39" s="121">
        <f>VLOOKUP(L39,Epocler!$LM$19:$LU$22,9,FALSE)</f>
        <v>4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1.0</v>
      </c>
      <c r="F40" s="281" t="s">
        <v>72</v>
      </c>
      <c r="G40" s="107">
        <v>1.0</v>
      </c>
      <c r="H40" s="108"/>
      <c r="I40" s="96" t="s">
        <v>71</v>
      </c>
      <c r="J40" s="97" t="s">
        <v>97</v>
      </c>
      <c r="K40" s="109"/>
      <c r="L40" s="118" t="str">
        <f>Epocler!MH21</f>
        <v>México</v>
      </c>
      <c r="M40" s="119">
        <f>VLOOKUP(L40,Epocler!$LM$19:$LU$22,2,FALSE)</f>
        <v>4</v>
      </c>
      <c r="N40" s="120">
        <f>VLOOKUP(L40,Epocler!$LM$19:$LU$22,3,FALSE)</f>
        <v>3</v>
      </c>
      <c r="O40" s="120">
        <f>VLOOKUP(L40,Epocler!$LM$19:$LU$22,4,FALSE)</f>
        <v>1</v>
      </c>
      <c r="P40" s="120">
        <f>VLOOKUP(L40,Epocler!$LM$19:$LU$22,5,FALSE)</f>
        <v>1</v>
      </c>
      <c r="Q40" s="120">
        <f>VLOOKUP(L40,Epocler!$LM$19:$LU$22,6,FALSE)</f>
        <v>1</v>
      </c>
      <c r="R40" s="120">
        <f>VLOOKUP(L40,Epocler!$LM$19:$LU$22,7,FALSE)</f>
        <v>4</v>
      </c>
      <c r="S40" s="120">
        <f>VLOOKUP(L40,Epocler!$LM$19:$LU$22,8,FALSE)</f>
        <v>5</v>
      </c>
      <c r="T40" s="121">
        <f>VLOOKUP(L40,Epocler!$LM$19:$LU$22,9,FALSE)</f>
        <v>-1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0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0.0</v>
      </c>
      <c r="F41" s="281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Epocler!MH22</f>
        <v>Arábia Saudita</v>
      </c>
      <c r="M41" s="125">
        <f>VLOOKUP(L41,Epocler!$LM$19:$LU$22,2,FALSE)</f>
        <v>0</v>
      </c>
      <c r="N41" s="126">
        <f>VLOOKUP(L41,Epocler!$LM$19:$LU$22,3,FALSE)</f>
        <v>3</v>
      </c>
      <c r="O41" s="126">
        <f>VLOOKUP(L41,Epocler!$LM$19:$LU$22,4,FALSE)</f>
        <v>0</v>
      </c>
      <c r="P41" s="126">
        <f>VLOOKUP(L41,Epocler!$LM$19:$LU$22,5,FALSE)</f>
        <v>0</v>
      </c>
      <c r="Q41" s="126">
        <f>VLOOKUP(L41,Epocler!$LM$19:$LU$22,6,FALSE)</f>
        <v>3</v>
      </c>
      <c r="R41" s="126">
        <f>VLOOKUP(L41,Epocler!$LM$19:$LU$22,7,FALSE)</f>
        <v>0</v>
      </c>
      <c r="S41" s="126">
        <f>VLOOKUP(L41,Epocler!$LM$19:$LU$22,8,FALSE)</f>
        <v>10</v>
      </c>
      <c r="T41" s="127">
        <f>VLOOKUP(L41,Epocler!$LM$19:$LU$22,9,FALSE)</f>
        <v>-10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3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28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9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3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9</v>
      </c>
      <c r="LT43" s="71">
        <f>G61+G62+E64</f>
        <v>1</v>
      </c>
      <c r="LU43" s="71">
        <f t="shared" ref="LU43:LU46" si="45">LS43-LT43</f>
        <v>8</v>
      </c>
      <c r="LV43" s="70">
        <f t="shared" ref="LV43:LV46" si="46">LN43</f>
        <v>9</v>
      </c>
      <c r="LW43" s="70">
        <f t="shared" ref="LW43:LW46" si="47">LU43/10</f>
        <v>0.8</v>
      </c>
      <c r="LX43" s="70">
        <f t="shared" ref="LX43:LX46" si="48">LS43/100</f>
        <v>0.09</v>
      </c>
      <c r="LY43" s="70">
        <f t="shared" ref="LY43:LY46" si="49">SUM(LV43:LX43)</f>
        <v>9.89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9.89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2.0</v>
      </c>
      <c r="F44" s="281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1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2</v>
      </c>
      <c r="LS44" s="71">
        <f>G61+G63+E65</f>
        <v>1</v>
      </c>
      <c r="LT44" s="71">
        <f>E61+E63+G65</f>
        <v>6</v>
      </c>
      <c r="LU44" s="71">
        <f t="shared" si="45"/>
        <v>-5</v>
      </c>
      <c r="LV44" s="70">
        <f t="shared" si="46"/>
        <v>1</v>
      </c>
      <c r="LW44" s="70">
        <f t="shared" si="47"/>
        <v>-0.5</v>
      </c>
      <c r="LX44" s="70">
        <f t="shared" si="48"/>
        <v>0.01</v>
      </c>
      <c r="LY44" s="70">
        <f t="shared" si="49"/>
        <v>0.51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0.51</v>
      </c>
      <c r="MD44" s="70">
        <f>RANK($MC$44,$MC$43:$MC$46,0)</f>
        <v>3</v>
      </c>
      <c r="ME44" s="70">
        <f>IF(OR(AND(MD43=MD44,MD43=MD45,MD43=MD46),AND(MD44=MD43,MD44=MD45),AND(MD44=MD43,MD44=MD46),MD44=MD43),MD44+1,MD44)</f>
        <v>3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2.0</v>
      </c>
      <c r="F45" s="281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1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1</v>
      </c>
      <c r="LR45" s="71">
        <f>IF(OR(E60="",G60=""),0,IF(E60&lt;G60,1,0))+IF(OR(G62="",E62=""),0,IF(G62&lt;E62,1,0))+IF(OR(G65="",E65=""),0,IF(G65&lt;E65,1,0))</f>
        <v>2</v>
      </c>
      <c r="LS45" s="71">
        <f>E60+G62+G65</f>
        <v>1</v>
      </c>
      <c r="LT45" s="71">
        <f>G60+E62+E65</f>
        <v>6</v>
      </c>
      <c r="LU45" s="71">
        <f t="shared" si="45"/>
        <v>-5</v>
      </c>
      <c r="LV45" s="70">
        <f t="shared" si="46"/>
        <v>1</v>
      </c>
      <c r="LW45" s="70">
        <f t="shared" si="47"/>
        <v>-0.5</v>
      </c>
      <c r="LX45" s="70">
        <f t="shared" si="48"/>
        <v>0.01</v>
      </c>
      <c r="LY45" s="70">
        <f t="shared" si="49"/>
        <v>0.51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0.51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4</v>
      </c>
      <c r="MF45" s="70">
        <v>3.0</v>
      </c>
      <c r="MG45" s="70">
        <f t="shared" si="51"/>
        <v>2</v>
      </c>
      <c r="MH45" s="70" t="str">
        <f t="shared" si="52"/>
        <v>Canadá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0.0</v>
      </c>
      <c r="F46" s="282" t="s">
        <v>72</v>
      </c>
      <c r="G46" s="116">
        <v>1.0</v>
      </c>
      <c r="H46" s="117"/>
      <c r="I46" s="96" t="s">
        <v>87</v>
      </c>
      <c r="J46" s="97" t="s">
        <v>106</v>
      </c>
      <c r="K46" s="109"/>
      <c r="L46" s="118" t="str">
        <f>Epocler!MH27</f>
        <v>França</v>
      </c>
      <c r="M46" s="119">
        <f>VLOOKUP(L46,Epocler!$LM$27:$LU$30,2,FALSE)</f>
        <v>9</v>
      </c>
      <c r="N46" s="120">
        <f>VLOOKUP(L46,Epocler!$LM$27:$LU$30,3,FALSE)</f>
        <v>3</v>
      </c>
      <c r="O46" s="120">
        <f>VLOOKUP(L46,Epocler!$LM$27:$LU$30,4,FALSE)</f>
        <v>3</v>
      </c>
      <c r="P46" s="120">
        <f>VLOOKUP(L46,Epocler!$LM$27:$LU$30,5,FALSE)</f>
        <v>0</v>
      </c>
      <c r="Q46" s="120">
        <f>VLOOKUP(L46,Epocler!$LM$27:$LU$30,6,FALSE)</f>
        <v>0</v>
      </c>
      <c r="R46" s="120">
        <f>VLOOKUP(L46,Epocler!$LM$27:$LU$30,7,FALSE)</f>
        <v>8</v>
      </c>
      <c r="S46" s="120">
        <f>VLOOKUP(L46,Epocler!$LM$27:$LU$30,8,FALSE)</f>
        <v>1</v>
      </c>
      <c r="T46" s="121">
        <f>VLOOKUP(L46,Epocler!$LM$27:$LU$30,9,FALSE)</f>
        <v>7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10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6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2</v>
      </c>
      <c r="LQ46" s="71">
        <f>IF(OR(G60="",E60=""),0,IF(G60=E60,1,0))+IF(OR(E63="",G63=""),0,IF(E63=G63,1,0))+IF(OR(E64="",G64=""),0,IF(E64=G64,1,0))</f>
        <v>0</v>
      </c>
      <c r="LR46" s="71">
        <f>IF(OR(G60="",E60=""),0,IF(G60&lt;E60,1,0))+IF(OR(E63="",G63=""),0,IF(E63&lt;G63,1,0))+IF(OR(E64="",G64=""),0,IF(E64&lt;G64,1,0))</f>
        <v>1</v>
      </c>
      <c r="LS46" s="71">
        <f>G60+E63+E64</f>
        <v>5</v>
      </c>
      <c r="LT46" s="71">
        <f>E60+G63+G64</f>
        <v>3</v>
      </c>
      <c r="LU46" s="71">
        <f t="shared" si="45"/>
        <v>2</v>
      </c>
      <c r="LV46" s="70">
        <f t="shared" si="46"/>
        <v>6</v>
      </c>
      <c r="LW46" s="70">
        <f t="shared" si="47"/>
        <v>0.2</v>
      </c>
      <c r="LX46" s="70">
        <f t="shared" si="48"/>
        <v>0.05</v>
      </c>
      <c r="LY46" s="70">
        <f t="shared" si="49"/>
        <v>6.25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6.25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3</v>
      </c>
      <c r="MH46" s="70" t="str">
        <f t="shared" si="52"/>
        <v>Marrocos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3.0</v>
      </c>
      <c r="F47" s="281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Epocler!MH28</f>
        <v>Dinamarca</v>
      </c>
      <c r="M47" s="119">
        <f>VLOOKUP(L47,Epocler!$LM$27:$LU$30,2,FALSE)</f>
        <v>6</v>
      </c>
      <c r="N47" s="120">
        <f>VLOOKUP(L47,Epocler!$LM$27:$LU$30,3,FALSE)</f>
        <v>3</v>
      </c>
      <c r="O47" s="120">
        <f>VLOOKUP(L47,Epocler!$LM$27:$LU$30,4,FALSE)</f>
        <v>2</v>
      </c>
      <c r="P47" s="120">
        <f>VLOOKUP(L47,Epocler!$LM$27:$LU$30,5,FALSE)</f>
        <v>0</v>
      </c>
      <c r="Q47" s="120">
        <f>VLOOKUP(L47,Epocler!$LM$27:$LU$30,6,FALSE)</f>
        <v>1</v>
      </c>
      <c r="R47" s="120">
        <f>VLOOKUP(L47,Epocler!$LM$27:$LU$30,7,FALSE)</f>
        <v>5</v>
      </c>
      <c r="S47" s="120">
        <f>VLOOKUP(L47,Epocler!$LM$27:$LU$30,8,FALSE)</f>
        <v>3</v>
      </c>
      <c r="T47" s="121">
        <f>VLOOKUP(L47,Epocler!$LM$27:$LU$30,9,FALSE)</f>
        <v>2</v>
      </c>
      <c r="U47" s="53"/>
      <c r="V47" s="59" t="s">
        <v>81</v>
      </c>
      <c r="W47" s="122" t="str">
        <f t="shared" si="53"/>
        <v>Dinamarca</v>
      </c>
      <c r="X47" s="236">
        <f>IF(AND(W47&lt;&gt;"",'Resultado Oficial'!W46&lt;&gt;"",'Resultado Oficial'!W47&lt;&gt;""),IF(W47='Resultado Oficial'!W47,5,IF(W47='Resultado Oficial'!W46,2,0)),"")</f>
        <v>0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3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0.0</v>
      </c>
      <c r="F48" s="281" t="s">
        <v>72</v>
      </c>
      <c r="G48" s="107">
        <v>2.0</v>
      </c>
      <c r="H48" s="108"/>
      <c r="I48" s="96" t="s">
        <v>89</v>
      </c>
      <c r="J48" s="97" t="s">
        <v>106</v>
      </c>
      <c r="K48" s="109"/>
      <c r="L48" s="118" t="str">
        <f>Epocler!MH29</f>
        <v>Austrália</v>
      </c>
      <c r="M48" s="119">
        <f>VLOOKUP(L48,Epocler!$LM$27:$LU$30,2,FALSE)</f>
        <v>3</v>
      </c>
      <c r="N48" s="120">
        <f>VLOOKUP(L48,Epocler!$LM$27:$LU$30,3,FALSE)</f>
        <v>3</v>
      </c>
      <c r="O48" s="120">
        <f>VLOOKUP(L48,Epocler!$LM$27:$LU$30,4,FALSE)</f>
        <v>1</v>
      </c>
      <c r="P48" s="120">
        <f>VLOOKUP(L48,Epocler!$LM$27:$LU$30,5,FALSE)</f>
        <v>0</v>
      </c>
      <c r="Q48" s="120">
        <f>VLOOKUP(L48,Epocler!$LM$27:$LU$30,6,FALSE)</f>
        <v>2</v>
      </c>
      <c r="R48" s="120">
        <f>VLOOKUP(L48,Epocler!$LM$27:$LU$30,7,FALSE)</f>
        <v>1</v>
      </c>
      <c r="S48" s="120">
        <f>VLOOKUP(L48,Epocler!$LM$27:$LU$30,8,FALSE)</f>
        <v>4</v>
      </c>
      <c r="T48" s="121">
        <f>VLOOKUP(L48,Epocler!$LM$27:$LU$30,9,FALSE)</f>
        <v>-3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0.0</v>
      </c>
      <c r="F49" s="281" t="s">
        <v>72</v>
      </c>
      <c r="G49" s="107">
        <v>3.0</v>
      </c>
      <c r="H49" s="108"/>
      <c r="I49" s="96" t="s">
        <v>85</v>
      </c>
      <c r="J49" s="97" t="s">
        <v>99</v>
      </c>
      <c r="K49" s="123"/>
      <c r="L49" s="124" t="str">
        <f>Epocler!MH30</f>
        <v>Tunísia</v>
      </c>
      <c r="M49" s="125">
        <f>VLOOKUP(L49,Epocler!$LM$27:$LU$30,2,FALSE)</f>
        <v>0</v>
      </c>
      <c r="N49" s="126">
        <f>VLOOKUP(L49,Epocler!$LM$27:$LU$30,3,FALSE)</f>
        <v>3</v>
      </c>
      <c r="O49" s="126">
        <f>VLOOKUP(L49,Epocler!$LM$27:$LU$30,4,FALSE)</f>
        <v>0</v>
      </c>
      <c r="P49" s="126">
        <f>VLOOKUP(L49,Epocler!$LM$27:$LU$30,5,FALSE)</f>
        <v>0</v>
      </c>
      <c r="Q49" s="126">
        <f>VLOOKUP(L49,Epocler!$LM$27:$LU$30,6,FALSE)</f>
        <v>3</v>
      </c>
      <c r="R49" s="126">
        <f>VLOOKUP(L49,Epocler!$LM$27:$LU$30,7,FALSE)</f>
        <v>0</v>
      </c>
      <c r="S49" s="126">
        <f>VLOOKUP(L49,Epocler!$LM$27:$LU$30,8,FALSE)</f>
        <v>6</v>
      </c>
      <c r="T49" s="127">
        <f>VLOOKUP(L49,Epocler!$LM$27:$LU$30,9,FALSE)</f>
        <v>-6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28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9</v>
      </c>
      <c r="LT51" s="71">
        <f>G69+G71+E73</f>
        <v>1</v>
      </c>
      <c r="LU51" s="71">
        <f t="shared" ref="LU51:LU54" si="54">LS51-LT51</f>
        <v>8</v>
      </c>
      <c r="LV51" s="70">
        <f t="shared" ref="LV51:LV54" si="55">LN51</f>
        <v>9</v>
      </c>
      <c r="LW51" s="70">
        <f t="shared" ref="LW51:LW54" si="56">LU51/10</f>
        <v>0.8</v>
      </c>
      <c r="LX51" s="70">
        <f t="shared" ref="LX51:LX54" si="57">LS51/100</f>
        <v>0.09</v>
      </c>
      <c r="LY51" s="70">
        <f t="shared" ref="LY51:LY54" si="58">SUM(LV51:LX51)</f>
        <v>9.89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9.89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3.0</v>
      </c>
      <c r="F52" s="281" t="s">
        <v>72</v>
      </c>
      <c r="G52" s="107">
        <v>1.0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4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1</v>
      </c>
      <c r="LQ52" s="71">
        <f>IF(OR(G69="",E69=""),0,IF(G69=E69,1,0))+IF(OR(G70="",E70=""),0,IF(G70=E70,1,0))+IF(OR(E72="",G72=""),0,IF(E72=G72,1,0))</f>
        <v>1</v>
      </c>
      <c r="LR52" s="71">
        <f>IF(OR(G69="",E69=""),0,IF(G69&lt;E69,1,0))+IF(OR(G70="",E70=""),0,IF(G70&lt;E70,1,0))+IF(OR(E72="",G72=""),0,IF(E72&lt;G72,1,0))</f>
        <v>1</v>
      </c>
      <c r="LS52" s="71">
        <f>G69+G70+E72</f>
        <v>4</v>
      </c>
      <c r="LT52" s="71">
        <f>E69+E70+G72</f>
        <v>4</v>
      </c>
      <c r="LU52" s="71">
        <f t="shared" si="54"/>
        <v>0</v>
      </c>
      <c r="LV52" s="70">
        <f t="shared" si="55"/>
        <v>4</v>
      </c>
      <c r="LW52" s="70">
        <f t="shared" si="56"/>
        <v>0</v>
      </c>
      <c r="LX52" s="70">
        <f t="shared" si="57"/>
        <v>0.04</v>
      </c>
      <c r="LY52" s="70">
        <f t="shared" si="58"/>
        <v>4.04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4.04</v>
      </c>
      <c r="MD52" s="70">
        <f>RANK($MC$52,$MC$51:$MC$54,0)</f>
        <v>2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3.0</v>
      </c>
      <c r="F53" s="281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4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1</v>
      </c>
      <c r="LQ53" s="71">
        <f>IF(OR(E68="",G68=""),0,IF(E68=G68,1,0))+IF(OR(G71="",E71=""),0,IF(G71=E71,1,0))+IF(OR(G72="",E72=""),0,IF(G72=E72,1,0))</f>
        <v>1</v>
      </c>
      <c r="LR53" s="71">
        <f>IF(OR(E68="",G68=""),0,IF(E68&lt;G68,1,0))+IF(OR(G71="",E71=""),0,IF(G71&lt;E71,1,0))+IF(OR(G72="",E72=""),0,IF(G72&lt;E72,1,0))</f>
        <v>1</v>
      </c>
      <c r="LS53" s="71">
        <f>E68+G71+G72</f>
        <v>4</v>
      </c>
      <c r="LT53" s="71">
        <f>G68+E71+E72</f>
        <v>5</v>
      </c>
      <c r="LU53" s="71">
        <f t="shared" si="54"/>
        <v>-1</v>
      </c>
      <c r="LV53" s="70">
        <f t="shared" si="55"/>
        <v>4</v>
      </c>
      <c r="LW53" s="70">
        <f t="shared" si="56"/>
        <v>-0.1</v>
      </c>
      <c r="LX53" s="70">
        <f t="shared" si="57"/>
        <v>0.04</v>
      </c>
      <c r="LY53" s="70">
        <f t="shared" si="58"/>
        <v>3.94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3.94</v>
      </c>
      <c r="MD53" s="70">
        <f>RANK($MC$53,$MC$51:$MC$54,0)</f>
        <v>3</v>
      </c>
      <c r="ME53" s="70">
        <f>IF(OR(AND(MD51=MD52,MD51=MD53,MD51=MD54),AND(MD53=MD51,MD53=MD52)),MD53+2,IF(OR(AND(MD53=MD52,MD53=MD54),MD53=MD51,MD53=MD52),MD53+1,MD53))</f>
        <v>3</v>
      </c>
      <c r="MF53" s="70">
        <v>3.0</v>
      </c>
      <c r="MG53" s="70">
        <f t="shared" si="60"/>
        <v>3</v>
      </c>
      <c r="MH53" s="70" t="str">
        <f t="shared" si="61"/>
        <v>Suiça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3.0</v>
      </c>
      <c r="F54" s="282" t="s">
        <v>72</v>
      </c>
      <c r="G54" s="116">
        <v>2.0</v>
      </c>
      <c r="H54" s="117"/>
      <c r="I54" s="96" t="s">
        <v>96</v>
      </c>
      <c r="J54" s="97" t="s">
        <v>115</v>
      </c>
      <c r="K54" s="109"/>
      <c r="L54" s="118" t="str">
        <f>Epocler!MH35</f>
        <v>Espanha</v>
      </c>
      <c r="M54" s="119">
        <f>VLOOKUP(L54,Epocler!$LM$35:$LU$38,2,FALSE)</f>
        <v>7</v>
      </c>
      <c r="N54" s="120">
        <f>VLOOKUP(L54,Epocler!$LM$35:$LU$38,3,FALSE)</f>
        <v>3</v>
      </c>
      <c r="O54" s="120">
        <f>VLOOKUP(L54,Epocler!$LM$35:$LU$38,4,FALSE)</f>
        <v>2</v>
      </c>
      <c r="P54" s="120">
        <f>VLOOKUP(L54,Epocler!$LM$35:$LU$38,5,FALSE)</f>
        <v>1</v>
      </c>
      <c r="Q54" s="120">
        <f>VLOOKUP(L54,Epocler!$LM$35:$LU$38,6,FALSE)</f>
        <v>0</v>
      </c>
      <c r="R54" s="120">
        <f>VLOOKUP(L54,Epocler!$LM$35:$LU$38,7,FALSE)</f>
        <v>7</v>
      </c>
      <c r="S54" s="120">
        <f>VLOOKUP(L54,Epocler!$LM$35:$LU$38,8,FALSE)</f>
        <v>2</v>
      </c>
      <c r="T54" s="121">
        <f>VLOOKUP(L54,Epocler!$LM$35:$LU$38,9,FALSE)</f>
        <v>5</v>
      </c>
      <c r="U54" s="53"/>
      <c r="V54" s="59" t="s">
        <v>78</v>
      </c>
      <c r="W54" s="122" t="str">
        <f t="shared" ref="W54:W55" si="62">IF(N54&lt;&gt;3,"",L54)</f>
        <v>Espanha</v>
      </c>
      <c r="X54" s="236">
        <f>IF(AND(W54&lt;&gt;"",'Resultado Oficial'!W54&lt;&gt;"",'Resultado Oficial'!W55&lt;&gt;""),IF(W54='Resultado Oficial'!W54,5,IF(W54='Resultado Oficial'!W55,2,0)),"")</f>
        <v>2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0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0</v>
      </c>
      <c r="LR54" s="71">
        <f>IF(OR(G68="",E68=""),0,IF(G68&lt;E68,1,0))+IF(OR(E70="",G70=""),0,IF(E70&lt;G70,1,0))+IF(OR(E73="",G73=""),0,IF(E73&lt;G73,1,0))</f>
        <v>3</v>
      </c>
      <c r="LS54" s="71">
        <f>G68+E70+E73</f>
        <v>3</v>
      </c>
      <c r="LT54" s="71">
        <f>E68+G70+G73</f>
        <v>10</v>
      </c>
      <c r="LU54" s="71">
        <f t="shared" si="54"/>
        <v>-7</v>
      </c>
      <c r="LV54" s="70">
        <f t="shared" si="55"/>
        <v>0</v>
      </c>
      <c r="LW54" s="70">
        <f t="shared" si="56"/>
        <v>-0.7</v>
      </c>
      <c r="LX54" s="70">
        <f t="shared" si="57"/>
        <v>0.03</v>
      </c>
      <c r="LY54" s="70">
        <f t="shared" si="58"/>
        <v>-0.67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-0.67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1.0</v>
      </c>
      <c r="F55" s="281" t="s">
        <v>72</v>
      </c>
      <c r="G55" s="107">
        <v>1.0</v>
      </c>
      <c r="H55" s="108"/>
      <c r="I55" s="96" t="s">
        <v>98</v>
      </c>
      <c r="J55" s="97" t="s">
        <v>73</v>
      </c>
      <c r="K55" s="109"/>
      <c r="L55" s="118" t="str">
        <f>Epocler!MH36</f>
        <v>Alemanha</v>
      </c>
      <c r="M55" s="119">
        <f>VLOOKUP(L55,Epocler!$LM$35:$LU$38,2,FALSE)</f>
        <v>7</v>
      </c>
      <c r="N55" s="120">
        <f>VLOOKUP(L55,Epocler!$LM$35:$LU$38,3,FALSE)</f>
        <v>3</v>
      </c>
      <c r="O55" s="120">
        <f>VLOOKUP(L55,Epocler!$LM$35:$LU$38,4,FALSE)</f>
        <v>2</v>
      </c>
      <c r="P55" s="120">
        <f>VLOOKUP(L55,Epocler!$LM$35:$LU$38,5,FALSE)</f>
        <v>1</v>
      </c>
      <c r="Q55" s="120">
        <f>VLOOKUP(L55,Epocler!$LM$35:$LU$38,6,FALSE)</f>
        <v>0</v>
      </c>
      <c r="R55" s="120">
        <f>VLOOKUP(L55,Epocler!$LM$35:$LU$38,7,FALSE)</f>
        <v>6</v>
      </c>
      <c r="S55" s="120">
        <f>VLOOKUP(L55,Epocler!$LM$35:$LU$38,8,FALSE)</f>
        <v>2</v>
      </c>
      <c r="T55" s="121">
        <f>VLOOKUP(L55,Epocler!$LM$35:$LU$38,9,FALSE)</f>
        <v>4</v>
      </c>
      <c r="U55" s="53"/>
      <c r="V55" s="59" t="s">
        <v>81</v>
      </c>
      <c r="W55" s="122" t="str">
        <f t="shared" si="62"/>
        <v>Alemanha</v>
      </c>
      <c r="X55" s="236">
        <f>IF(AND(W55&lt;&gt;"",'Resultado Oficial'!W54&lt;&gt;"",'Resultado Oficial'!W55&lt;&gt;""),IF(W55='Resultado Oficial'!W55,5,IF(W55='Resultado Oficial'!W54,2,0)),"")</f>
        <v>0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10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1.0</v>
      </c>
      <c r="F56" s="281" t="s">
        <v>72</v>
      </c>
      <c r="G56" s="107">
        <v>3.0</v>
      </c>
      <c r="H56" s="108"/>
      <c r="I56" s="96" t="s">
        <v>93</v>
      </c>
      <c r="J56" s="97" t="s">
        <v>80</v>
      </c>
      <c r="K56" s="109"/>
      <c r="L56" s="118" t="str">
        <f>Epocler!MH37</f>
        <v>Japão</v>
      </c>
      <c r="M56" s="119">
        <f>VLOOKUP(L56,Epocler!$LM$35:$LU$38,2,FALSE)</f>
        <v>3</v>
      </c>
      <c r="N56" s="120">
        <f>VLOOKUP(L56,Epocler!$LM$35:$LU$38,3,FALSE)</f>
        <v>3</v>
      </c>
      <c r="O56" s="120">
        <f>VLOOKUP(L56,Epocler!$LM$35:$LU$38,4,FALSE)</f>
        <v>1</v>
      </c>
      <c r="P56" s="120">
        <f>VLOOKUP(L56,Epocler!$LM$35:$LU$38,5,FALSE)</f>
        <v>0</v>
      </c>
      <c r="Q56" s="120">
        <f>VLOOKUP(L56,Epocler!$LM$35:$LU$38,6,FALSE)</f>
        <v>2</v>
      </c>
      <c r="R56" s="120">
        <f>VLOOKUP(L56,Epocler!$LM$35:$LU$38,7,FALSE)</f>
        <v>5</v>
      </c>
      <c r="S56" s="120">
        <f>VLOOKUP(L56,Epocler!$LM$35:$LU$38,8,FALSE)</f>
        <v>8</v>
      </c>
      <c r="T56" s="121">
        <f>VLOOKUP(L56,Epocler!$LM$35:$LU$38,9,FALSE)</f>
        <v>-3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281" t="s">
        <v>72</v>
      </c>
      <c r="G57" s="107">
        <v>2.0</v>
      </c>
      <c r="H57" s="108"/>
      <c r="I57" s="96" t="s">
        <v>98</v>
      </c>
      <c r="J57" s="97" t="s">
        <v>73</v>
      </c>
      <c r="K57" s="123"/>
      <c r="L57" s="124" t="str">
        <f>Epocler!MH38</f>
        <v>Costa Rica</v>
      </c>
      <c r="M57" s="125">
        <f>VLOOKUP(L57,Epocler!$LM$35:$LU$38,2,FALSE)</f>
        <v>0</v>
      </c>
      <c r="N57" s="126">
        <f>VLOOKUP(L57,Epocler!$LM$35:$LU$38,3,FALSE)</f>
        <v>3</v>
      </c>
      <c r="O57" s="126">
        <f>VLOOKUP(L57,Epocler!$LM$35:$LU$38,4,FALSE)</f>
        <v>0</v>
      </c>
      <c r="P57" s="126">
        <f>VLOOKUP(L57,Epocler!$LM$35:$LU$38,5,FALSE)</f>
        <v>0</v>
      </c>
      <c r="Q57" s="126">
        <f>VLOOKUP(L57,Epocler!$LM$35:$LU$38,6,FALSE)</f>
        <v>3</v>
      </c>
      <c r="R57" s="126">
        <f>VLOOKUP(L57,Epocler!$LM$35:$LU$38,7,FALSE)</f>
        <v>2</v>
      </c>
      <c r="S57" s="126">
        <f>VLOOKUP(L57,Epocler!$LM$35:$LU$38,8,FALSE)</f>
        <v>8</v>
      </c>
      <c r="T57" s="127">
        <f>VLOOKUP(L57,Epocler!$LM$35:$LU$38,9,FALSE)</f>
        <v>-6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6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28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7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1</v>
      </c>
      <c r="LR59" s="71">
        <f>IF(OR(E77="",G77=""),0,IF(E77&lt;G77,1,0))+IF(OR(E79="",G79=""),0,IF(E79&lt;G79,1,0))+IF(OR(G81="",E81=""),0,IF(G81&lt;E81,1,0))</f>
        <v>0</v>
      </c>
      <c r="LS59" s="71">
        <f>E77+E79+G81</f>
        <v>9</v>
      </c>
      <c r="LT59" s="71">
        <f>G77+G79+E81</f>
        <v>3</v>
      </c>
      <c r="LU59" s="71">
        <f t="shared" ref="LU59:LU62" si="63">LS59-LT59</f>
        <v>6</v>
      </c>
      <c r="LV59" s="70">
        <f t="shared" ref="LV59:LV62" si="64">LN59</f>
        <v>7</v>
      </c>
      <c r="LW59" s="70">
        <f t="shared" ref="LW59:LW62" si="65">LU59/10</f>
        <v>0.6</v>
      </c>
      <c r="LX59" s="70">
        <f t="shared" ref="LX59:LX62" si="66">LS59/100</f>
        <v>0.09</v>
      </c>
      <c r="LY59" s="70">
        <f t="shared" ref="LY59:LY62" si="67">SUM(LV59:LX59)</f>
        <v>7.69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7.69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281" t="s">
        <v>72</v>
      </c>
      <c r="G60" s="107">
        <v>2.0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1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1</v>
      </c>
      <c r="LR60" s="71">
        <f>IF(OR(G77="",E77=""),0,IF(G77&lt;E77,1,0))+IF(OR(G78="",E78=""),0,IF(G78&lt;E78,1,0))+IF(OR(E80="",G80=""),0,IF(E80&lt;G80,1,0))</f>
        <v>2</v>
      </c>
      <c r="LS60" s="71">
        <f>G77+G78+E80</f>
        <v>5</v>
      </c>
      <c r="LT60" s="71">
        <f>E77+E78+G80</f>
        <v>9</v>
      </c>
      <c r="LU60" s="71">
        <f t="shared" si="63"/>
        <v>-4</v>
      </c>
      <c r="LV60" s="70">
        <f t="shared" si="64"/>
        <v>1</v>
      </c>
      <c r="LW60" s="70">
        <f t="shared" si="65"/>
        <v>-0.4</v>
      </c>
      <c r="LX60" s="70">
        <f t="shared" si="66"/>
        <v>0.05</v>
      </c>
      <c r="LY60" s="70">
        <f t="shared" si="67"/>
        <v>0.65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0.65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9"/>
        <v>3</v>
      </c>
      <c r="MH60" s="70" t="str">
        <f t="shared" si="70"/>
        <v>Uruguai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3.0</v>
      </c>
      <c r="F61" s="281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7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0</v>
      </c>
      <c r="LS61" s="71">
        <f>E76+G79+G80</f>
        <v>6</v>
      </c>
      <c r="LT61" s="71">
        <f>G76+E79+E80</f>
        <v>2</v>
      </c>
      <c r="LU61" s="71">
        <f t="shared" si="63"/>
        <v>4</v>
      </c>
      <c r="LV61" s="70">
        <f t="shared" si="64"/>
        <v>7</v>
      </c>
      <c r="LW61" s="70">
        <f t="shared" si="65"/>
        <v>0.4</v>
      </c>
      <c r="LX61" s="70">
        <f t="shared" si="66"/>
        <v>0.06</v>
      </c>
      <c r="LY61" s="70">
        <f t="shared" si="67"/>
        <v>7.46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7.46</v>
      </c>
      <c r="MD61" s="70">
        <f>RANK($MC$61,$MC$59:$MC$62,0)</f>
        <v>2</v>
      </c>
      <c r="ME61" s="70">
        <f>IF(OR(AND(MD59=MD60,MD59=MD61,MD59=MD62),AND(MD61=MD59,MD61=MD60)),MD61+2,IF(OR(AND(MD61=MD60,MD61=MD62),MD61=MD59,MD61=MD60),MD61+1,MD61))</f>
        <v>2</v>
      </c>
      <c r="MF61" s="70">
        <v>3.0</v>
      </c>
      <c r="MG61" s="70">
        <f t="shared" si="69"/>
        <v>4</v>
      </c>
      <c r="MH61" s="70" t="str">
        <f t="shared" si="70"/>
        <v>Coréia do Sul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3.0</v>
      </c>
      <c r="F62" s="282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Epocler!MH43</f>
        <v>Bélgica</v>
      </c>
      <c r="M62" s="119">
        <f>VLOOKUP(L62,Epocler!$LM$43:$LU$46,2,FALSE)</f>
        <v>9</v>
      </c>
      <c r="N62" s="120">
        <f>VLOOKUP(L62,Epocler!$LM$43:$LU$46,3,FALSE)</f>
        <v>3</v>
      </c>
      <c r="O62" s="120">
        <f>VLOOKUP(L62,Epocler!$LM$43:$LU$46,4,FALSE)</f>
        <v>3</v>
      </c>
      <c r="P62" s="120">
        <f>VLOOKUP(L62,Epocler!$LM$43:$LU$46,5,FALSE)</f>
        <v>0</v>
      </c>
      <c r="Q62" s="120">
        <f>VLOOKUP(L62,Epocler!$LM$43:$LU$46,6,FALSE)</f>
        <v>0</v>
      </c>
      <c r="R62" s="120">
        <f>VLOOKUP(L62,Epocler!$LM$43:$LU$46,7,FALSE)</f>
        <v>9</v>
      </c>
      <c r="S62" s="120">
        <f>VLOOKUP(L62,Epocler!$LM$43:$LU$46,8,FALSE)</f>
        <v>1</v>
      </c>
      <c r="T62" s="121">
        <f>VLOOKUP(L62,Epocler!$LM$43:$LU$46,9,FALSE)</f>
        <v>8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2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1</v>
      </c>
      <c r="LR62" s="71">
        <f>IF(OR(G76="",E76=""),0,IF(G76&lt;E76,1,0))+IF(OR(E78="",G78=""),0,IF(E78&lt;G78,1,0))+IF(OR(E81="",G81=""),0,IF(E81&lt;G81,1,0))</f>
        <v>2</v>
      </c>
      <c r="LS62" s="71">
        <f>G76+E78+E81</f>
        <v>2</v>
      </c>
      <c r="LT62" s="71">
        <f>E76+G78+G81</f>
        <v>8</v>
      </c>
      <c r="LU62" s="71">
        <f t="shared" si="63"/>
        <v>-6</v>
      </c>
      <c r="LV62" s="70">
        <f t="shared" si="64"/>
        <v>2</v>
      </c>
      <c r="LW62" s="70">
        <f t="shared" si="65"/>
        <v>-0.6</v>
      </c>
      <c r="LX62" s="70">
        <f t="shared" si="66"/>
        <v>0.02</v>
      </c>
      <c r="LY62" s="70">
        <f t="shared" si="67"/>
        <v>1.42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1.42</v>
      </c>
      <c r="MD62" s="70">
        <f>RANK($MC$62,$MC$59:$MC$62,0)</f>
        <v>3</v>
      </c>
      <c r="ME62" s="70">
        <f>IF(AND(MD59=MD60,MD59=MD61,MD59=MD62),MD62+3,IF(OR(AND(MD62=MD61,MD62=MD60),AND(MD62=MD60,MD62=MD59)),MD62+2,IF(OR(MD62=MD61,MD62=MD60,MD62=MD59),MD62+1,MD62)))</f>
        <v>3</v>
      </c>
      <c r="MF62" s="70">
        <v>4.0</v>
      </c>
      <c r="MG62" s="70">
        <f t="shared" si="69"/>
        <v>2</v>
      </c>
      <c r="MH62" s="70" t="str">
        <f t="shared" si="70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2.0</v>
      </c>
      <c r="F63" s="281" t="s">
        <v>72</v>
      </c>
      <c r="G63" s="107">
        <v>0.0</v>
      </c>
      <c r="H63" s="108"/>
      <c r="I63" s="96" t="s">
        <v>105</v>
      </c>
      <c r="J63" s="97" t="s">
        <v>80</v>
      </c>
      <c r="K63" s="109"/>
      <c r="L63" s="118" t="str">
        <f>Epocler!MH44</f>
        <v>Croácia</v>
      </c>
      <c r="M63" s="119">
        <f>VLOOKUP(L63,Epocler!$LM$43:$LU$46,2,FALSE)</f>
        <v>6</v>
      </c>
      <c r="N63" s="120">
        <f>VLOOKUP(L63,Epocler!$LM$43:$LU$46,3,FALSE)</f>
        <v>3</v>
      </c>
      <c r="O63" s="120">
        <f>VLOOKUP(L63,Epocler!$LM$43:$LU$46,4,FALSE)</f>
        <v>2</v>
      </c>
      <c r="P63" s="120">
        <f>VLOOKUP(L63,Epocler!$LM$43:$LU$46,5,FALSE)</f>
        <v>0</v>
      </c>
      <c r="Q63" s="120">
        <f>VLOOKUP(L63,Epocler!$LM$43:$LU$46,6,FALSE)</f>
        <v>1</v>
      </c>
      <c r="R63" s="120">
        <f>VLOOKUP(L63,Epocler!$LM$43:$LU$46,7,FALSE)</f>
        <v>5</v>
      </c>
      <c r="S63" s="120">
        <f>VLOOKUP(L63,Epocler!$LM$43:$LU$46,8,FALSE)</f>
        <v>3</v>
      </c>
      <c r="T63" s="121">
        <f>VLOOKUP(L63,Epocler!$LM$43:$LU$46,9,FALSE)</f>
        <v>2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3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1.0</v>
      </c>
      <c r="F64" s="281" t="s">
        <v>72</v>
      </c>
      <c r="G64" s="107">
        <v>3.0</v>
      </c>
      <c r="H64" s="108"/>
      <c r="I64" s="96" t="s">
        <v>103</v>
      </c>
      <c r="J64" s="97" t="s">
        <v>88</v>
      </c>
      <c r="K64" s="109"/>
      <c r="L64" s="118" t="str">
        <f>Epocler!MH45</f>
        <v>Canadá</v>
      </c>
      <c r="M64" s="119">
        <f>VLOOKUP(L64,Epocler!$LM$43:$LU$46,2,FALSE)</f>
        <v>1</v>
      </c>
      <c r="N64" s="120">
        <f>VLOOKUP(L64,Epocler!$LM$43:$LU$46,3,FALSE)</f>
        <v>3</v>
      </c>
      <c r="O64" s="120">
        <f>VLOOKUP(L64,Epocler!$LM$43:$LU$46,4,FALSE)</f>
        <v>0</v>
      </c>
      <c r="P64" s="120">
        <f>VLOOKUP(L64,Epocler!$LM$43:$LU$46,5,FALSE)</f>
        <v>1</v>
      </c>
      <c r="Q64" s="120">
        <f>VLOOKUP(L64,Epocler!$LM$43:$LU$46,6,FALSE)</f>
        <v>2</v>
      </c>
      <c r="R64" s="120">
        <f>VLOOKUP(L64,Epocler!$LM$43:$LU$46,7,FALSE)</f>
        <v>1</v>
      </c>
      <c r="S64" s="120">
        <f>VLOOKUP(L64,Epocler!$LM$43:$LU$46,8,FALSE)</f>
        <v>6</v>
      </c>
      <c r="T64" s="121">
        <f>VLOOKUP(L64,Epocler!$LM$43:$LU$46,9,FALSE)</f>
        <v>-5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1.0</v>
      </c>
      <c r="F65" s="281" t="s">
        <v>72</v>
      </c>
      <c r="G65" s="107">
        <v>1.0</v>
      </c>
      <c r="H65" s="108"/>
      <c r="I65" s="96" t="s">
        <v>107</v>
      </c>
      <c r="J65" s="97" t="s">
        <v>76</v>
      </c>
      <c r="K65" s="123"/>
      <c r="L65" s="124" t="str">
        <f>Epocler!MH46</f>
        <v>Marrocos</v>
      </c>
      <c r="M65" s="125">
        <f>VLOOKUP(L65,Epocler!$LM$43:$LU$46,2,FALSE)</f>
        <v>1</v>
      </c>
      <c r="N65" s="126">
        <f>VLOOKUP(L65,Epocler!$LM$43:$LU$46,3,FALSE)</f>
        <v>3</v>
      </c>
      <c r="O65" s="126">
        <f>VLOOKUP(L65,Epocler!$LM$43:$LU$46,4,FALSE)</f>
        <v>0</v>
      </c>
      <c r="P65" s="126">
        <f>VLOOKUP(L65,Epocler!$LM$43:$LU$46,5,FALSE)</f>
        <v>1</v>
      </c>
      <c r="Q65" s="126">
        <f>VLOOKUP(L65,Epocler!$LM$43:$LU$46,6,FALSE)</f>
        <v>2</v>
      </c>
      <c r="R65" s="126">
        <f>VLOOKUP(L65,Epocler!$LM$43:$LU$46,7,FALSE)</f>
        <v>1</v>
      </c>
      <c r="S65" s="126">
        <f>VLOOKUP(L65,Epocler!$LM$43:$LU$46,8,FALSE)</f>
        <v>6</v>
      </c>
      <c r="T65" s="127">
        <f>VLOOKUP(L65,Epocler!$LM$43:$LU$46,9,FALSE)</f>
        <v>-5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28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3.0</v>
      </c>
      <c r="F68" s="281" t="s">
        <v>72</v>
      </c>
      <c r="G68" s="107">
        <v>1.0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3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281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10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1.0</v>
      </c>
      <c r="F70" s="282" t="s">
        <v>72</v>
      </c>
      <c r="G70" s="116">
        <v>3.0</v>
      </c>
      <c r="H70" s="117"/>
      <c r="I70" s="96" t="s">
        <v>113</v>
      </c>
      <c r="J70" s="97" t="s">
        <v>106</v>
      </c>
      <c r="K70" s="109"/>
      <c r="L70" s="118" t="str">
        <f>Epocler!MH51</f>
        <v>Brasil</v>
      </c>
      <c r="M70" s="119">
        <f>VLOOKUP(L70,Epocler!$LM$51:$LU$54,2,FALSE)</f>
        <v>9</v>
      </c>
      <c r="N70" s="120">
        <f>VLOOKUP(L70,Epocler!$LM$51:$LU$54,3,FALSE)</f>
        <v>3</v>
      </c>
      <c r="O70" s="120">
        <f>VLOOKUP(L70,Epocler!$LM$51:$LU$54,4,FALSE)</f>
        <v>3</v>
      </c>
      <c r="P70" s="120">
        <f>VLOOKUP(L70,Epocler!$LM$51:$LU$54,5,FALSE)</f>
        <v>0</v>
      </c>
      <c r="Q70" s="120">
        <f>VLOOKUP(L70,Epocler!$LM$51:$LU$54,6,FALSE)</f>
        <v>0</v>
      </c>
      <c r="R70" s="120">
        <f>VLOOKUP(L70,Epocler!$LM$51:$LU$54,7,FALSE)</f>
        <v>9</v>
      </c>
      <c r="S70" s="120">
        <f>VLOOKUP(L70,Epocler!$LM$51:$LU$54,8,FALSE)</f>
        <v>1</v>
      </c>
      <c r="T70" s="121">
        <f>VLOOKUP(L70,Epocler!$LM$51:$LU$54,9,FALSE)</f>
        <v>8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0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3.0</v>
      </c>
      <c r="F71" s="281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Epocler!MH52</f>
        <v>Sérvia</v>
      </c>
      <c r="M71" s="119">
        <f>VLOOKUP(L71,Epocler!$LM$51:$LU$54,2,FALSE)</f>
        <v>4</v>
      </c>
      <c r="N71" s="120">
        <f>VLOOKUP(L71,Epocler!$LM$51:$LU$54,3,FALSE)</f>
        <v>3</v>
      </c>
      <c r="O71" s="120">
        <f>VLOOKUP(L71,Epocler!$LM$51:$LU$54,4,FALSE)</f>
        <v>1</v>
      </c>
      <c r="P71" s="120">
        <f>VLOOKUP(L71,Epocler!$LM$51:$LU$54,5,FALSE)</f>
        <v>1</v>
      </c>
      <c r="Q71" s="120">
        <f>VLOOKUP(L71,Epocler!$LM$51:$LU$54,6,FALSE)</f>
        <v>1</v>
      </c>
      <c r="R71" s="120">
        <f>VLOOKUP(L71,Epocler!$LM$51:$LU$54,7,FALSE)</f>
        <v>4</v>
      </c>
      <c r="S71" s="120">
        <f>VLOOKUP(L71,Epocler!$LM$51:$LU$54,8,FALSE)</f>
        <v>4</v>
      </c>
      <c r="T71" s="121">
        <f>VLOOKUP(L71,Epocler!$LM$51:$LU$54,9,FALSE)</f>
        <v>0</v>
      </c>
      <c r="U71" s="53"/>
      <c r="V71" s="59" t="s">
        <v>81</v>
      </c>
      <c r="W71" s="122" t="str">
        <f t="shared" si="72"/>
        <v>Sérvia</v>
      </c>
      <c r="X71" s="236">
        <f>IF(AND(W71&lt;&gt;"",'Resultado Oficial'!W70&lt;&gt;"",'Resultado Oficial'!W71&lt;&gt;""),IF(W71='Resultado Oficial'!W71,5,IF(W71='Resultado Oficial'!W70,2,0)),"")</f>
        <v>0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3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1.0</v>
      </c>
      <c r="F72" s="281" t="s">
        <v>72</v>
      </c>
      <c r="G72" s="107">
        <v>1.0</v>
      </c>
      <c r="H72" s="108"/>
      <c r="I72" s="96" t="s">
        <v>114</v>
      </c>
      <c r="J72" s="97" t="s">
        <v>97</v>
      </c>
      <c r="K72" s="109"/>
      <c r="L72" s="118" t="str">
        <f>Epocler!MH53</f>
        <v>Suiça</v>
      </c>
      <c r="M72" s="119">
        <f>VLOOKUP(L72,Epocler!$LM$51:$LU$54,2,FALSE)</f>
        <v>4</v>
      </c>
      <c r="N72" s="120">
        <f>VLOOKUP(L72,Epocler!$LM$51:$LU$54,3,FALSE)</f>
        <v>3</v>
      </c>
      <c r="O72" s="120">
        <f>VLOOKUP(L72,Epocler!$LM$51:$LU$54,4,FALSE)</f>
        <v>1</v>
      </c>
      <c r="P72" s="120">
        <f>VLOOKUP(L72,Epocler!$LM$51:$LU$54,5,FALSE)</f>
        <v>1</v>
      </c>
      <c r="Q72" s="120">
        <f>VLOOKUP(L72,Epocler!$LM$51:$LU$54,6,FALSE)</f>
        <v>1</v>
      </c>
      <c r="R72" s="120">
        <f>VLOOKUP(L72,Epocler!$LM$51:$LU$54,7,FALSE)</f>
        <v>4</v>
      </c>
      <c r="S72" s="120">
        <f>VLOOKUP(L72,Epocler!$LM$51:$LU$54,8,FALSE)</f>
        <v>5</v>
      </c>
      <c r="T72" s="121">
        <f>VLOOKUP(L72,Epocler!$LM$51:$LU$54,9,FALSE)</f>
        <v>-1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1.0</v>
      </c>
      <c r="F73" s="281" t="s">
        <v>72</v>
      </c>
      <c r="G73" s="107">
        <v>4.0</v>
      </c>
      <c r="H73" s="108"/>
      <c r="I73" s="96" t="s">
        <v>111</v>
      </c>
      <c r="J73" s="97" t="s">
        <v>94</v>
      </c>
      <c r="K73" s="123"/>
      <c r="L73" s="124" t="str">
        <f>Epocler!MH54</f>
        <v>Camarões</v>
      </c>
      <c r="M73" s="125">
        <f>VLOOKUP(L73,Epocler!$LM$51:$LU$54,2,FALSE)</f>
        <v>0</v>
      </c>
      <c r="N73" s="126">
        <f>VLOOKUP(L73,Epocler!$LM$51:$LU$54,3,FALSE)</f>
        <v>3</v>
      </c>
      <c r="O73" s="126">
        <f>VLOOKUP(L73,Epocler!$LM$51:$LU$54,4,FALSE)</f>
        <v>0</v>
      </c>
      <c r="P73" s="126">
        <f>VLOOKUP(L73,Epocler!$LM$51:$LU$54,5,FALSE)</f>
        <v>0</v>
      </c>
      <c r="Q73" s="126">
        <f>VLOOKUP(L73,Epocler!$LM$51:$LU$54,6,FALSE)</f>
        <v>3</v>
      </c>
      <c r="R73" s="126">
        <f>VLOOKUP(L73,Epocler!$LM$51:$LU$54,7,FALSE)</f>
        <v>3</v>
      </c>
      <c r="S73" s="126">
        <f>VLOOKUP(L73,Epocler!$LM$51:$LU$54,8,FALSE)</f>
        <v>10</v>
      </c>
      <c r="T73" s="127">
        <f>VLOOKUP(L73,Epocler!$LM$51:$LU$54,9,FALSE)</f>
        <v>-7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28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2.0</v>
      </c>
      <c r="F76" s="281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4.0</v>
      </c>
      <c r="F77" s="281" t="s">
        <v>72</v>
      </c>
      <c r="G77" s="107">
        <v>2.0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3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2.0</v>
      </c>
      <c r="F78" s="282" t="s">
        <v>72</v>
      </c>
      <c r="G78" s="116">
        <v>2.0</v>
      </c>
      <c r="H78" s="117"/>
      <c r="I78" s="96" t="s">
        <v>121</v>
      </c>
      <c r="J78" s="97" t="s">
        <v>99</v>
      </c>
      <c r="K78" s="109"/>
      <c r="L78" s="118" t="str">
        <f>Epocler!MH59</f>
        <v>Portugal</v>
      </c>
      <c r="M78" s="119">
        <f>VLOOKUP(L78,Epocler!$LM$59:$LU$62,2,FALSE)</f>
        <v>7</v>
      </c>
      <c r="N78" s="120">
        <f>VLOOKUP(L78,Epocler!$LM$59:$LU$62,3,FALSE)</f>
        <v>3</v>
      </c>
      <c r="O78" s="120">
        <f>VLOOKUP(L78,Epocler!$LM$59:$LU$62,4,FALSE)</f>
        <v>2</v>
      </c>
      <c r="P78" s="120">
        <f>VLOOKUP(L78,Epocler!$LM$59:$LU$62,5,FALSE)</f>
        <v>1</v>
      </c>
      <c r="Q78" s="120">
        <f>VLOOKUP(L78,Epocler!$LM$59:$LU$62,6,FALSE)</f>
        <v>0</v>
      </c>
      <c r="R78" s="120">
        <f>VLOOKUP(L78,Epocler!$LM$59:$LU$62,7,FALSE)</f>
        <v>9</v>
      </c>
      <c r="S78" s="120">
        <f>VLOOKUP(L78,Epocler!$LM$59:$LU$62,8,FALSE)</f>
        <v>3</v>
      </c>
      <c r="T78" s="121">
        <f>VLOOKUP(L78,Epocler!$LM$59:$LU$62,9,FALSE)</f>
        <v>6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1.0</v>
      </c>
      <c r="F79" s="281" t="s">
        <v>72</v>
      </c>
      <c r="G79" s="107">
        <v>1.0</v>
      </c>
      <c r="H79" s="108"/>
      <c r="I79" s="96" t="s">
        <v>122</v>
      </c>
      <c r="J79" s="97" t="s">
        <v>94</v>
      </c>
      <c r="K79" s="109"/>
      <c r="L79" s="118" t="str">
        <f>Epocler!MH60</f>
        <v>Uruguai</v>
      </c>
      <c r="M79" s="119">
        <f>VLOOKUP(L79,Epocler!$LM$59:$LU$62,2,FALSE)</f>
        <v>7</v>
      </c>
      <c r="N79" s="120">
        <f>VLOOKUP(L79,Epocler!$LM$59:$LU$62,3,FALSE)</f>
        <v>3</v>
      </c>
      <c r="O79" s="120">
        <f>VLOOKUP(L79,Epocler!$LM$59:$LU$62,4,FALSE)</f>
        <v>2</v>
      </c>
      <c r="P79" s="120">
        <f>VLOOKUP(L79,Epocler!$LM$59:$LU$62,5,FALSE)</f>
        <v>1</v>
      </c>
      <c r="Q79" s="120">
        <f>VLOOKUP(L79,Epocler!$LM$59:$LU$62,6,FALSE)</f>
        <v>0</v>
      </c>
      <c r="R79" s="120">
        <f>VLOOKUP(L79,Epocler!$LM$59:$LU$62,7,FALSE)</f>
        <v>6</v>
      </c>
      <c r="S79" s="120">
        <f>VLOOKUP(L79,Epocler!$LM$59:$LU$62,8,FALSE)</f>
        <v>2</v>
      </c>
      <c r="T79" s="121">
        <f>VLOOKUP(L79,Epocler!$LM$59:$LU$62,9,FALSE)</f>
        <v>4</v>
      </c>
      <c r="U79" s="53"/>
      <c r="V79" s="59" t="s">
        <v>81</v>
      </c>
      <c r="W79" s="122" t="str">
        <f t="shared" si="73"/>
        <v>Uruguai</v>
      </c>
      <c r="X79" s="236">
        <f>IF(AND(W79&lt;&gt;"",'Resultado Oficial'!W78&lt;&gt;"",'Resultado Oficial'!W79&lt;&gt;""),IF(W79='Resultado Oficial'!W79,5,IF(W79='Resultado Oficial'!W78,2,0)),"")</f>
        <v>0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281" t="s">
        <v>72</v>
      </c>
      <c r="G80" s="107">
        <v>3.0</v>
      </c>
      <c r="H80" s="108"/>
      <c r="I80" s="96" t="s">
        <v>122</v>
      </c>
      <c r="J80" s="97" t="s">
        <v>106</v>
      </c>
      <c r="K80" s="109"/>
      <c r="L80" s="118" t="str">
        <f>Epocler!MH61</f>
        <v>Coréia do Sul</v>
      </c>
      <c r="M80" s="119">
        <f>VLOOKUP(L80,Epocler!$LM$59:$LU$62,2,FALSE)</f>
        <v>2</v>
      </c>
      <c r="N80" s="120">
        <f>VLOOKUP(L80,Epocler!$LM$59:$LU$62,3,FALSE)</f>
        <v>3</v>
      </c>
      <c r="O80" s="120">
        <f>VLOOKUP(L80,Epocler!$LM$59:$LU$62,4,FALSE)</f>
        <v>0</v>
      </c>
      <c r="P80" s="120">
        <f>VLOOKUP(L80,Epocler!$LM$59:$LU$62,5,FALSE)</f>
        <v>1</v>
      </c>
      <c r="Q80" s="120">
        <f>VLOOKUP(L80,Epocler!$LM$59:$LU$62,6,FALSE)</f>
        <v>2</v>
      </c>
      <c r="R80" s="120">
        <f>VLOOKUP(L80,Epocler!$LM$59:$LU$62,7,FALSE)</f>
        <v>2</v>
      </c>
      <c r="S80" s="120">
        <f>VLOOKUP(L80,Epocler!$LM$59:$LU$62,8,FALSE)</f>
        <v>8</v>
      </c>
      <c r="T80" s="121">
        <f>VLOOKUP(L80,Epocler!$LM$59:$LU$62,9,FALSE)</f>
        <v>-6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6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0.0</v>
      </c>
      <c r="F81" s="281" t="s">
        <v>72</v>
      </c>
      <c r="G81" s="107">
        <v>4.0</v>
      </c>
      <c r="H81" s="108"/>
      <c r="I81" s="96" t="s">
        <v>119</v>
      </c>
      <c r="J81" s="97" t="s">
        <v>99</v>
      </c>
      <c r="K81" s="123"/>
      <c r="L81" s="124" t="str">
        <f>Epocler!MH62</f>
        <v>Gana</v>
      </c>
      <c r="M81" s="125">
        <f>VLOOKUP(L81,Epocler!$LM$59:$LU$62,2,FALSE)</f>
        <v>1</v>
      </c>
      <c r="N81" s="126">
        <f>VLOOKUP(L81,Epocler!$LM$59:$LU$62,3,FALSE)</f>
        <v>3</v>
      </c>
      <c r="O81" s="126">
        <f>VLOOKUP(L81,Epocler!$LM$59:$LU$62,4,FALSE)</f>
        <v>0</v>
      </c>
      <c r="P81" s="126">
        <f>VLOOKUP(L81,Epocler!$LM$59:$LU$62,5,FALSE)</f>
        <v>1</v>
      </c>
      <c r="Q81" s="126">
        <f>VLOOKUP(L81,Epocler!$LM$59:$LU$62,6,FALSE)</f>
        <v>2</v>
      </c>
      <c r="R81" s="126">
        <f>VLOOKUP(L81,Epocler!$LM$59:$LU$62,7,FALSE)</f>
        <v>5</v>
      </c>
      <c r="S81" s="126">
        <f>VLOOKUP(L81,Epocler!$LM$59:$LU$62,8,FALSE)</f>
        <v>9</v>
      </c>
      <c r="T81" s="127">
        <f>VLOOKUP(L81,Epocler!$LM$59:$LU$62,9,FALSE)</f>
        <v>-4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0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0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282" t="s">
        <v>72</v>
      </c>
      <c r="G85" s="260">
        <v>0.0</v>
      </c>
      <c r="H85" s="158"/>
      <c r="I85" s="157" t="str">
        <f>IF(N31=3,L31,"2º do grupo B")</f>
        <v>Estados Unidos</v>
      </c>
      <c r="J85" s="159" t="s">
        <v>193</v>
      </c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2.0</v>
      </c>
      <c r="F86" s="282" t="s">
        <v>72</v>
      </c>
      <c r="G86" s="260">
        <v>1.0</v>
      </c>
      <c r="H86" s="158"/>
      <c r="I86" s="157" t="str">
        <f>IF(N47=3,L47,"2º do grupo D")</f>
        <v>Dinamarca</v>
      </c>
      <c r="J86" s="159" t="s">
        <v>194</v>
      </c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3.0</v>
      </c>
      <c r="F87" s="282" t="s">
        <v>72</v>
      </c>
      <c r="G87" s="260">
        <v>0.0</v>
      </c>
      <c r="H87" s="158"/>
      <c r="I87" s="157" t="str">
        <f>IF(N23=3,L23,"2º do grupo A")</f>
        <v>Senegal</v>
      </c>
      <c r="J87" s="159" t="s">
        <v>195</v>
      </c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158"/>
      <c r="E88" s="259">
        <v>3.0</v>
      </c>
      <c r="F88" s="282" t="s">
        <v>72</v>
      </c>
      <c r="G88" s="260">
        <v>1.0</v>
      </c>
      <c r="H88" s="158"/>
      <c r="I88" s="157" t="str">
        <f>IF(N39=3,L39,"2º do grupo C")</f>
        <v>Polônia</v>
      </c>
      <c r="J88" s="159" t="s">
        <v>196</v>
      </c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Espanha</v>
      </c>
      <c r="D89" s="158"/>
      <c r="E89" s="259">
        <v>3.0</v>
      </c>
      <c r="F89" s="282" t="s">
        <v>72</v>
      </c>
      <c r="G89" s="260">
        <v>1.0</v>
      </c>
      <c r="H89" s="158"/>
      <c r="I89" s="157" t="str">
        <f>IF(N63=3,L63,"2º do grupo F")</f>
        <v>Croácia</v>
      </c>
      <c r="J89" s="159" t="s">
        <v>197</v>
      </c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3.0</v>
      </c>
      <c r="F90" s="282" t="s">
        <v>72</v>
      </c>
      <c r="G90" s="260">
        <v>0.0</v>
      </c>
      <c r="H90" s="158"/>
      <c r="I90" s="157" t="str">
        <f>IF(N79=3,L79,"2º do grupo H")</f>
        <v>Uruguai</v>
      </c>
      <c r="J90" s="159" t="s">
        <v>198</v>
      </c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62">
        <v>7.0</v>
      </c>
      <c r="E91" s="259">
        <v>2.0</v>
      </c>
      <c r="F91" s="282" t="s">
        <v>72</v>
      </c>
      <c r="G91" s="260">
        <v>2.0</v>
      </c>
      <c r="H91" s="162">
        <v>6.0</v>
      </c>
      <c r="I91" s="157" t="str">
        <f>IF(N55=3,L55,"2º do grupo E")</f>
        <v>Alemanha</v>
      </c>
      <c r="J91" s="159" t="s">
        <v>199</v>
      </c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3.0</v>
      </c>
      <c r="F92" s="282" t="s">
        <v>72</v>
      </c>
      <c r="G92" s="260">
        <v>1.0</v>
      </c>
      <c r="H92" s="158"/>
      <c r="I92" s="157" t="str">
        <f>IF(N71=3,L71,"2º do grupo G")</f>
        <v>Sérvia</v>
      </c>
      <c r="J92" s="159" t="s">
        <v>200</v>
      </c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285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286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62">
        <v>4.0</v>
      </c>
      <c r="E95" s="259">
        <v>2.0</v>
      </c>
      <c r="F95" s="282" t="s">
        <v>72</v>
      </c>
      <c r="G95" s="260">
        <v>2.0</v>
      </c>
      <c r="H95" s="162">
        <v>5.0</v>
      </c>
      <c r="I95" s="157" t="str">
        <f>IF(OR(G86="",E86="",AND(G86=E86,OR(H86="",D86=""))),"Vencedor do 50",IF(G86=E86,IF(H86&gt;D86,I86,C86),IF(G86&gt;E86,I86,C86)))</f>
        <v>Argentina</v>
      </c>
      <c r="J95" s="159" t="s">
        <v>196</v>
      </c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Inglaterra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Espanha</v>
      </c>
      <c r="D96" s="158"/>
      <c r="E96" s="259">
        <v>2.0</v>
      </c>
      <c r="F96" s="282" t="s">
        <v>72</v>
      </c>
      <c r="G96" s="260">
        <v>1.0</v>
      </c>
      <c r="H96" s="158"/>
      <c r="I96" s="157" t="str">
        <f>IF(OR(G90="",E90="",AND(G90=E90,OR(H90="",D90=""))),"Vencedor do 52",IF(G90=E90,IF(H90&gt;D90,I90,C90),IF(G90&gt;E90,I90,C90)))</f>
        <v>Brasil</v>
      </c>
      <c r="J96" s="159" t="s">
        <v>194</v>
      </c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62">
        <v>5.0</v>
      </c>
      <c r="E97" s="259">
        <v>1.0</v>
      </c>
      <c r="F97" s="282" t="s">
        <v>72</v>
      </c>
      <c r="G97" s="260">
        <v>1.0</v>
      </c>
      <c r="H97" s="162">
        <v>4.0</v>
      </c>
      <c r="I97" s="157" t="str">
        <f>IF(OR(G88="",E88="",AND(G88=E88,OR(H88="",D88=""))),"Vencedor do 54",IF(G88=E88,IF(H88&gt;D88,I88,C88),IF(G88&gt;E88,I88,C88)))</f>
        <v>França</v>
      </c>
      <c r="J97" s="159" t="s">
        <v>193</v>
      </c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162">
        <v>4.0</v>
      </c>
      <c r="E98" s="259">
        <v>2.0</v>
      </c>
      <c r="F98" s="282" t="s">
        <v>72</v>
      </c>
      <c r="G98" s="260">
        <v>2.0</v>
      </c>
      <c r="H98" s="162">
        <v>3.0</v>
      </c>
      <c r="I98" s="157" t="str">
        <f>IF(OR(G92="",E92="",AND(G92=E92,OR(H92="",D92=""))),"Vencedor do 56",IF(G92=E92,IF(H92&gt;D92,I92,C92),IF(G92&gt;E92,I92,C92)))</f>
        <v>Portugal</v>
      </c>
      <c r="J98" s="159" t="s">
        <v>197</v>
      </c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283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287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62">
        <v>3.0</v>
      </c>
      <c r="E101" s="259">
        <v>2.0</v>
      </c>
      <c r="F101" s="282" t="s">
        <v>72</v>
      </c>
      <c r="G101" s="260">
        <v>2.0</v>
      </c>
      <c r="H101" s="162">
        <v>4.0</v>
      </c>
      <c r="I101" s="157" t="str">
        <f>IF(OR(G96="",E96="",AND(G96=E96,OR(H96="",D96=""))),"Vencedor do 58",IF(G96=E96,IF(H96&gt;D96,I96,C96),IF(G96&gt;E96,I96,C96)))</f>
        <v>Espanha</v>
      </c>
      <c r="J101" s="159" t="s">
        <v>201</v>
      </c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Inglaterra</v>
      </c>
      <c r="D102" s="158"/>
      <c r="E102" s="259">
        <v>2.0</v>
      </c>
      <c r="F102" s="282" t="s">
        <v>72</v>
      </c>
      <c r="G102" s="260">
        <v>1.0</v>
      </c>
      <c r="H102" s="158"/>
      <c r="I102" s="157" t="str">
        <f>IF(OR(G98="",E98="",AND(G98=E98,OR(H98="",D98=""))),"Vencedor do 60",IF(G98=E98,IF(H98&gt;D98,I98,C98),IF(G98&gt;E98,I98,C98)))</f>
        <v>Bélgica</v>
      </c>
      <c r="J102" s="159" t="s">
        <v>195</v>
      </c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283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288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Argentina</v>
      </c>
      <c r="D105" s="158"/>
      <c r="E105" s="259">
        <v>0.0</v>
      </c>
      <c r="F105" s="282" t="s">
        <v>72</v>
      </c>
      <c r="G105" s="260">
        <v>2.0</v>
      </c>
      <c r="H105" s="158"/>
      <c r="I105" s="183" t="str">
        <f>IF(OR(G102="",E102="",AND(G102=E102,OR(H102="",D102=""))),"    ",IF(G102=E102,IF(H102&lt;D102,I102,C102),IF(G102&lt;E102,I102,C102)))</f>
        <v>Bélgica</v>
      </c>
      <c r="J105" s="159" t="s">
        <v>201</v>
      </c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0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289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Espanha</v>
      </c>
      <c r="D108" s="249"/>
      <c r="E108" s="261">
        <v>0.0</v>
      </c>
      <c r="F108" s="290" t="s">
        <v>72</v>
      </c>
      <c r="G108" s="262">
        <v>1.0</v>
      </c>
      <c r="H108" s="249"/>
      <c r="I108" s="202" t="str">
        <f>IF(OR(G102="",E102="",AND(G102=E102,OR(H102="",D102=""))),"  ",IF(G102=E102,IF(H102&gt;D102,I102,C102),IF(G102&gt;E102,I102,C102)))</f>
        <v>Inglaterra</v>
      </c>
      <c r="J108" s="253" t="s">
        <v>195</v>
      </c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0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0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0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0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0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0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0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0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0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0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0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18" width="3.13"/>
    <col customWidth="1" min="19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1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1</v>
      </c>
      <c r="LR3" s="71">
        <f>IF(OR(E20="",G20=""),0,IF(E20&lt;G20,1,0))+IF(OR(E22="",G22=""),0,IF(E22&lt;G22,1,0))+IF(OR(G25="",E25=""),0,IF(G25&lt;E25,1,0))</f>
        <v>2</v>
      </c>
      <c r="LS3" s="71">
        <f>E20+E22+G25</f>
        <v>0</v>
      </c>
      <c r="LT3" s="71">
        <f>G20+G22+E25</f>
        <v>4</v>
      </c>
      <c r="LU3" s="71">
        <f t="shared" ref="LU3:LU6" si="1">LS3-LT3</f>
        <v>-4</v>
      </c>
      <c r="LV3" s="70">
        <f t="shared" ref="LV3:LV6" si="2">LN3</f>
        <v>1</v>
      </c>
      <c r="LW3" s="70">
        <f t="shared" ref="LW3:LW6" si="3">LU3/10</f>
        <v>-0.4</v>
      </c>
      <c r="LX3" s="70">
        <f t="shared" ref="LX3:LX6" si="4">LS3/100</f>
        <v>0</v>
      </c>
      <c r="LY3" s="70">
        <f t="shared" ref="LY3:LY6" si="5">SUM(LV3:LX3)</f>
        <v>0.6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0.6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4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1</v>
      </c>
      <c r="LQ4" s="71">
        <f>IF(OR(G20="",E20=""),0,IF(G20=E20,1,0))+IF(OR(G23="",E23=""),0,IF(G23=E23,1,0))+IF(OR(E25="",G25=""),0,IF(E25=G25,1,0))</f>
        <v>1</v>
      </c>
      <c r="LR4" s="71">
        <f>IF(OR(G20="",E20=""),0,IF(G20&lt;E20,1,0))+IF(OR(G23="",E23=""),0,IF(G23&lt;E23,1,0))+IF(OR(E25="",G25=""),0,IF(E25&lt;G25,1,0))</f>
        <v>1</v>
      </c>
      <c r="LS4" s="71">
        <f>G20+G23+E25</f>
        <v>3</v>
      </c>
      <c r="LT4" s="71">
        <f>E20+E23+G25</f>
        <v>2</v>
      </c>
      <c r="LU4" s="71">
        <f t="shared" si="1"/>
        <v>1</v>
      </c>
      <c r="LV4" s="70">
        <f t="shared" si="2"/>
        <v>4</v>
      </c>
      <c r="LW4" s="70">
        <f t="shared" si="3"/>
        <v>0.1</v>
      </c>
      <c r="LX4" s="70">
        <f t="shared" si="4"/>
        <v>0.03</v>
      </c>
      <c r="LY4" s="70">
        <f t="shared" si="5"/>
        <v>4.13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4.13</v>
      </c>
      <c r="MD4" s="70">
        <f t="shared" si="7"/>
        <v>2</v>
      </c>
      <c r="ME4" s="70">
        <f>IF(OR(AND(MD3=MD4,MD3=MD5,MD3=MD6),AND(MD4=MD3,MD4=MD5),AND(MD4=MD3,MD4=MD6),MD4=MD3),MD4+1,MD4)</f>
        <v>2</v>
      </c>
      <c r="MF4" s="70">
        <v>2.0</v>
      </c>
      <c r="MG4" s="70">
        <f t="shared" si="8"/>
        <v>2</v>
      </c>
      <c r="MH4" s="70" t="str">
        <f t="shared" si="9"/>
        <v>Equador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3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1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2</v>
      </c>
      <c r="LS5" s="71">
        <f>E21+G22+G24</f>
        <v>1</v>
      </c>
      <c r="LT5" s="71">
        <f>G21+E22+E24</f>
        <v>3</v>
      </c>
      <c r="LU5" s="71">
        <f t="shared" si="1"/>
        <v>-2</v>
      </c>
      <c r="LV5" s="70">
        <f t="shared" si="2"/>
        <v>3</v>
      </c>
      <c r="LW5" s="70">
        <f t="shared" si="3"/>
        <v>-0.2</v>
      </c>
      <c r="LX5" s="70">
        <f t="shared" si="4"/>
        <v>0.01</v>
      </c>
      <c r="LY5" s="70">
        <f t="shared" si="5"/>
        <v>2.81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2.81</v>
      </c>
      <c r="MD5" s="70">
        <f t="shared" si="7"/>
        <v>3</v>
      </c>
      <c r="ME5" s="70">
        <f>IF(OR(AND(MD3=MD4,MD3=MD5,MD3=MD6),AND(MD5=MD3,MD5=MD4)),MD5+2,IF(OR(AND(MD5=MD4,MD5=MD6),MD5=MD3,MD5=MD4),MD5+1,MD5))</f>
        <v>3</v>
      </c>
      <c r="MF5" s="70">
        <v>3.0</v>
      </c>
      <c r="MG5" s="70">
        <f t="shared" si="8"/>
        <v>3</v>
      </c>
      <c r="MH5" s="70" t="str">
        <f t="shared" si="9"/>
        <v>Senegal</v>
      </c>
    </row>
    <row r="6" ht="22.5" customHeight="1">
      <c r="A6" s="222" t="s">
        <v>166</v>
      </c>
      <c r="B6" s="223"/>
      <c r="C6" s="223"/>
      <c r="D6" s="263" t="s">
        <v>151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7</v>
      </c>
      <c r="LT6" s="71">
        <f>E21+G23+G25</f>
        <v>0</v>
      </c>
      <c r="LU6" s="71">
        <f t="shared" si="1"/>
        <v>7</v>
      </c>
      <c r="LV6" s="70">
        <f t="shared" si="2"/>
        <v>9</v>
      </c>
      <c r="LW6" s="70">
        <f t="shared" si="3"/>
        <v>0.7</v>
      </c>
      <c r="LX6" s="70">
        <f t="shared" si="4"/>
        <v>0.07</v>
      </c>
      <c r="LY6" s="70">
        <f t="shared" si="5"/>
        <v>9.77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9.77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64" t="s">
        <v>202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215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180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71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Oficial'!D113,20,IF(Rodrigo!D11='Resultado Oficial'!D114,20,0)))))</f>
        <v>40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7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2</v>
      </c>
      <c r="LQ11" s="71">
        <f>IF(OR(E28="",G28=""),0,IF(E28=G28,1,0))+IF(OR(E31="",G31=""),0,IF(E31=G31,1,0))+IF(OR(G32="",E32=""),0,IF(G32=E32,1,0))</f>
        <v>1</v>
      </c>
      <c r="LR11" s="71">
        <f>IF(OR(E28="",G28=""),0,IF(E28&lt;G28,1,0))+IF(OR(E31="",G31=""),0,IF(E31&lt;G31,1,0))+IF(OR(G32="",E32=""),0,IF(G32&lt;E32,1,0))</f>
        <v>0</v>
      </c>
      <c r="LS11" s="71">
        <f>E28+E31+G32</f>
        <v>5</v>
      </c>
      <c r="LT11" s="71">
        <f>G28+G31+E32</f>
        <v>2</v>
      </c>
      <c r="LU11" s="71">
        <f t="shared" ref="LU11:LU14" si="10">LS11-LT11</f>
        <v>3</v>
      </c>
      <c r="LV11" s="70">
        <f t="shared" ref="LV11:LV14" si="11">LN11</f>
        <v>7</v>
      </c>
      <c r="LW11" s="70">
        <f t="shared" ref="LW11:LW14" si="12">LU11/10</f>
        <v>0.3</v>
      </c>
      <c r="LX11" s="70">
        <f t="shared" ref="LX11:LX14" si="13">LS11/100</f>
        <v>0.05</v>
      </c>
      <c r="LY11" s="70">
        <f t="shared" ref="LY11:LY14" si="14">SUM(LV11:LX11)</f>
        <v>7.35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7.35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85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Oficial'!D113,20,IF(Rodrigo!D12='Resultado Oficial'!D114,20,0)))))</f>
        <v>35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1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1</v>
      </c>
      <c r="LR12" s="71">
        <f>IF(OR(G28="",E28=""),0,IF(G28&lt;E28,1,0))+IF(OR(G30="",E30=""),0,IF(G30&lt;E30,1,0))+IF(OR(E33="",G33=""),0,IF(E33&lt;G33,1,0))</f>
        <v>2</v>
      </c>
      <c r="LS12" s="71">
        <f>G28+G30+E33</f>
        <v>0</v>
      </c>
      <c r="LT12" s="71">
        <f>E28+E30+G33</f>
        <v>3</v>
      </c>
      <c r="LU12" s="71">
        <f t="shared" si="10"/>
        <v>-3</v>
      </c>
      <c r="LV12" s="70">
        <f t="shared" si="11"/>
        <v>1</v>
      </c>
      <c r="LW12" s="70">
        <f t="shared" si="12"/>
        <v>-0.3</v>
      </c>
      <c r="LX12" s="70">
        <f t="shared" si="13"/>
        <v>0</v>
      </c>
      <c r="LY12" s="70">
        <f t="shared" si="14"/>
        <v>0.7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0.7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4</v>
      </c>
      <c r="MH12" s="70" t="str">
        <f t="shared" si="17"/>
        <v>País de Gales</v>
      </c>
    </row>
    <row r="13" ht="22.5" customHeight="1">
      <c r="A13" s="222" t="s">
        <v>139</v>
      </c>
      <c r="B13" s="223"/>
      <c r="C13" s="223"/>
      <c r="D13" s="208" t="s">
        <v>111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Oficial'!D112,20,IF(Rodrigo!D13='Resultado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2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0</v>
      </c>
      <c r="LQ13" s="71">
        <f>IF(OR(E29="",G29=""),0,IF(E29=G29,1,0))+IF(OR(G31="",E31=""),0,IF(G31=E31,1,0))+IF(OR(G33="",E33=""),0,IF(G33=E33,1,0))</f>
        <v>2</v>
      </c>
      <c r="LR13" s="71">
        <f>IF(OR(E29="",G29=""),0,IF(E29&lt;G29,1,0))+IF(OR(G31="",E31=""),0,IF(G31&lt;E31,1,0))+IF(OR(G33="",E33=""),0,IF(G33&lt;E33,1,0))</f>
        <v>1</v>
      </c>
      <c r="LS13" s="71">
        <f>E29+G31+G33</f>
        <v>2</v>
      </c>
      <c r="LT13" s="71">
        <f>G29+E31+E33</f>
        <v>3</v>
      </c>
      <c r="LU13" s="71">
        <f t="shared" si="10"/>
        <v>-1</v>
      </c>
      <c r="LV13" s="70">
        <f t="shared" si="11"/>
        <v>2</v>
      </c>
      <c r="LW13" s="70">
        <f t="shared" si="12"/>
        <v>-0.1</v>
      </c>
      <c r="LX13" s="70">
        <f t="shared" si="13"/>
        <v>0.02</v>
      </c>
      <c r="LY13" s="70">
        <f t="shared" si="14"/>
        <v>1.92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1.92</v>
      </c>
      <c r="MD13" s="70">
        <f>RANK($MC$13,$MC$11:$MC$14,0)</f>
        <v>3</v>
      </c>
      <c r="ME13" s="70">
        <f>IF(OR(AND(MD11=MD12,MD11=MD13,MD11=MD14),AND(MD13=MD11,MD13=MD12)),MD13+2,IF(OR(AND(MD13=MD12,MD13=MD14),MD13=MD11,MD13=MD12),MD13+1,MD13))</f>
        <v>3</v>
      </c>
      <c r="MF13" s="70">
        <v>3.0</v>
      </c>
      <c r="MG13" s="70">
        <f t="shared" si="16"/>
        <v>3</v>
      </c>
      <c r="MH13" s="70" t="str">
        <f t="shared" si="17"/>
        <v>Estados Unidos</v>
      </c>
    </row>
    <row r="14" ht="22.5" customHeight="1">
      <c r="A14" s="222" t="s">
        <v>140</v>
      </c>
      <c r="B14" s="223"/>
      <c r="C14" s="223"/>
      <c r="D14" s="208" t="s">
        <v>98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Oficial'!D112,20,IF(Rodrigo!D14='Resultado Oficial'!D113,20,0)))))</f>
        <v>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5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1</v>
      </c>
      <c r="LQ14" s="71">
        <f>IF(OR(G29="",E29=""),0,IF(G29=E29,1,0))+IF(OR(E30="",G30=""),0,IF(E30=G30,1,0))+IF(OR(E32="",G32=""),0,IF(E32=G32,1,0))</f>
        <v>2</v>
      </c>
      <c r="LR14" s="71">
        <f>IF(OR(G29="",E29=""),0,IF(G29&lt;E29,1,0))+IF(OR(E30="",G30=""),0,IF(E30&lt;G30,1,0))+IF(OR(E32="",G32=""),0,IF(E32&lt;G32,1,0))</f>
        <v>0</v>
      </c>
      <c r="LS14" s="71">
        <f>G29+E30+E32</f>
        <v>3</v>
      </c>
      <c r="LT14" s="71">
        <f>E29+G30+G32</f>
        <v>2</v>
      </c>
      <c r="LU14" s="71">
        <f t="shared" si="10"/>
        <v>1</v>
      </c>
      <c r="LV14" s="70">
        <f t="shared" si="11"/>
        <v>5</v>
      </c>
      <c r="LW14" s="70">
        <f t="shared" si="12"/>
        <v>0.1</v>
      </c>
      <c r="LX14" s="70">
        <f t="shared" si="13"/>
        <v>0.03</v>
      </c>
      <c r="LY14" s="70">
        <f t="shared" si="14"/>
        <v>5.13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5.13</v>
      </c>
      <c r="MD14" s="70">
        <f>RANK($MC$14,$MC$11:$MC$14,0)</f>
        <v>2</v>
      </c>
      <c r="ME14" s="70">
        <f>IF(AND(MD11=MD12,MD11=MD13,MD11=MD14),MD14+3,IF(OR(AND(MD14=MD13,MD14=MD12),AND(MD14=MD12,MD14=MD11)),MD14+2,IF(OR(MD14=MD13,MD14=MD12,MD14=MD11),MD14+1,MD14)))</f>
        <v>2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98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6</v>
      </c>
      <c r="LT19" s="71">
        <f>G36+G39+E40</f>
        <v>2</v>
      </c>
      <c r="LU19" s="71">
        <f t="shared" ref="LU19:LU22" si="18">LS19-LT19</f>
        <v>4</v>
      </c>
      <c r="LV19" s="70">
        <f t="shared" ref="LV19:LV22" si="19">LN19</f>
        <v>7</v>
      </c>
      <c r="LW19" s="70">
        <f t="shared" ref="LW19:LW22" si="20">LU19/10</f>
        <v>0.4</v>
      </c>
      <c r="LX19" s="70">
        <f t="shared" ref="LX19:LX22" si="21">LS19/100</f>
        <v>0.06</v>
      </c>
      <c r="LY19" s="70">
        <f t="shared" ref="LY19:LY22" si="22">SUM(LV19:LX19)</f>
        <v>7.46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7.46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0.0</v>
      </c>
      <c r="F20" s="93" t="s">
        <v>72</v>
      </c>
      <c r="G20" s="94">
        <v>0.0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1</v>
      </c>
      <c r="LT20" s="71">
        <f>E36+E38+G41</f>
        <v>7</v>
      </c>
      <c r="LU20" s="71">
        <f t="shared" si="18"/>
        <v>-6</v>
      </c>
      <c r="LV20" s="70">
        <f t="shared" si="19"/>
        <v>0</v>
      </c>
      <c r="LW20" s="70">
        <f t="shared" si="20"/>
        <v>-0.6</v>
      </c>
      <c r="LX20" s="70">
        <f t="shared" si="21"/>
        <v>0.01</v>
      </c>
      <c r="LY20" s="70">
        <f t="shared" si="22"/>
        <v>-0.59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-0.59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0.0</v>
      </c>
      <c r="F21" s="106" t="s">
        <v>72</v>
      </c>
      <c r="G21" s="107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10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4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1</v>
      </c>
      <c r="LS21" s="71">
        <f>E37+G39+G41</f>
        <v>4</v>
      </c>
      <c r="LT21" s="71">
        <f>G37+E39+E41</f>
        <v>3</v>
      </c>
      <c r="LU21" s="71">
        <f t="shared" si="18"/>
        <v>1</v>
      </c>
      <c r="LV21" s="70">
        <f t="shared" si="19"/>
        <v>4</v>
      </c>
      <c r="LW21" s="70">
        <f t="shared" si="20"/>
        <v>0.1</v>
      </c>
      <c r="LX21" s="70">
        <f t="shared" si="21"/>
        <v>0.04</v>
      </c>
      <c r="LY21" s="70">
        <f t="shared" si="22"/>
        <v>4.14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4.14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1.0</v>
      </c>
      <c r="H22" s="117"/>
      <c r="I22" s="96" t="s">
        <v>61</v>
      </c>
      <c r="J22" s="97" t="s">
        <v>76</v>
      </c>
      <c r="K22" s="109"/>
      <c r="L22" s="118" t="str">
        <f>Rodrigo!MH3</f>
        <v>Holanda</v>
      </c>
      <c r="M22" s="119">
        <f>VLOOKUP(L22,Rodrigo!$LM$3:$LU$6,2,FALSE)</f>
        <v>9</v>
      </c>
      <c r="N22" s="120">
        <f>VLOOKUP(L22,Rodrigo!$LM$3:$LU$6,3,FALSE)</f>
        <v>3</v>
      </c>
      <c r="O22" s="120">
        <f>VLOOKUP(L22,Rodrigo!$LM$3:$LU$6,4,FALSE)</f>
        <v>3</v>
      </c>
      <c r="P22" s="120">
        <f>VLOOKUP(L22,Rodrigo!$LM$3:$LU$6,5,FALSE)</f>
        <v>0</v>
      </c>
      <c r="Q22" s="120">
        <f>VLOOKUP(L22,Rodrigo!$LM$3:$LU$6,6,FALSE)</f>
        <v>0</v>
      </c>
      <c r="R22" s="120">
        <f>VLOOKUP(L22,Rodrigo!$LM$3:$LU$6,7,FALSE)</f>
        <v>7</v>
      </c>
      <c r="S22" s="120">
        <f>VLOOKUP(L22,Rodrigo!$LM$3:$LU$6,8,FALSE)</f>
        <v>0</v>
      </c>
      <c r="T22" s="121">
        <f>VLOOKUP(L22,Rodrigo!$LM$3:$LU$6,9,FALSE)</f>
        <v>7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3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5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0</v>
      </c>
      <c r="LQ22" s="71">
        <f>IF(OR(G37="",E37=""),0,IF(G37=E37,1,0))+IF(OR(E38="",G38=""),0,IF(E38=G38,1,0))+IF(OR(E40="",G40=""),0,IF(E40=G40,1,0))</f>
        <v>2</v>
      </c>
      <c r="LR22" s="71">
        <f>IF(OR(G37="",E37=""),0,IF(G37&lt;E37,1,0))+IF(OR(E38="",G38=""),0,IF(E38&lt;G38,1,0))+IF(OR(E40="",G40=""),0,IF(E40&lt;G40,1,0))</f>
        <v>0</v>
      </c>
      <c r="LS22" s="71">
        <f>G37+E38+E40</f>
        <v>4</v>
      </c>
      <c r="LT22" s="71">
        <f>E37+G38+G40</f>
        <v>3</v>
      </c>
      <c r="LU22" s="71">
        <f t="shared" si="18"/>
        <v>1</v>
      </c>
      <c r="LV22" s="70">
        <f t="shared" si="19"/>
        <v>5</v>
      </c>
      <c r="LW22" s="70">
        <f t="shared" si="20"/>
        <v>0.1</v>
      </c>
      <c r="LX22" s="70">
        <f t="shared" si="21"/>
        <v>0.04</v>
      </c>
      <c r="LY22" s="70">
        <f t="shared" si="22"/>
        <v>5.14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5.14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106" t="s">
        <v>72</v>
      </c>
      <c r="G23" s="107">
        <v>0.0</v>
      </c>
      <c r="H23" s="108"/>
      <c r="I23" s="96" t="s">
        <v>60</v>
      </c>
      <c r="J23" s="97" t="s">
        <v>80</v>
      </c>
      <c r="K23" s="109"/>
      <c r="L23" s="118" t="str">
        <f>Rodrigo!MH4</f>
        <v>Equador</v>
      </c>
      <c r="M23" s="119">
        <f>VLOOKUP(L23,Rodrigo!$LM$3:$LU$6,2,FALSE)</f>
        <v>4</v>
      </c>
      <c r="N23" s="120">
        <f>VLOOKUP(L23,Rodrigo!$LM$3:$LU$6,3,FALSE)</f>
        <v>3</v>
      </c>
      <c r="O23" s="120">
        <f>VLOOKUP(L23,Rodrigo!$LM$3:$LU$6,4,FALSE)</f>
        <v>1</v>
      </c>
      <c r="P23" s="120">
        <f>VLOOKUP(L23,Rodrigo!$LM$3:$LU$6,5,FALSE)</f>
        <v>1</v>
      </c>
      <c r="Q23" s="120">
        <f>VLOOKUP(L23,Rodrigo!$LM$3:$LU$6,6,FALSE)</f>
        <v>1</v>
      </c>
      <c r="R23" s="120">
        <f>VLOOKUP(L23,Rodrigo!$LM$3:$LU$6,7,FALSE)</f>
        <v>3</v>
      </c>
      <c r="S23" s="120">
        <f>VLOOKUP(L23,Rodrigo!$LM$3:$LU$6,8,FALSE)</f>
        <v>2</v>
      </c>
      <c r="T23" s="121">
        <f>VLOOKUP(L23,Rodrigo!$LM$3:$LU$6,9,FALSE)</f>
        <v>1</v>
      </c>
      <c r="U23" s="52"/>
      <c r="V23" s="59" t="s">
        <v>81</v>
      </c>
      <c r="W23" s="122" t="str">
        <f t="shared" si="26"/>
        <v>Equador</v>
      </c>
      <c r="X23" s="236">
        <f>IF(AND(W23&lt;&gt;"",'Resultado Oficial'!W22&lt;&gt;"",'Resultado Oficial'!W23&lt;&gt;""),IF(W23='Resultado Oficial'!W23,5,IF(W23='Resultado Oficial'!W22,2,0)),"")</f>
        <v>0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1.0</v>
      </c>
      <c r="F24" s="106" t="s">
        <v>72</v>
      </c>
      <c r="G24" s="107">
        <v>0.0</v>
      </c>
      <c r="H24" s="108"/>
      <c r="I24" s="96" t="s">
        <v>61</v>
      </c>
      <c r="J24" s="97" t="s">
        <v>80</v>
      </c>
      <c r="K24" s="109"/>
      <c r="L24" s="118" t="str">
        <f>Rodrigo!MH5</f>
        <v>Senegal</v>
      </c>
      <c r="M24" s="119">
        <f>VLOOKUP(L24,Rodrigo!$LM$3:$LU$6,2,FALSE)</f>
        <v>3</v>
      </c>
      <c r="N24" s="120">
        <f>VLOOKUP(L24,Rodrigo!$LM$3:$LU$6,3,FALSE)</f>
        <v>3</v>
      </c>
      <c r="O24" s="120">
        <f>VLOOKUP(L24,Rodrigo!$LM$3:$LU$6,4,FALSE)</f>
        <v>1</v>
      </c>
      <c r="P24" s="120">
        <f>VLOOKUP(L24,Rodrigo!$LM$3:$LU$6,5,FALSE)</f>
        <v>0</v>
      </c>
      <c r="Q24" s="120">
        <f>VLOOKUP(L24,Rodrigo!$LM$3:$LU$6,6,FALSE)</f>
        <v>2</v>
      </c>
      <c r="R24" s="120">
        <f>VLOOKUP(L24,Rodrigo!$LM$3:$LU$6,7,FALSE)</f>
        <v>1</v>
      </c>
      <c r="S24" s="120">
        <f>VLOOKUP(L24,Rodrigo!$LM$3:$LU$6,8,FALSE)</f>
        <v>3</v>
      </c>
      <c r="T24" s="121">
        <f>VLOOKUP(L24,Rodrigo!$LM$3:$LU$6,9,FALSE)</f>
        <v>-2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0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3.0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Rodrigo!MH6</f>
        <v>Catar</v>
      </c>
      <c r="M25" s="125">
        <f>VLOOKUP(L25,Rodrigo!$LM$3:$LU$6,2,FALSE)</f>
        <v>1</v>
      </c>
      <c r="N25" s="126">
        <f>VLOOKUP(L25,Rodrigo!$LM$3:$LU$6,3,FALSE)</f>
        <v>3</v>
      </c>
      <c r="O25" s="126">
        <f>VLOOKUP(L25,Rodrigo!$LM$3:$LU$6,4,FALSE)</f>
        <v>0</v>
      </c>
      <c r="P25" s="126">
        <f>VLOOKUP(L25,Rodrigo!$LM$3:$LU$6,5,FALSE)</f>
        <v>1</v>
      </c>
      <c r="Q25" s="126">
        <f>VLOOKUP(L25,Rodrigo!$LM$3:$LU$6,6,FALSE)</f>
        <v>2</v>
      </c>
      <c r="R25" s="126">
        <f>VLOOKUP(L25,Rodrigo!$LM$3:$LU$6,7,FALSE)</f>
        <v>0</v>
      </c>
      <c r="S25" s="126">
        <f>VLOOKUP(L25,Rodrigo!$LM$3:$LU$6,8,FALSE)</f>
        <v>4</v>
      </c>
      <c r="T25" s="127">
        <f>VLOOKUP(L25,Rodrigo!$LM$3:$LU$6,9,FALSE)</f>
        <v>-4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7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2</v>
      </c>
      <c r="LQ27" s="71">
        <f>IF(OR(E45="",G45=""),0,IF(E45=G45,1,0))+IF(OR(E47="",G47=""),0,IF(E47=G47,1,0))+IF(OR(G49="",E49=""),0,IF(G49=E49,1,0))</f>
        <v>1</v>
      </c>
      <c r="LR27" s="71">
        <f>IF(OR(E45="",G45=""),0,IF(E45&lt;G45,1,0))+IF(OR(E47="",G47=""),0,IF(E47&lt;G47,1,0))+IF(OR(G49="",E49=""),0,IF(G49&lt;E49,1,0))</f>
        <v>0</v>
      </c>
      <c r="LS27" s="71">
        <f>E45+E47+G49</f>
        <v>6</v>
      </c>
      <c r="LT27" s="71">
        <f>G45+G47+E49</f>
        <v>2</v>
      </c>
      <c r="LU27" s="71">
        <f t="shared" ref="LU27:LU30" si="27">LS27-LT27</f>
        <v>4</v>
      </c>
      <c r="LV27" s="70">
        <f t="shared" ref="LV27:LV30" si="28">LN27</f>
        <v>7</v>
      </c>
      <c r="LW27" s="70">
        <f t="shared" ref="LW27:LW30" si="29">LU27/10</f>
        <v>0.4</v>
      </c>
      <c r="LX27" s="70">
        <f t="shared" ref="LX27:LX30" si="30">LS27/100</f>
        <v>0.06</v>
      </c>
      <c r="LY27" s="70">
        <f t="shared" ref="LY27:LY30" si="31">SUM(LV27:LX27)</f>
        <v>7.46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7.46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2.0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1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1</v>
      </c>
      <c r="LR28" s="71">
        <f>IF(OR(G45="",E45=""),0,IF(G45&lt;E45,1,0))+IF(OR(G46="",E46=""),0,IF(G46&lt;E46,1,0))+IF(OR(E48="",G48=""),0,IF(E48&lt;G48,1,0))</f>
        <v>2</v>
      </c>
      <c r="LS28" s="71">
        <f>G45+G46+E48</f>
        <v>1</v>
      </c>
      <c r="LT28" s="71">
        <f>E45+E46+G48</f>
        <v>4</v>
      </c>
      <c r="LU28" s="71">
        <f t="shared" si="27"/>
        <v>-3</v>
      </c>
      <c r="LV28" s="70">
        <f t="shared" si="28"/>
        <v>1</v>
      </c>
      <c r="LW28" s="70">
        <f t="shared" si="29"/>
        <v>-0.3</v>
      </c>
      <c r="LX28" s="70">
        <f t="shared" si="30"/>
        <v>0.01</v>
      </c>
      <c r="LY28" s="70">
        <f t="shared" si="31"/>
        <v>0.71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0.71</v>
      </c>
      <c r="MD28" s="70">
        <f>RANK($MC$28,$MC$27:$MC$30,0)</f>
        <v>4</v>
      </c>
      <c r="ME28" s="70">
        <f>IF(OR(AND(MD27=MD28,MD27=MD29,MD27=MD30),AND(MD28=MD27,MD28=MD29),AND(MD28=MD27,MD28=MD30),MD28=MD27),MD28+1,MD28)</f>
        <v>4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1.0</v>
      </c>
      <c r="F29" s="106" t="s">
        <v>72</v>
      </c>
      <c r="G29" s="107">
        <v>1.0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10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7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1</v>
      </c>
      <c r="LR29" s="71">
        <f>IF(OR(E44="",G44=""),0,IF(E44&lt;G44,1,0))+IF(OR(G47="",E47=""),0,IF(G47&lt;E47,1,0))+IF(OR(G48="",E48=""),0,IF(G48&lt;E48,1,0))</f>
        <v>0</v>
      </c>
      <c r="LS29" s="71">
        <f>E44+G47+G48</f>
        <v>4</v>
      </c>
      <c r="LT29" s="71">
        <f>G44+E47+E48</f>
        <v>1</v>
      </c>
      <c r="LU29" s="71">
        <f t="shared" si="27"/>
        <v>3</v>
      </c>
      <c r="LV29" s="70">
        <f t="shared" si="28"/>
        <v>7</v>
      </c>
      <c r="LW29" s="70">
        <f t="shared" si="29"/>
        <v>0.3</v>
      </c>
      <c r="LX29" s="70">
        <f t="shared" si="30"/>
        <v>0.04</v>
      </c>
      <c r="LY29" s="70">
        <f t="shared" si="31"/>
        <v>7.34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7.34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4</v>
      </c>
      <c r="MH29" s="70" t="str">
        <f t="shared" si="34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1.0</v>
      </c>
      <c r="F30" s="115" t="s">
        <v>72</v>
      </c>
      <c r="G30" s="116">
        <v>0.0</v>
      </c>
      <c r="H30" s="117"/>
      <c r="I30" s="96" t="s">
        <v>65</v>
      </c>
      <c r="J30" s="97" t="s">
        <v>88</v>
      </c>
      <c r="K30" s="109"/>
      <c r="L30" s="118" t="str">
        <f>Rodrigo!MH11</f>
        <v>Inglaterra</v>
      </c>
      <c r="M30" s="119">
        <f>VLOOKUP(L30,Rodrigo!$LM$11:$LU$14,2,FALSE)</f>
        <v>7</v>
      </c>
      <c r="N30" s="120">
        <f>VLOOKUP(L30,Rodrigo!$LM$11:$LU$14,3,FALSE)</f>
        <v>3</v>
      </c>
      <c r="O30" s="120">
        <f>VLOOKUP(L30,Rodrigo!$LM$11:$LU$14,4,FALSE)</f>
        <v>2</v>
      </c>
      <c r="P30" s="120">
        <f>VLOOKUP(L30,Rodrigo!$LM$11:$LU$14,5,FALSE)</f>
        <v>1</v>
      </c>
      <c r="Q30" s="120">
        <f>VLOOKUP(L30,Rodrigo!$LM$11:$LU$14,6,FALSE)</f>
        <v>0</v>
      </c>
      <c r="R30" s="120">
        <f>VLOOKUP(L30,Rodrigo!$LM$11:$LU$14,7,FALSE)</f>
        <v>5</v>
      </c>
      <c r="S30" s="120">
        <f>VLOOKUP(L30,Rodrigo!$LM$11:$LU$14,8,FALSE)</f>
        <v>2</v>
      </c>
      <c r="T30" s="121">
        <f>VLOOKUP(L30,Rodrigo!$LM$11:$LU$14,9,FALSE)</f>
        <v>3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2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2</v>
      </c>
      <c r="LS30" s="71">
        <f>G44+E46+E49</f>
        <v>2</v>
      </c>
      <c r="LT30" s="71">
        <f>E44+G46+G49</f>
        <v>6</v>
      </c>
      <c r="LU30" s="71">
        <f t="shared" si="27"/>
        <v>-4</v>
      </c>
      <c r="LV30" s="70">
        <f t="shared" si="28"/>
        <v>2</v>
      </c>
      <c r="LW30" s="70">
        <f t="shared" si="29"/>
        <v>-0.4</v>
      </c>
      <c r="LX30" s="70">
        <f t="shared" si="30"/>
        <v>0.02</v>
      </c>
      <c r="LY30" s="70">
        <f t="shared" si="31"/>
        <v>1.62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1.62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3"/>
        <v>2</v>
      </c>
      <c r="MH30" s="70" t="str">
        <f t="shared" si="34"/>
        <v>Austrália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106" t="s">
        <v>72</v>
      </c>
      <c r="G31" s="107">
        <v>1.0</v>
      </c>
      <c r="H31" s="108"/>
      <c r="I31" s="96" t="s">
        <v>66</v>
      </c>
      <c r="J31" s="97" t="s">
        <v>73</v>
      </c>
      <c r="K31" s="109"/>
      <c r="L31" s="118" t="str">
        <f>Rodrigo!MH12</f>
        <v>País de Gales</v>
      </c>
      <c r="M31" s="119">
        <f>VLOOKUP(L31,Rodrigo!$LM$11:$LU$14,2,FALSE)</f>
        <v>5</v>
      </c>
      <c r="N31" s="120">
        <f>VLOOKUP(L31,Rodrigo!$LM$11:$LU$14,3,FALSE)</f>
        <v>3</v>
      </c>
      <c r="O31" s="120">
        <f>VLOOKUP(L31,Rodrigo!$LM$11:$LU$14,4,FALSE)</f>
        <v>1</v>
      </c>
      <c r="P31" s="120">
        <f>VLOOKUP(L31,Rodrigo!$LM$11:$LU$14,5,FALSE)</f>
        <v>2</v>
      </c>
      <c r="Q31" s="120">
        <f>VLOOKUP(L31,Rodrigo!$LM$11:$LU$14,6,FALSE)</f>
        <v>0</v>
      </c>
      <c r="R31" s="120">
        <f>VLOOKUP(L31,Rodrigo!$LM$11:$LU$14,7,FALSE)</f>
        <v>3</v>
      </c>
      <c r="S31" s="120">
        <f>VLOOKUP(L31,Rodrigo!$LM$11:$LU$14,8,FALSE)</f>
        <v>2</v>
      </c>
      <c r="T31" s="121">
        <f>VLOOKUP(L31,Rodrigo!$LM$11:$LU$14,9,FALSE)</f>
        <v>1</v>
      </c>
      <c r="U31" s="53"/>
      <c r="V31" s="59" t="s">
        <v>81</v>
      </c>
      <c r="W31" s="122" t="str">
        <f t="shared" si="35"/>
        <v>País de Gales</v>
      </c>
      <c r="X31" s="236">
        <f>IF(AND(W31&lt;&gt;"",'Resultado Oficial'!W30&lt;&gt;"",'Resultado Oficial'!W31&lt;&gt;""),IF(W31='Resultado Oficial'!W31,5,IF(W31='Resultado Oficial'!W30,2,0)),"")</f>
        <v>0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1.0</v>
      </c>
      <c r="F32" s="106" t="s">
        <v>72</v>
      </c>
      <c r="G32" s="107">
        <v>1.0</v>
      </c>
      <c r="H32" s="108"/>
      <c r="I32" s="96" t="s">
        <v>64</v>
      </c>
      <c r="J32" s="97" t="s">
        <v>88</v>
      </c>
      <c r="K32" s="109"/>
      <c r="L32" s="118" t="str">
        <f>Rodrigo!MH13</f>
        <v>Estados Unidos</v>
      </c>
      <c r="M32" s="119">
        <f>VLOOKUP(L32,Rodrigo!$LM$11:$LU$14,2,FALSE)</f>
        <v>2</v>
      </c>
      <c r="N32" s="120">
        <f>VLOOKUP(L32,Rodrigo!$LM$11:$LU$14,3,FALSE)</f>
        <v>3</v>
      </c>
      <c r="O32" s="120">
        <f>VLOOKUP(L32,Rodrigo!$LM$11:$LU$14,4,FALSE)</f>
        <v>0</v>
      </c>
      <c r="P32" s="120">
        <f>VLOOKUP(L32,Rodrigo!$LM$11:$LU$14,5,FALSE)</f>
        <v>2</v>
      </c>
      <c r="Q32" s="120">
        <f>VLOOKUP(L32,Rodrigo!$LM$11:$LU$14,6,FALSE)</f>
        <v>1</v>
      </c>
      <c r="R32" s="120">
        <f>VLOOKUP(L32,Rodrigo!$LM$11:$LU$14,7,FALSE)</f>
        <v>2</v>
      </c>
      <c r="S32" s="120">
        <f>VLOOKUP(L32,Rodrigo!$LM$11:$LU$14,8,FALSE)</f>
        <v>3</v>
      </c>
      <c r="T32" s="121">
        <f>VLOOKUP(L32,Rodrigo!$LM$11:$LU$14,9,FALSE)</f>
        <v>-1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0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106" t="s">
        <v>72</v>
      </c>
      <c r="G33" s="107">
        <v>0.0</v>
      </c>
      <c r="H33" s="108"/>
      <c r="I33" s="96" t="s">
        <v>66</v>
      </c>
      <c r="J33" s="97" t="s">
        <v>76</v>
      </c>
      <c r="K33" s="123"/>
      <c r="L33" s="124" t="str">
        <f>Rodrigo!MH14</f>
        <v>Irã</v>
      </c>
      <c r="M33" s="125">
        <f>VLOOKUP(L33,Rodrigo!$LM$11:$LU$14,2,FALSE)</f>
        <v>1</v>
      </c>
      <c r="N33" s="126">
        <f>VLOOKUP(L33,Rodrigo!$LM$11:$LU$14,3,FALSE)</f>
        <v>3</v>
      </c>
      <c r="O33" s="126">
        <f>VLOOKUP(L33,Rodrigo!$LM$11:$LU$14,4,FALSE)</f>
        <v>0</v>
      </c>
      <c r="P33" s="126">
        <f>VLOOKUP(L33,Rodrigo!$LM$11:$LU$14,5,FALSE)</f>
        <v>1</v>
      </c>
      <c r="Q33" s="126">
        <f>VLOOKUP(L33,Rodrigo!$LM$11:$LU$14,6,FALSE)</f>
        <v>2</v>
      </c>
      <c r="R33" s="126">
        <f>VLOOKUP(L33,Rodrigo!$LM$11:$LU$14,7,FALSE)</f>
        <v>0</v>
      </c>
      <c r="S33" s="126">
        <f>VLOOKUP(L33,Rodrigo!$LM$11:$LU$14,8,FALSE)</f>
        <v>3</v>
      </c>
      <c r="T33" s="127">
        <f>VLOOKUP(L33,Rodrigo!$LM$11:$LU$14,9,FALSE)</f>
        <v>-3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0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9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3</v>
      </c>
      <c r="LQ35" s="71">
        <f>IF(OR(E53="",G53=""),0,IF(E53=G53,1,0))+IF(OR(E55="",G55=""),0,IF(E55=G55,1,0))+IF(OR(G56="",E56=""),0,IF(G56=E56,1,0))</f>
        <v>0</v>
      </c>
      <c r="LR35" s="71">
        <f>IF(OR(E53="",G53=""),0,IF(E53&lt;G53,1,0))+IF(OR(E55="",G55=""),0,IF(E55&lt;G55,1,0))+IF(OR(G56="",E56=""),0,IF(G56&lt;E56,1,0))</f>
        <v>0</v>
      </c>
      <c r="LS35" s="71">
        <f>E53+E55+G56</f>
        <v>5</v>
      </c>
      <c r="LT35" s="71">
        <f>G53+G55+E56</f>
        <v>1</v>
      </c>
      <c r="LU35" s="71">
        <f t="shared" ref="LU35:LU38" si="36">LS35-LT35</f>
        <v>4</v>
      </c>
      <c r="LV35" s="70">
        <f t="shared" ref="LV35:LV38" si="37">LN35</f>
        <v>9</v>
      </c>
      <c r="LW35" s="70">
        <f t="shared" ref="LW35:LW38" si="38">LU35/10</f>
        <v>0.4</v>
      </c>
      <c r="LX35" s="70">
        <f t="shared" ref="LX35:LX38" si="39">LS35/100</f>
        <v>0.05</v>
      </c>
      <c r="LY35" s="70">
        <f t="shared" ref="LY35:LY38" si="40">SUM(LV35:LX35)</f>
        <v>9.45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9.45</v>
      </c>
      <c r="MD35" s="70">
        <f>RANK($MC$35,$MC$35:$MC$38,0)</f>
        <v>1</v>
      </c>
      <c r="ME35" s="70">
        <f>MD35</f>
        <v>1</v>
      </c>
      <c r="MF35" s="70">
        <v>1.0</v>
      </c>
      <c r="MG35" s="70">
        <f t="shared" ref="MG35:MG38" si="42">MATCH(MF35,$ME$35:$ME$38,0)</f>
        <v>1</v>
      </c>
      <c r="MH35" s="70" t="str">
        <f t="shared" ref="MH35:MH38" si="43">INDEX($LM$35:$LM$38,MG35)</f>
        <v>Espanha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16">
        <v>3.0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1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1</v>
      </c>
      <c r="LR36" s="71">
        <f>IF(OR(G53="",E53=""),0,IF(G53&lt;E53,1,0))+IF(OR(G54="",E54=""),0,IF(G54&lt;E54,1,0))+IF(OR(E57="",G57=""),0,IF(E57&lt;G57,1,0))</f>
        <v>2</v>
      </c>
      <c r="LS36" s="71">
        <f>G53+G54+E57</f>
        <v>2</v>
      </c>
      <c r="LT36" s="71">
        <f>E53+E54+G57</f>
        <v>5</v>
      </c>
      <c r="LU36" s="71">
        <f t="shared" si="36"/>
        <v>-3</v>
      </c>
      <c r="LV36" s="70">
        <f t="shared" si="37"/>
        <v>1</v>
      </c>
      <c r="LW36" s="70">
        <f t="shared" si="38"/>
        <v>-0.3</v>
      </c>
      <c r="LX36" s="70">
        <f t="shared" si="39"/>
        <v>0.02</v>
      </c>
      <c r="LY36" s="70">
        <f t="shared" si="40"/>
        <v>0.72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0.72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3</v>
      </c>
      <c r="MH36" s="70" t="str">
        <f t="shared" si="43"/>
        <v>Alemanha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7">
        <v>1.0</v>
      </c>
      <c r="F37" s="106" t="s">
        <v>72</v>
      </c>
      <c r="G37" s="107">
        <v>1.0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6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6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2</v>
      </c>
      <c r="LQ37" s="71">
        <f>IF(OR(E52="",G52=""),0,IF(E52=G52,1,0))+IF(OR(G55="",E55=""),0,IF(G55=E55,1,0))+IF(OR(G57="",E57=""),0,IF(G57=E57,1,0))</f>
        <v>0</v>
      </c>
      <c r="LR37" s="71">
        <f>IF(OR(E52="",G52=""),0,IF(E52&lt;G52,1,0))+IF(OR(G55="",E55=""),0,IF(G55&lt;E55,1,0))+IF(OR(G57="",E57=""),0,IF(G57&lt;E57,1,0))</f>
        <v>1</v>
      </c>
      <c r="LS37" s="71">
        <f>E52+G55+G57</f>
        <v>4</v>
      </c>
      <c r="LT37" s="71">
        <f>G52+E55+E57</f>
        <v>3</v>
      </c>
      <c r="LU37" s="71">
        <f t="shared" si="36"/>
        <v>1</v>
      </c>
      <c r="LV37" s="70">
        <f t="shared" si="37"/>
        <v>6</v>
      </c>
      <c r="LW37" s="70">
        <f t="shared" si="38"/>
        <v>0.1</v>
      </c>
      <c r="LX37" s="70">
        <f t="shared" si="39"/>
        <v>0.04</v>
      </c>
      <c r="LY37" s="70">
        <f t="shared" si="40"/>
        <v>6.14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6.14</v>
      </c>
      <c r="MD37" s="70">
        <f>RANK($MC$37,$MC$35:$MC$38,0)</f>
        <v>2</v>
      </c>
      <c r="ME37" s="70">
        <f>IF(OR(AND(MD35=MD36,MD35=MD37,MD35=MD38),AND(MD37=MD35,MD37=MD36)),MD37+2,IF(OR(AND(MD37=MD36,MD37=MD38),MD37=MD35,MD37=MD36),MD37+1,MD37))</f>
        <v>2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07">
        <v>2.0</v>
      </c>
      <c r="F38" s="115" t="s">
        <v>72</v>
      </c>
      <c r="G38" s="116">
        <v>1.0</v>
      </c>
      <c r="H38" s="117"/>
      <c r="I38" s="96" t="s">
        <v>75</v>
      </c>
      <c r="J38" s="97" t="s">
        <v>99</v>
      </c>
      <c r="K38" s="109"/>
      <c r="L38" s="118" t="str">
        <f>Rodrigo!MH19</f>
        <v>Argentina</v>
      </c>
      <c r="M38" s="119">
        <f>VLOOKUP(L38,Rodrigo!$LM$19:$LU$22,2,FALSE)</f>
        <v>7</v>
      </c>
      <c r="N38" s="120">
        <f>VLOOKUP(L38,Rodrigo!$LM$19:$LU$22,3,FALSE)</f>
        <v>3</v>
      </c>
      <c r="O38" s="120">
        <f>VLOOKUP(L38,Rodrigo!$LM$19:$LU$22,4,FALSE)</f>
        <v>2</v>
      </c>
      <c r="P38" s="120">
        <f>VLOOKUP(L38,Rodrigo!$LM$19:$LU$22,5,FALSE)</f>
        <v>1</v>
      </c>
      <c r="Q38" s="120">
        <f>VLOOKUP(L38,Rodrigo!$LM$19:$LU$22,6,FALSE)</f>
        <v>0</v>
      </c>
      <c r="R38" s="120">
        <f>VLOOKUP(L38,Rodrigo!$LM$19:$LU$22,7,FALSE)</f>
        <v>6</v>
      </c>
      <c r="S38" s="120">
        <f>VLOOKUP(L38,Rodrigo!$LM$19:$LU$22,8,FALSE)</f>
        <v>2</v>
      </c>
      <c r="T38" s="121">
        <f>VLOOKUP(L38,Rodrigo!$LM$19:$LU$22,9,FALSE)</f>
        <v>4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2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1</v>
      </c>
      <c r="LR38" s="71">
        <f>IF(OR(G52="",E52=""),0,IF(G52&lt;E52,1,0))+IF(OR(E54="",G54=""),0,IF(E54&lt;G54,1,0))+IF(OR(E56="",G56=""),0,IF(E56&lt;G56,1,0))</f>
        <v>2</v>
      </c>
      <c r="LS38" s="71">
        <f>G52+E54+E56</f>
        <v>3</v>
      </c>
      <c r="LT38" s="71">
        <f>E52+G54+G56</f>
        <v>5</v>
      </c>
      <c r="LU38" s="71">
        <f t="shared" si="36"/>
        <v>-2</v>
      </c>
      <c r="LV38" s="70">
        <f t="shared" si="37"/>
        <v>2</v>
      </c>
      <c r="LW38" s="70">
        <f t="shared" si="38"/>
        <v>-0.2</v>
      </c>
      <c r="LX38" s="70">
        <f t="shared" si="39"/>
        <v>0.03</v>
      </c>
      <c r="LY38" s="70">
        <f t="shared" si="40"/>
        <v>1.83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1.83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7">
        <v>2.0</v>
      </c>
      <c r="F39" s="106" t="s">
        <v>72</v>
      </c>
      <c r="G39" s="107">
        <v>1.0</v>
      </c>
      <c r="H39" s="108"/>
      <c r="I39" s="96" t="s">
        <v>77</v>
      </c>
      <c r="J39" s="97" t="s">
        <v>94</v>
      </c>
      <c r="K39" s="109"/>
      <c r="L39" s="118" t="str">
        <f>Rodrigo!MH20</f>
        <v>Polônia</v>
      </c>
      <c r="M39" s="119">
        <f>VLOOKUP(L39,Rodrigo!$LM$19:$LU$22,2,FALSE)</f>
        <v>5</v>
      </c>
      <c r="N39" s="120">
        <f>VLOOKUP(L39,Rodrigo!$LM$19:$LU$22,3,FALSE)</f>
        <v>3</v>
      </c>
      <c r="O39" s="120">
        <f>VLOOKUP(L39,Rodrigo!$LM$19:$LU$22,4,FALSE)</f>
        <v>0</v>
      </c>
      <c r="P39" s="120">
        <f>VLOOKUP(L39,Rodrigo!$LM$19:$LU$22,5,FALSE)</f>
        <v>2</v>
      </c>
      <c r="Q39" s="120">
        <f>VLOOKUP(L39,Rodrigo!$LM$19:$LU$22,6,FALSE)</f>
        <v>0</v>
      </c>
      <c r="R39" s="120">
        <f>VLOOKUP(L39,Rodrigo!$LM$19:$LU$22,7,FALSE)</f>
        <v>4</v>
      </c>
      <c r="S39" s="120">
        <f>VLOOKUP(L39,Rodrigo!$LM$19:$LU$22,8,FALSE)</f>
        <v>3</v>
      </c>
      <c r="T39" s="121">
        <f>VLOOKUP(L39,Rodrigo!$LM$19:$LU$22,9,FALSE)</f>
        <v>1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1.0</v>
      </c>
      <c r="F40" s="106" t="s">
        <v>72</v>
      </c>
      <c r="G40" s="107">
        <v>1.0</v>
      </c>
      <c r="H40" s="108"/>
      <c r="I40" s="96" t="s">
        <v>71</v>
      </c>
      <c r="J40" s="97" t="s">
        <v>97</v>
      </c>
      <c r="K40" s="109"/>
      <c r="L40" s="118" t="str">
        <f>Rodrigo!MH21</f>
        <v>México</v>
      </c>
      <c r="M40" s="119">
        <f>VLOOKUP(L40,Rodrigo!$LM$19:$LU$22,2,FALSE)</f>
        <v>4</v>
      </c>
      <c r="N40" s="120">
        <f>VLOOKUP(L40,Rodrigo!$LM$19:$LU$22,3,FALSE)</f>
        <v>3</v>
      </c>
      <c r="O40" s="120">
        <f>VLOOKUP(L40,Rodrigo!$LM$19:$LU$22,4,FALSE)</f>
        <v>1</v>
      </c>
      <c r="P40" s="120">
        <f>VLOOKUP(L40,Rodrigo!$LM$19:$LU$22,5,FALSE)</f>
        <v>1</v>
      </c>
      <c r="Q40" s="120">
        <f>VLOOKUP(L40,Rodrigo!$LM$19:$LU$22,6,FALSE)</f>
        <v>1</v>
      </c>
      <c r="R40" s="120">
        <f>VLOOKUP(L40,Rodrigo!$LM$19:$LU$22,7,FALSE)</f>
        <v>4</v>
      </c>
      <c r="S40" s="120">
        <f>VLOOKUP(L40,Rodrigo!$LM$19:$LU$22,8,FALSE)</f>
        <v>3</v>
      </c>
      <c r="T40" s="121">
        <f>VLOOKUP(L40,Rodrigo!$LM$19:$LU$22,9,FALSE)</f>
        <v>1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0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0.0</v>
      </c>
      <c r="F41" s="106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Rodrigo!MH22</f>
        <v>Arábia Saudita</v>
      </c>
      <c r="M41" s="125">
        <f>VLOOKUP(L41,Rodrigo!$LM$19:$LU$22,2,FALSE)</f>
        <v>0</v>
      </c>
      <c r="N41" s="126">
        <f>VLOOKUP(L41,Rodrigo!$LM$19:$LU$22,3,FALSE)</f>
        <v>3</v>
      </c>
      <c r="O41" s="126">
        <f>VLOOKUP(L41,Rodrigo!$LM$19:$LU$22,4,FALSE)</f>
        <v>0</v>
      </c>
      <c r="P41" s="126">
        <f>VLOOKUP(L41,Rodrigo!$LM$19:$LU$22,5,FALSE)</f>
        <v>0</v>
      </c>
      <c r="Q41" s="126">
        <f>VLOOKUP(L41,Rodrigo!$LM$19:$LU$22,6,FALSE)</f>
        <v>3</v>
      </c>
      <c r="R41" s="126">
        <f>VLOOKUP(L41,Rodrigo!$LM$19:$LU$22,7,FALSE)</f>
        <v>1</v>
      </c>
      <c r="S41" s="126">
        <f>VLOOKUP(L41,Rodrigo!$LM$19:$LU$22,8,FALSE)</f>
        <v>7</v>
      </c>
      <c r="T41" s="127">
        <f>VLOOKUP(L41,Rodrigo!$LM$19:$LU$22,9,FALSE)</f>
        <v>-6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3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9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3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5</v>
      </c>
      <c r="LT43" s="71">
        <f>G61+G62+E64</f>
        <v>1</v>
      </c>
      <c r="LU43" s="71">
        <f t="shared" ref="LU43:LU46" si="45">LS43-LT43</f>
        <v>4</v>
      </c>
      <c r="LV43" s="70">
        <f t="shared" ref="LV43:LV46" si="46">LN43</f>
        <v>9</v>
      </c>
      <c r="LW43" s="70">
        <f t="shared" ref="LW43:LW46" si="47">LU43/10</f>
        <v>0.4</v>
      </c>
      <c r="LX43" s="70">
        <f t="shared" ref="LX43:LX46" si="48">LS43/100</f>
        <v>0.05</v>
      </c>
      <c r="LY43" s="70">
        <f t="shared" ref="LY43:LY46" si="49">SUM(LV43:LX43)</f>
        <v>9.45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9.45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2.0</v>
      </c>
      <c r="F44" s="106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1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2</v>
      </c>
      <c r="LS44" s="71">
        <f>G61+G63+E65</f>
        <v>1</v>
      </c>
      <c r="LT44" s="71">
        <f>E61+E63+G65</f>
        <v>3</v>
      </c>
      <c r="LU44" s="71">
        <f t="shared" si="45"/>
        <v>-2</v>
      </c>
      <c r="LV44" s="70">
        <f t="shared" si="46"/>
        <v>1</v>
      </c>
      <c r="LW44" s="70">
        <f t="shared" si="47"/>
        <v>-0.2</v>
      </c>
      <c r="LX44" s="70">
        <f t="shared" si="48"/>
        <v>0.01</v>
      </c>
      <c r="LY44" s="70">
        <f t="shared" si="49"/>
        <v>0.81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0.81</v>
      </c>
      <c r="MD44" s="70">
        <f>RANK($MC$44,$MC$43:$MC$46,0)</f>
        <v>3</v>
      </c>
      <c r="ME44" s="70">
        <f>IF(OR(AND(MD43=MD44,MD43=MD45,MD43=MD46),AND(MD44=MD43,MD44=MD45),AND(MD44=MD43,MD44=MD46),MD44=MD43),MD44+1,MD44)</f>
        <v>3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2.0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1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1</v>
      </c>
      <c r="LR45" s="71">
        <f>IF(OR(E60="",G60=""),0,IF(E60&lt;G60,1,0))+IF(OR(G62="",E62=""),0,IF(G62&lt;E62,1,0))+IF(OR(G65="",E65=""),0,IF(G65&lt;E65,1,0))</f>
        <v>2</v>
      </c>
      <c r="LS45" s="71">
        <f>E60+G62+G65</f>
        <v>0</v>
      </c>
      <c r="LT45" s="71">
        <f>G60+E62+E65</f>
        <v>4</v>
      </c>
      <c r="LU45" s="71">
        <f t="shared" si="45"/>
        <v>-4</v>
      </c>
      <c r="LV45" s="70">
        <f t="shared" si="46"/>
        <v>1</v>
      </c>
      <c r="LW45" s="70">
        <f t="shared" si="47"/>
        <v>-0.4</v>
      </c>
      <c r="LX45" s="70">
        <f t="shared" si="48"/>
        <v>0</v>
      </c>
      <c r="LY45" s="70">
        <f t="shared" si="49"/>
        <v>0.6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0.6</v>
      </c>
      <c r="MD45" s="70">
        <f>RANK($MC$45,$MC$43:$MC$46,0)</f>
        <v>4</v>
      </c>
      <c r="ME45" s="70">
        <f>IF(OR(AND(MD43=MD44,MD43=MD45,MD43=MD46),AND(MD45=MD43,MD45=MD44)),MD45+2,IF(OR(AND(MD45=MD44,MD45=MD46),MD45=MD43,MD45=MD44),MD45+1,MD45))</f>
        <v>4</v>
      </c>
      <c r="MF45" s="70">
        <v>3.0</v>
      </c>
      <c r="MG45" s="70">
        <f t="shared" si="51"/>
        <v>2</v>
      </c>
      <c r="MH45" s="70" t="str">
        <f t="shared" si="52"/>
        <v>Canadá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1.0</v>
      </c>
      <c r="F46" s="115" t="s">
        <v>72</v>
      </c>
      <c r="G46" s="116">
        <v>1.0</v>
      </c>
      <c r="H46" s="117"/>
      <c r="I46" s="96" t="s">
        <v>87</v>
      </c>
      <c r="J46" s="97" t="s">
        <v>106</v>
      </c>
      <c r="K46" s="109"/>
      <c r="L46" s="118" t="str">
        <f>Rodrigo!MH27</f>
        <v>França</v>
      </c>
      <c r="M46" s="119">
        <f>VLOOKUP(L46,Rodrigo!$LM$27:$LU$30,2,FALSE)</f>
        <v>7</v>
      </c>
      <c r="N46" s="120">
        <f>VLOOKUP(L46,Rodrigo!$LM$27:$LU$30,3,FALSE)</f>
        <v>3</v>
      </c>
      <c r="O46" s="120">
        <f>VLOOKUP(L46,Rodrigo!$LM$27:$LU$30,4,FALSE)</f>
        <v>2</v>
      </c>
      <c r="P46" s="120">
        <f>VLOOKUP(L46,Rodrigo!$LM$27:$LU$30,5,FALSE)</f>
        <v>1</v>
      </c>
      <c r="Q46" s="120">
        <f>VLOOKUP(L46,Rodrigo!$LM$27:$LU$30,6,FALSE)</f>
        <v>0</v>
      </c>
      <c r="R46" s="120">
        <f>VLOOKUP(L46,Rodrigo!$LM$27:$LU$30,7,FALSE)</f>
        <v>6</v>
      </c>
      <c r="S46" s="120">
        <f>VLOOKUP(L46,Rodrigo!$LM$27:$LU$30,8,FALSE)</f>
        <v>2</v>
      </c>
      <c r="T46" s="121">
        <f>VLOOKUP(L46,Rodrigo!$LM$27:$LU$30,9,FALSE)</f>
        <v>4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6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2</v>
      </c>
      <c r="LQ46" s="71">
        <f>IF(OR(G60="",E60=""),0,IF(G60=E60,1,0))+IF(OR(E63="",G63=""),0,IF(E63=G63,1,0))+IF(OR(E64="",G64=""),0,IF(E64=G64,1,0))</f>
        <v>0</v>
      </c>
      <c r="LR46" s="71">
        <f>IF(OR(G60="",E60=""),0,IF(G60&lt;E60,1,0))+IF(OR(E63="",G63=""),0,IF(E63&lt;G63,1,0))+IF(OR(E64="",G64=""),0,IF(E64&lt;G64,1,0))</f>
        <v>1</v>
      </c>
      <c r="LS46" s="71">
        <f>G60+E63+E64</f>
        <v>5</v>
      </c>
      <c r="LT46" s="71">
        <f>E60+G63+G64</f>
        <v>3</v>
      </c>
      <c r="LU46" s="71">
        <f t="shared" si="45"/>
        <v>2</v>
      </c>
      <c r="LV46" s="70">
        <f t="shared" si="46"/>
        <v>6</v>
      </c>
      <c r="LW46" s="70">
        <f t="shared" si="47"/>
        <v>0.2</v>
      </c>
      <c r="LX46" s="70">
        <f t="shared" si="48"/>
        <v>0.05</v>
      </c>
      <c r="LY46" s="70">
        <f t="shared" si="49"/>
        <v>6.25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6.25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3</v>
      </c>
      <c r="MH46" s="70" t="str">
        <f t="shared" si="52"/>
        <v>Marrocos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1.0</v>
      </c>
      <c r="F47" s="106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Rodrigo!MH28</f>
        <v>Dinamarca</v>
      </c>
      <c r="M47" s="119">
        <f>VLOOKUP(L47,Rodrigo!$LM$27:$LU$30,2,FALSE)</f>
        <v>7</v>
      </c>
      <c r="N47" s="120">
        <f>VLOOKUP(L47,Rodrigo!$LM$27:$LU$30,3,FALSE)</f>
        <v>3</v>
      </c>
      <c r="O47" s="120">
        <f>VLOOKUP(L47,Rodrigo!$LM$27:$LU$30,4,FALSE)</f>
        <v>2</v>
      </c>
      <c r="P47" s="120">
        <f>VLOOKUP(L47,Rodrigo!$LM$27:$LU$30,5,FALSE)</f>
        <v>1</v>
      </c>
      <c r="Q47" s="120">
        <f>VLOOKUP(L47,Rodrigo!$LM$27:$LU$30,6,FALSE)</f>
        <v>0</v>
      </c>
      <c r="R47" s="120">
        <f>VLOOKUP(L47,Rodrigo!$LM$27:$LU$30,7,FALSE)</f>
        <v>4</v>
      </c>
      <c r="S47" s="120">
        <f>VLOOKUP(L47,Rodrigo!$LM$27:$LU$30,8,FALSE)</f>
        <v>1</v>
      </c>
      <c r="T47" s="121">
        <f>VLOOKUP(L47,Rodrigo!$LM$27:$LU$30,9,FALSE)</f>
        <v>3</v>
      </c>
      <c r="U47" s="53"/>
      <c r="V47" s="59" t="s">
        <v>81</v>
      </c>
      <c r="W47" s="122" t="str">
        <f t="shared" si="53"/>
        <v>Dinamarca</v>
      </c>
      <c r="X47" s="236">
        <f>IF(AND(W47&lt;&gt;"",'Resultado Oficial'!W46&lt;&gt;"",'Resultado Oficial'!W47&lt;&gt;""),IF(W47='Resultado Oficial'!W47,5,IF(W47='Resultado Oficial'!W46,2,0)),"")</f>
        <v>0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0.0</v>
      </c>
      <c r="F48" s="106" t="s">
        <v>72</v>
      </c>
      <c r="G48" s="107">
        <v>1.0</v>
      </c>
      <c r="H48" s="108"/>
      <c r="I48" s="96" t="s">
        <v>89</v>
      </c>
      <c r="J48" s="97" t="s">
        <v>106</v>
      </c>
      <c r="K48" s="109"/>
      <c r="L48" s="118" t="str">
        <f>Rodrigo!MH29</f>
        <v>Tunísia</v>
      </c>
      <c r="M48" s="119">
        <f>VLOOKUP(L48,Rodrigo!$LM$27:$LU$30,2,FALSE)</f>
        <v>2</v>
      </c>
      <c r="N48" s="120">
        <f>VLOOKUP(L48,Rodrigo!$LM$27:$LU$30,3,FALSE)</f>
        <v>3</v>
      </c>
      <c r="O48" s="120">
        <f>VLOOKUP(L48,Rodrigo!$LM$27:$LU$30,4,FALSE)</f>
        <v>0</v>
      </c>
      <c r="P48" s="120">
        <f>VLOOKUP(L48,Rodrigo!$LM$27:$LU$30,5,FALSE)</f>
        <v>1</v>
      </c>
      <c r="Q48" s="120">
        <f>VLOOKUP(L48,Rodrigo!$LM$27:$LU$30,6,FALSE)</f>
        <v>2</v>
      </c>
      <c r="R48" s="120">
        <f>VLOOKUP(L48,Rodrigo!$LM$27:$LU$30,7,FALSE)</f>
        <v>2</v>
      </c>
      <c r="S48" s="120">
        <f>VLOOKUP(L48,Rodrigo!$LM$27:$LU$30,8,FALSE)</f>
        <v>6</v>
      </c>
      <c r="T48" s="121">
        <f>VLOOKUP(L48,Rodrigo!$LM$27:$LU$30,9,FALSE)</f>
        <v>-4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1.0</v>
      </c>
      <c r="F49" s="106" t="s">
        <v>72</v>
      </c>
      <c r="G49" s="107">
        <v>3.0</v>
      </c>
      <c r="H49" s="108"/>
      <c r="I49" s="96" t="s">
        <v>85</v>
      </c>
      <c r="J49" s="97" t="s">
        <v>99</v>
      </c>
      <c r="K49" s="123"/>
      <c r="L49" s="124" t="str">
        <f>Rodrigo!MH30</f>
        <v>Austrália</v>
      </c>
      <c r="M49" s="125">
        <f>VLOOKUP(L49,Rodrigo!$LM$27:$LU$30,2,FALSE)</f>
        <v>1</v>
      </c>
      <c r="N49" s="126">
        <f>VLOOKUP(L49,Rodrigo!$LM$27:$LU$30,3,FALSE)</f>
        <v>3</v>
      </c>
      <c r="O49" s="126">
        <f>VLOOKUP(L49,Rodrigo!$LM$27:$LU$30,4,FALSE)</f>
        <v>0</v>
      </c>
      <c r="P49" s="126">
        <f>VLOOKUP(L49,Rodrigo!$LM$27:$LU$30,5,FALSE)</f>
        <v>1</v>
      </c>
      <c r="Q49" s="126">
        <f>VLOOKUP(L49,Rodrigo!$LM$27:$LU$30,6,FALSE)</f>
        <v>2</v>
      </c>
      <c r="R49" s="126">
        <f>VLOOKUP(L49,Rodrigo!$LM$27:$LU$30,7,FALSE)</f>
        <v>1</v>
      </c>
      <c r="S49" s="126">
        <f>VLOOKUP(L49,Rodrigo!$LM$27:$LU$30,8,FALSE)</f>
        <v>4</v>
      </c>
      <c r="T49" s="127">
        <f>VLOOKUP(L49,Rodrigo!$LM$27:$LU$30,9,FALSE)</f>
        <v>-3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7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2</v>
      </c>
      <c r="LQ51" s="71">
        <f>IF(OR(E69="",G69=""),0,IF(E69=G69,1,0))+IF(OR(E71="",G71=""),0,IF(E71=G71,1,0))+IF(OR(G73="",E73=""),0,IF(G73=E73,1,0))</f>
        <v>1</v>
      </c>
      <c r="LR51" s="71">
        <f>IF(OR(E69="",G69=""),0,IF(E69&lt;G69,1,0))+IF(OR(E71="",G71=""),0,IF(E71&lt;G71,1,0))+IF(OR(G73="",E73=""),0,IF(G73&lt;E73,1,0))</f>
        <v>0</v>
      </c>
      <c r="LS51" s="71">
        <f>E69+E71+G73</f>
        <v>4</v>
      </c>
      <c r="LT51" s="71">
        <f>G69+G71+E73</f>
        <v>1</v>
      </c>
      <c r="LU51" s="71">
        <f t="shared" ref="LU51:LU54" si="54">LS51-LT51</f>
        <v>3</v>
      </c>
      <c r="LV51" s="70">
        <f t="shared" ref="LV51:LV54" si="55">LN51</f>
        <v>7</v>
      </c>
      <c r="LW51" s="70">
        <f t="shared" ref="LW51:LW54" si="56">LU51/10</f>
        <v>0.3</v>
      </c>
      <c r="LX51" s="70">
        <f t="shared" ref="LX51:LX54" si="57">LS51/100</f>
        <v>0.04</v>
      </c>
      <c r="LY51" s="70">
        <f t="shared" ref="LY51:LY54" si="58">SUM(LV51:LX51)</f>
        <v>7.34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7.34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2.0</v>
      </c>
      <c r="F52" s="106" t="s">
        <v>72</v>
      </c>
      <c r="G52" s="107">
        <v>1.0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5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1</v>
      </c>
      <c r="LQ52" s="71">
        <f>IF(OR(G69="",E69=""),0,IF(G69=E69,1,0))+IF(OR(G70="",E70=""),0,IF(G70=E70,1,0))+IF(OR(E72="",G72=""),0,IF(E72=G72,1,0))</f>
        <v>2</v>
      </c>
      <c r="LR52" s="71">
        <f>IF(OR(G69="",E69=""),0,IF(G69&lt;E69,1,0))+IF(OR(G70="",E70=""),0,IF(G70&lt;E70,1,0))+IF(OR(E72="",G72=""),0,IF(E72&lt;G72,1,0))</f>
        <v>0</v>
      </c>
      <c r="LS52" s="71">
        <f>G69+G70+E72</f>
        <v>4</v>
      </c>
      <c r="LT52" s="71">
        <f>E69+E70+G72</f>
        <v>3</v>
      </c>
      <c r="LU52" s="71">
        <f t="shared" si="54"/>
        <v>1</v>
      </c>
      <c r="LV52" s="70">
        <f t="shared" si="55"/>
        <v>5</v>
      </c>
      <c r="LW52" s="70">
        <f t="shared" si="56"/>
        <v>0.1</v>
      </c>
      <c r="LX52" s="70">
        <f t="shared" si="57"/>
        <v>0.04</v>
      </c>
      <c r="LY52" s="70">
        <f t="shared" si="58"/>
        <v>5.14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5.14</v>
      </c>
      <c r="MD52" s="70">
        <f>RANK($MC$52,$MC$51:$MC$54,0)</f>
        <v>2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2.0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4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1</v>
      </c>
      <c r="LQ53" s="71">
        <f>IF(OR(E68="",G68=""),0,IF(E68=G68,1,0))+IF(OR(G71="",E71=""),0,IF(G71=E71,1,0))+IF(OR(G72="",E72=""),0,IF(G72=E72,1,0))</f>
        <v>1</v>
      </c>
      <c r="LR53" s="71">
        <f>IF(OR(E68="",G68=""),0,IF(E68&lt;G68,1,0))+IF(OR(G71="",E71=""),0,IF(G71&lt;E71,1,0))+IF(OR(G72="",E72=""),0,IF(G72&lt;E72,1,0))</f>
        <v>1</v>
      </c>
      <c r="LS53" s="71">
        <f>E68+G71+G72</f>
        <v>2</v>
      </c>
      <c r="LT53" s="71">
        <f>G68+E71+E72</f>
        <v>2</v>
      </c>
      <c r="LU53" s="71">
        <f t="shared" si="54"/>
        <v>0</v>
      </c>
      <c r="LV53" s="70">
        <f t="shared" si="55"/>
        <v>4</v>
      </c>
      <c r="LW53" s="70">
        <f t="shared" si="56"/>
        <v>0</v>
      </c>
      <c r="LX53" s="70">
        <f t="shared" si="57"/>
        <v>0.02</v>
      </c>
      <c r="LY53" s="70">
        <f t="shared" si="58"/>
        <v>4.02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4.02</v>
      </c>
      <c r="MD53" s="70">
        <f>RANK($MC$53,$MC$51:$MC$54,0)</f>
        <v>3</v>
      </c>
      <c r="ME53" s="70">
        <f>IF(OR(AND(MD51=MD52,MD51=MD53,MD51=MD54),AND(MD53=MD51,MD53=MD52)),MD53+2,IF(OR(AND(MD53=MD52,MD53=MD54),MD53=MD51,MD53=MD52),MD53+1,MD53))</f>
        <v>3</v>
      </c>
      <c r="MF53" s="70">
        <v>3.0</v>
      </c>
      <c r="MG53" s="70">
        <f t="shared" si="60"/>
        <v>3</v>
      </c>
      <c r="MH53" s="70" t="str">
        <f t="shared" si="61"/>
        <v>Suiça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1.0</v>
      </c>
      <c r="F54" s="115" t="s">
        <v>72</v>
      </c>
      <c r="G54" s="116">
        <v>1.0</v>
      </c>
      <c r="H54" s="117"/>
      <c r="I54" s="96" t="s">
        <v>96</v>
      </c>
      <c r="J54" s="97" t="s">
        <v>115</v>
      </c>
      <c r="K54" s="109"/>
      <c r="L54" s="118" t="str">
        <f>Rodrigo!MH35</f>
        <v>Espanha</v>
      </c>
      <c r="M54" s="119">
        <f>VLOOKUP(L54,Rodrigo!$LM$35:$LU$38,2,FALSE)</f>
        <v>9</v>
      </c>
      <c r="N54" s="120">
        <f>VLOOKUP(L54,Rodrigo!$LM$35:$LU$38,3,FALSE)</f>
        <v>3</v>
      </c>
      <c r="O54" s="120">
        <f>VLOOKUP(L54,Rodrigo!$LM$35:$LU$38,4,FALSE)</f>
        <v>3</v>
      </c>
      <c r="P54" s="120">
        <f>VLOOKUP(L54,Rodrigo!$LM$35:$LU$38,5,FALSE)</f>
        <v>0</v>
      </c>
      <c r="Q54" s="120">
        <f>VLOOKUP(L54,Rodrigo!$LM$35:$LU$38,6,FALSE)</f>
        <v>0</v>
      </c>
      <c r="R54" s="120">
        <f>VLOOKUP(L54,Rodrigo!$LM$35:$LU$38,7,FALSE)</f>
        <v>5</v>
      </c>
      <c r="S54" s="120">
        <f>VLOOKUP(L54,Rodrigo!$LM$35:$LU$38,8,FALSE)</f>
        <v>1</v>
      </c>
      <c r="T54" s="121">
        <f>VLOOKUP(L54,Rodrigo!$LM$35:$LU$38,9,FALSE)</f>
        <v>4</v>
      </c>
      <c r="U54" s="53"/>
      <c r="V54" s="59" t="s">
        <v>78</v>
      </c>
      <c r="W54" s="122" t="str">
        <f t="shared" ref="W54:W55" si="62">IF(N54&lt;&gt;3,"",L54)</f>
        <v>Espanha</v>
      </c>
      <c r="X54" s="236">
        <f>IF(AND(W54&lt;&gt;"",'Resultado Oficial'!W54&lt;&gt;"",'Resultado Oficial'!W55&lt;&gt;""),IF(W54='Resultado Oficial'!W54,5,IF(W54='Resultado Oficial'!W55,2,0)),"")</f>
        <v>2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0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0</v>
      </c>
      <c r="LR54" s="71">
        <f>IF(OR(G68="",E68=""),0,IF(G68&lt;E68,1,0))+IF(OR(E70="",G70=""),0,IF(E70&lt;G70,1,0))+IF(OR(E73="",G73=""),0,IF(E73&lt;G73,1,0))</f>
        <v>3</v>
      </c>
      <c r="LS54" s="71">
        <f>G68+E70+E73</f>
        <v>1</v>
      </c>
      <c r="LT54" s="71">
        <f>E68+G70+G73</f>
        <v>5</v>
      </c>
      <c r="LU54" s="71">
        <f t="shared" si="54"/>
        <v>-4</v>
      </c>
      <c r="LV54" s="70">
        <f t="shared" si="55"/>
        <v>0</v>
      </c>
      <c r="LW54" s="70">
        <f t="shared" si="56"/>
        <v>-0.4</v>
      </c>
      <c r="LX54" s="70">
        <f t="shared" si="57"/>
        <v>0.01</v>
      </c>
      <c r="LY54" s="70">
        <f t="shared" si="58"/>
        <v>-0.39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-0.39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1.0</v>
      </c>
      <c r="F55" s="106" t="s">
        <v>72</v>
      </c>
      <c r="G55" s="107">
        <v>0.0</v>
      </c>
      <c r="H55" s="108"/>
      <c r="I55" s="96" t="s">
        <v>98</v>
      </c>
      <c r="J55" s="97" t="s">
        <v>73</v>
      </c>
      <c r="K55" s="109"/>
      <c r="L55" s="118" t="str">
        <f>Rodrigo!MH36</f>
        <v>Alemanha</v>
      </c>
      <c r="M55" s="119">
        <f>VLOOKUP(L55,Rodrigo!$LM$35:$LU$38,2,FALSE)</f>
        <v>6</v>
      </c>
      <c r="N55" s="120">
        <f>VLOOKUP(L55,Rodrigo!$LM$35:$LU$38,3,FALSE)</f>
        <v>3</v>
      </c>
      <c r="O55" s="120">
        <f>VLOOKUP(L55,Rodrigo!$LM$35:$LU$38,4,FALSE)</f>
        <v>2</v>
      </c>
      <c r="P55" s="120">
        <f>VLOOKUP(L55,Rodrigo!$LM$35:$LU$38,5,FALSE)</f>
        <v>0</v>
      </c>
      <c r="Q55" s="120">
        <f>VLOOKUP(L55,Rodrigo!$LM$35:$LU$38,6,FALSE)</f>
        <v>1</v>
      </c>
      <c r="R55" s="120">
        <f>VLOOKUP(L55,Rodrigo!$LM$35:$LU$38,7,FALSE)</f>
        <v>4</v>
      </c>
      <c r="S55" s="120">
        <f>VLOOKUP(L55,Rodrigo!$LM$35:$LU$38,8,FALSE)</f>
        <v>3</v>
      </c>
      <c r="T55" s="121">
        <f>VLOOKUP(L55,Rodrigo!$LM$35:$LU$38,9,FALSE)</f>
        <v>1</v>
      </c>
      <c r="U55" s="53"/>
      <c r="V55" s="59" t="s">
        <v>81</v>
      </c>
      <c r="W55" s="122" t="str">
        <f t="shared" si="62"/>
        <v>Alemanha</v>
      </c>
      <c r="X55" s="236">
        <f>IF(AND(W55&lt;&gt;"",'Resultado Oficial'!W54&lt;&gt;"",'Resultado Oficial'!W55&lt;&gt;""),IF(W55='Resultado Oficial'!W55,5,IF(W55='Resultado Oficial'!W54,2,0)),"")</f>
        <v>0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0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1.0</v>
      </c>
      <c r="F56" s="106" t="s">
        <v>72</v>
      </c>
      <c r="G56" s="107">
        <v>2.0</v>
      </c>
      <c r="H56" s="108"/>
      <c r="I56" s="96" t="s">
        <v>93</v>
      </c>
      <c r="J56" s="97" t="s">
        <v>80</v>
      </c>
      <c r="K56" s="109"/>
      <c r="L56" s="118" t="str">
        <f>Rodrigo!MH37</f>
        <v>Japão</v>
      </c>
      <c r="M56" s="119">
        <f>VLOOKUP(L56,Rodrigo!$LM$35:$LU$38,2,FALSE)</f>
        <v>2</v>
      </c>
      <c r="N56" s="120">
        <f>VLOOKUP(L56,Rodrigo!$LM$35:$LU$38,3,FALSE)</f>
        <v>3</v>
      </c>
      <c r="O56" s="120">
        <f>VLOOKUP(L56,Rodrigo!$LM$35:$LU$38,4,FALSE)</f>
        <v>0</v>
      </c>
      <c r="P56" s="120">
        <f>VLOOKUP(L56,Rodrigo!$LM$35:$LU$38,5,FALSE)</f>
        <v>1</v>
      </c>
      <c r="Q56" s="120">
        <f>VLOOKUP(L56,Rodrigo!$LM$35:$LU$38,6,FALSE)</f>
        <v>2</v>
      </c>
      <c r="R56" s="120">
        <f>VLOOKUP(L56,Rodrigo!$LM$35:$LU$38,7,FALSE)</f>
        <v>3</v>
      </c>
      <c r="S56" s="120">
        <f>VLOOKUP(L56,Rodrigo!$LM$35:$LU$38,8,FALSE)</f>
        <v>5</v>
      </c>
      <c r="T56" s="121">
        <f>VLOOKUP(L56,Rodrigo!$LM$35:$LU$38,9,FALSE)</f>
        <v>-2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1.0</v>
      </c>
      <c r="F57" s="106" t="s">
        <v>72</v>
      </c>
      <c r="G57" s="107">
        <v>2.0</v>
      </c>
      <c r="H57" s="108"/>
      <c r="I57" s="96" t="s">
        <v>98</v>
      </c>
      <c r="J57" s="97" t="s">
        <v>73</v>
      </c>
      <c r="K57" s="123"/>
      <c r="L57" s="124" t="str">
        <f>Rodrigo!MH38</f>
        <v>Costa Rica</v>
      </c>
      <c r="M57" s="125">
        <f>VLOOKUP(L57,Rodrigo!$LM$35:$LU$38,2,FALSE)</f>
        <v>1</v>
      </c>
      <c r="N57" s="126">
        <f>VLOOKUP(L57,Rodrigo!$LM$35:$LU$38,3,FALSE)</f>
        <v>3</v>
      </c>
      <c r="O57" s="126">
        <f>VLOOKUP(L57,Rodrigo!$LM$35:$LU$38,4,FALSE)</f>
        <v>0</v>
      </c>
      <c r="P57" s="126">
        <f>VLOOKUP(L57,Rodrigo!$LM$35:$LU$38,5,FALSE)</f>
        <v>1</v>
      </c>
      <c r="Q57" s="126">
        <f>VLOOKUP(L57,Rodrigo!$LM$35:$LU$38,6,FALSE)</f>
        <v>2</v>
      </c>
      <c r="R57" s="126">
        <f>VLOOKUP(L57,Rodrigo!$LM$35:$LU$38,7,FALSE)</f>
        <v>2</v>
      </c>
      <c r="S57" s="126">
        <f>VLOOKUP(L57,Rodrigo!$LM$35:$LU$38,8,FALSE)</f>
        <v>5</v>
      </c>
      <c r="T57" s="127">
        <f>VLOOKUP(L57,Rodrigo!$LM$35:$LU$38,9,FALSE)</f>
        <v>-3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3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7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1</v>
      </c>
      <c r="LR59" s="71">
        <f>IF(OR(E77="",G77=""),0,IF(E77&lt;G77,1,0))+IF(OR(E79="",G79=""),0,IF(E79&lt;G79,1,0))+IF(OR(G81="",E81=""),0,IF(G81&lt;E81,1,0))</f>
        <v>0</v>
      </c>
      <c r="LS59" s="71">
        <f>E77+E79+G81</f>
        <v>5</v>
      </c>
      <c r="LT59" s="71">
        <f>G77+G79+E81</f>
        <v>3</v>
      </c>
      <c r="LU59" s="71">
        <f t="shared" ref="LU59:LU62" si="63">LS59-LT59</f>
        <v>2</v>
      </c>
      <c r="LV59" s="70">
        <f t="shared" ref="LV59:LV62" si="64">LN59</f>
        <v>7</v>
      </c>
      <c r="LW59" s="70">
        <f t="shared" ref="LW59:LW62" si="65">LU59/10</f>
        <v>0.2</v>
      </c>
      <c r="LX59" s="70">
        <f t="shared" ref="LX59:LX62" si="66">LS59/100</f>
        <v>0.05</v>
      </c>
      <c r="LY59" s="70">
        <f t="shared" ref="LY59:LY62" si="67">SUM(LV59:LX59)</f>
        <v>7.25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7.25</v>
      </c>
      <c r="MD59" s="70">
        <f>RANK($MC$59,$MC$59:$MC$62,0)</f>
        <v>1</v>
      </c>
      <c r="ME59" s="70">
        <f>MD59</f>
        <v>1</v>
      </c>
      <c r="MF59" s="70">
        <v>1.0</v>
      </c>
      <c r="MG59" s="70">
        <f t="shared" ref="MG59:MG62" si="69">MATCH(MF59,$ME$59:$ME$62,0)</f>
        <v>1</v>
      </c>
      <c r="MH59" s="70" t="str">
        <f t="shared" ref="MH59:MH62" si="70">INDEX($LM$59:$LM$62,MG59)</f>
        <v>Portugal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2.0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1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1</v>
      </c>
      <c r="LR60" s="71">
        <f>IF(OR(G77="",E77=""),0,IF(G77&lt;E77,1,0))+IF(OR(G78="",E78=""),0,IF(G78&lt;E78,1,0))+IF(OR(E80="",G80=""),0,IF(E80&lt;G80,1,0))</f>
        <v>2</v>
      </c>
      <c r="LS60" s="71">
        <f>G77+G78+E80</f>
        <v>2</v>
      </c>
      <c r="LT60" s="71">
        <f>E77+E78+G80</f>
        <v>4</v>
      </c>
      <c r="LU60" s="71">
        <f t="shared" si="63"/>
        <v>-2</v>
      </c>
      <c r="LV60" s="70">
        <f t="shared" si="64"/>
        <v>1</v>
      </c>
      <c r="LW60" s="70">
        <f t="shared" si="65"/>
        <v>-0.2</v>
      </c>
      <c r="LX60" s="70">
        <f t="shared" si="66"/>
        <v>0.02</v>
      </c>
      <c r="LY60" s="70">
        <f t="shared" si="67"/>
        <v>0.82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0.82</v>
      </c>
      <c r="MD60" s="70">
        <f>RANK($MC$60,$MC$59:$MC$62,0)</f>
        <v>4</v>
      </c>
      <c r="ME60" s="70">
        <f>IF(OR(AND(MD59=MD60,MD59=MD61,MD59=MD62),AND(MD60=MD59,MD60=MD61),AND(MD60=MD59,MD60=MD62),MD60=MD59),MD60+1,MD60)</f>
        <v>4</v>
      </c>
      <c r="MF60" s="70">
        <v>2.0</v>
      </c>
      <c r="MG60" s="70">
        <f t="shared" si="69"/>
        <v>3</v>
      </c>
      <c r="MH60" s="70" t="str">
        <f t="shared" si="70"/>
        <v>Uruguai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1.0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10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6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0</v>
      </c>
      <c r="LR61" s="71">
        <f>IF(OR(E76="",G76=""),0,IF(E76&lt;G76,1,0))+IF(OR(G79="",E79=""),0,IF(G79&lt;E79,1,0))+IF(OR(G80="",E80=""),0,IF(G80&lt;E80,1,0))</f>
        <v>1</v>
      </c>
      <c r="LS61" s="71">
        <f>E76+G79+G80</f>
        <v>3</v>
      </c>
      <c r="LT61" s="71">
        <f>G76+E79+E80</f>
        <v>2</v>
      </c>
      <c r="LU61" s="71">
        <f t="shared" si="63"/>
        <v>1</v>
      </c>
      <c r="LV61" s="70">
        <f t="shared" si="64"/>
        <v>6</v>
      </c>
      <c r="LW61" s="70">
        <f t="shared" si="65"/>
        <v>0.1</v>
      </c>
      <c r="LX61" s="70">
        <f t="shared" si="66"/>
        <v>0.03</v>
      </c>
      <c r="LY61" s="70">
        <f t="shared" si="67"/>
        <v>6.13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6.13</v>
      </c>
      <c r="MD61" s="70">
        <f>RANK($MC$61,$MC$59:$MC$62,0)</f>
        <v>2</v>
      </c>
      <c r="ME61" s="70">
        <f>IF(OR(AND(MD59=MD60,MD59=MD61,MD59=MD62),AND(MD61=MD59,MD61=MD60)),MD61+2,IF(OR(AND(MD61=MD60,MD61=MD62),MD61=MD59,MD61=MD60),MD61+1,MD61))</f>
        <v>2</v>
      </c>
      <c r="MF61" s="70">
        <v>3.0</v>
      </c>
      <c r="MG61" s="70">
        <f t="shared" si="69"/>
        <v>4</v>
      </c>
      <c r="MH61" s="70" t="str">
        <f t="shared" si="70"/>
        <v>Coréia do Sul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2.0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Rodrigo!MH43</f>
        <v>Bélgica</v>
      </c>
      <c r="M62" s="119">
        <f>VLOOKUP(L62,Rodrigo!$LM$43:$LU$46,2,FALSE)</f>
        <v>9</v>
      </c>
      <c r="N62" s="120">
        <f>VLOOKUP(L62,Rodrigo!$LM$43:$LU$46,3,FALSE)</f>
        <v>3</v>
      </c>
      <c r="O62" s="120">
        <f>VLOOKUP(L62,Rodrigo!$LM$43:$LU$46,4,FALSE)</f>
        <v>3</v>
      </c>
      <c r="P62" s="120">
        <f>VLOOKUP(L62,Rodrigo!$LM$43:$LU$46,5,FALSE)</f>
        <v>0</v>
      </c>
      <c r="Q62" s="120">
        <f>VLOOKUP(L62,Rodrigo!$LM$43:$LU$46,6,FALSE)</f>
        <v>0</v>
      </c>
      <c r="R62" s="120">
        <f>VLOOKUP(L62,Rodrigo!$LM$43:$LU$46,7,FALSE)</f>
        <v>5</v>
      </c>
      <c r="S62" s="120">
        <f>VLOOKUP(L62,Rodrigo!$LM$43:$LU$46,8,FALSE)</f>
        <v>1</v>
      </c>
      <c r="T62" s="121">
        <f>VLOOKUP(L62,Rodrigo!$LM$43:$LU$46,9,FALSE)</f>
        <v>4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3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2</v>
      </c>
      <c r="LR62" s="71">
        <f>IF(OR(G76="",E76=""),0,IF(G76&lt;E76,1,0))+IF(OR(E78="",G78=""),0,IF(E78&lt;G78,1,0))+IF(OR(E81="",G81=""),0,IF(E81&lt;G81,1,0))</f>
        <v>1</v>
      </c>
      <c r="LS62" s="71">
        <f>G76+E78+E81</f>
        <v>2</v>
      </c>
      <c r="LT62" s="71">
        <f>E76+G78+G81</f>
        <v>3</v>
      </c>
      <c r="LU62" s="71">
        <f t="shared" si="63"/>
        <v>-1</v>
      </c>
      <c r="LV62" s="70">
        <f t="shared" si="64"/>
        <v>3</v>
      </c>
      <c r="LW62" s="70">
        <f t="shared" si="65"/>
        <v>-0.1</v>
      </c>
      <c r="LX62" s="70">
        <f t="shared" si="66"/>
        <v>0.02</v>
      </c>
      <c r="LY62" s="70">
        <f t="shared" si="67"/>
        <v>2.92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2.92</v>
      </c>
      <c r="MD62" s="70">
        <f>RANK($MC$62,$MC$59:$MC$62,0)</f>
        <v>3</v>
      </c>
      <c r="ME62" s="70">
        <f>IF(AND(MD59=MD60,MD59=MD61,MD59=MD62),MD62+3,IF(OR(AND(MD62=MD61,MD62=MD60),AND(MD62=MD60,MD62=MD59)),MD62+2,IF(OR(MD62=MD61,MD62=MD60,MD62=MD59),MD62+1,MD62)))</f>
        <v>3</v>
      </c>
      <c r="MF62" s="70">
        <v>4.0</v>
      </c>
      <c r="MG62" s="70">
        <f t="shared" si="69"/>
        <v>2</v>
      </c>
      <c r="MH62" s="70" t="str">
        <f t="shared" si="70"/>
        <v>Gana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2.0</v>
      </c>
      <c r="F63" s="106" t="s">
        <v>72</v>
      </c>
      <c r="G63" s="107">
        <v>1.0</v>
      </c>
      <c r="H63" s="108"/>
      <c r="I63" s="96" t="s">
        <v>105</v>
      </c>
      <c r="J63" s="97" t="s">
        <v>80</v>
      </c>
      <c r="K63" s="109"/>
      <c r="L63" s="118" t="str">
        <f>Rodrigo!MH44</f>
        <v>Croácia</v>
      </c>
      <c r="M63" s="119">
        <f>VLOOKUP(L63,Rodrigo!$LM$43:$LU$46,2,FALSE)</f>
        <v>6</v>
      </c>
      <c r="N63" s="120">
        <f>VLOOKUP(L63,Rodrigo!$LM$43:$LU$46,3,FALSE)</f>
        <v>3</v>
      </c>
      <c r="O63" s="120">
        <f>VLOOKUP(L63,Rodrigo!$LM$43:$LU$46,4,FALSE)</f>
        <v>2</v>
      </c>
      <c r="P63" s="120">
        <f>VLOOKUP(L63,Rodrigo!$LM$43:$LU$46,5,FALSE)</f>
        <v>0</v>
      </c>
      <c r="Q63" s="120">
        <f>VLOOKUP(L63,Rodrigo!$LM$43:$LU$46,6,FALSE)</f>
        <v>1</v>
      </c>
      <c r="R63" s="120">
        <f>VLOOKUP(L63,Rodrigo!$LM$43:$LU$46,7,FALSE)</f>
        <v>5</v>
      </c>
      <c r="S63" s="120">
        <f>VLOOKUP(L63,Rodrigo!$LM$43:$LU$46,8,FALSE)</f>
        <v>3</v>
      </c>
      <c r="T63" s="121">
        <f>VLOOKUP(L63,Rodrigo!$LM$43:$LU$46,9,FALSE)</f>
        <v>2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3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1.0</v>
      </c>
      <c r="F64" s="106" t="s">
        <v>72</v>
      </c>
      <c r="G64" s="107">
        <v>2.0</v>
      </c>
      <c r="H64" s="108"/>
      <c r="I64" s="96" t="s">
        <v>103</v>
      </c>
      <c r="J64" s="97" t="s">
        <v>88</v>
      </c>
      <c r="K64" s="109"/>
      <c r="L64" s="118" t="str">
        <f>Rodrigo!MH45</f>
        <v>Canadá</v>
      </c>
      <c r="M64" s="119">
        <f>VLOOKUP(L64,Rodrigo!$LM$43:$LU$46,2,FALSE)</f>
        <v>1</v>
      </c>
      <c r="N64" s="120">
        <f>VLOOKUP(L64,Rodrigo!$LM$43:$LU$46,3,FALSE)</f>
        <v>3</v>
      </c>
      <c r="O64" s="120">
        <f>VLOOKUP(L64,Rodrigo!$LM$43:$LU$46,4,FALSE)</f>
        <v>0</v>
      </c>
      <c r="P64" s="120">
        <f>VLOOKUP(L64,Rodrigo!$LM$43:$LU$46,5,FALSE)</f>
        <v>1</v>
      </c>
      <c r="Q64" s="120">
        <f>VLOOKUP(L64,Rodrigo!$LM$43:$LU$46,6,FALSE)</f>
        <v>2</v>
      </c>
      <c r="R64" s="120">
        <f>VLOOKUP(L64,Rodrigo!$LM$43:$LU$46,7,FALSE)</f>
        <v>1</v>
      </c>
      <c r="S64" s="120">
        <f>VLOOKUP(L64,Rodrigo!$LM$43:$LU$46,8,FALSE)</f>
        <v>3</v>
      </c>
      <c r="T64" s="121">
        <f>VLOOKUP(L64,Rodrigo!$LM$43:$LU$46,9,FALSE)</f>
        <v>-2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0.0</v>
      </c>
      <c r="F65" s="106" t="s">
        <v>72</v>
      </c>
      <c r="G65" s="107">
        <v>0.0</v>
      </c>
      <c r="H65" s="108"/>
      <c r="I65" s="96" t="s">
        <v>107</v>
      </c>
      <c r="J65" s="97" t="s">
        <v>76</v>
      </c>
      <c r="K65" s="123"/>
      <c r="L65" s="124" t="str">
        <f>Rodrigo!MH46</f>
        <v>Marrocos</v>
      </c>
      <c r="M65" s="125">
        <f>VLOOKUP(L65,Rodrigo!$LM$43:$LU$46,2,FALSE)</f>
        <v>1</v>
      </c>
      <c r="N65" s="126">
        <f>VLOOKUP(L65,Rodrigo!$LM$43:$LU$46,3,FALSE)</f>
        <v>3</v>
      </c>
      <c r="O65" s="126">
        <f>VLOOKUP(L65,Rodrigo!$LM$43:$LU$46,4,FALSE)</f>
        <v>0</v>
      </c>
      <c r="P65" s="126">
        <f>VLOOKUP(L65,Rodrigo!$LM$43:$LU$46,5,FALSE)</f>
        <v>1</v>
      </c>
      <c r="Q65" s="126">
        <f>VLOOKUP(L65,Rodrigo!$LM$43:$LU$46,6,FALSE)</f>
        <v>2</v>
      </c>
      <c r="R65" s="126">
        <f>VLOOKUP(L65,Rodrigo!$LM$43:$LU$46,7,FALSE)</f>
        <v>0</v>
      </c>
      <c r="S65" s="126">
        <f>VLOOKUP(L65,Rodrigo!$LM$43:$LU$46,8,FALSE)</f>
        <v>4</v>
      </c>
      <c r="T65" s="127">
        <f>VLOOKUP(L65,Rodrigo!$LM$43:$LU$46,9,FALSE)</f>
        <v>-4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7">
        <v>1.0</v>
      </c>
      <c r="F68" s="106" t="s">
        <v>72</v>
      </c>
      <c r="G68" s="107">
        <v>0.0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10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7">
        <v>1.0</v>
      </c>
      <c r="F69" s="106" t="s">
        <v>72</v>
      </c>
      <c r="G69" s="107">
        <v>1.0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0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6">
        <v>1.0</v>
      </c>
      <c r="F70" s="115" t="s">
        <v>72</v>
      </c>
      <c r="G70" s="116">
        <v>2.0</v>
      </c>
      <c r="H70" s="117"/>
      <c r="I70" s="96" t="s">
        <v>113</v>
      </c>
      <c r="J70" s="97" t="s">
        <v>106</v>
      </c>
      <c r="K70" s="109"/>
      <c r="L70" s="118" t="str">
        <f>Rodrigo!MH51</f>
        <v>Brasil</v>
      </c>
      <c r="M70" s="119">
        <f>VLOOKUP(L70,Rodrigo!$LM$51:$LU$54,2,FALSE)</f>
        <v>7</v>
      </c>
      <c r="N70" s="120">
        <f>VLOOKUP(L70,Rodrigo!$LM$51:$LU$54,3,FALSE)</f>
        <v>3</v>
      </c>
      <c r="O70" s="120">
        <f>VLOOKUP(L70,Rodrigo!$LM$51:$LU$54,4,FALSE)</f>
        <v>2</v>
      </c>
      <c r="P70" s="120">
        <f>VLOOKUP(L70,Rodrigo!$LM$51:$LU$54,5,FALSE)</f>
        <v>1</v>
      </c>
      <c r="Q70" s="120">
        <f>VLOOKUP(L70,Rodrigo!$LM$51:$LU$54,6,FALSE)</f>
        <v>0</v>
      </c>
      <c r="R70" s="120">
        <f>VLOOKUP(L70,Rodrigo!$LM$51:$LU$54,7,FALSE)</f>
        <v>4</v>
      </c>
      <c r="S70" s="120">
        <f>VLOOKUP(L70,Rodrigo!$LM$51:$LU$54,8,FALSE)</f>
        <v>1</v>
      </c>
      <c r="T70" s="121">
        <f>VLOOKUP(L70,Rodrigo!$LM$51:$LU$54,9,FALSE)</f>
        <v>3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0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7">
        <v>1.0</v>
      </c>
      <c r="F71" s="106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Rodrigo!MH52</f>
        <v>Sérvia</v>
      </c>
      <c r="M71" s="119">
        <f>VLOOKUP(L71,Rodrigo!$LM$51:$LU$54,2,FALSE)</f>
        <v>5</v>
      </c>
      <c r="N71" s="120">
        <f>VLOOKUP(L71,Rodrigo!$LM$51:$LU$54,3,FALSE)</f>
        <v>3</v>
      </c>
      <c r="O71" s="120">
        <f>VLOOKUP(L71,Rodrigo!$LM$51:$LU$54,4,FALSE)</f>
        <v>1</v>
      </c>
      <c r="P71" s="120">
        <f>VLOOKUP(L71,Rodrigo!$LM$51:$LU$54,5,FALSE)</f>
        <v>2</v>
      </c>
      <c r="Q71" s="120">
        <f>VLOOKUP(L71,Rodrigo!$LM$51:$LU$54,6,FALSE)</f>
        <v>0</v>
      </c>
      <c r="R71" s="120">
        <f>VLOOKUP(L71,Rodrigo!$LM$51:$LU$54,7,FALSE)</f>
        <v>4</v>
      </c>
      <c r="S71" s="120">
        <f>VLOOKUP(L71,Rodrigo!$LM$51:$LU$54,8,FALSE)</f>
        <v>3</v>
      </c>
      <c r="T71" s="121">
        <f>VLOOKUP(L71,Rodrigo!$LM$51:$LU$54,9,FALSE)</f>
        <v>1</v>
      </c>
      <c r="U71" s="53"/>
      <c r="V71" s="59" t="s">
        <v>81</v>
      </c>
      <c r="W71" s="122" t="str">
        <f t="shared" si="72"/>
        <v>Sérvia</v>
      </c>
      <c r="X71" s="236">
        <f>IF(AND(W71&lt;&gt;"",'Resultado Oficial'!W70&lt;&gt;"",'Resultado Oficial'!W71&lt;&gt;""),IF(W71='Resultado Oficial'!W71,5,IF(W71='Resultado Oficial'!W70,2,0)),"")</f>
        <v>0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10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7">
        <v>1.0</v>
      </c>
      <c r="F72" s="106" t="s">
        <v>72</v>
      </c>
      <c r="G72" s="107">
        <v>1.0</v>
      </c>
      <c r="H72" s="108"/>
      <c r="I72" s="96" t="s">
        <v>114</v>
      </c>
      <c r="J72" s="97" t="s">
        <v>97</v>
      </c>
      <c r="K72" s="109"/>
      <c r="L72" s="118" t="str">
        <f>Rodrigo!MH53</f>
        <v>Suiça</v>
      </c>
      <c r="M72" s="119">
        <f>VLOOKUP(L72,Rodrigo!$LM$51:$LU$54,2,FALSE)</f>
        <v>4</v>
      </c>
      <c r="N72" s="120">
        <f>VLOOKUP(L72,Rodrigo!$LM$51:$LU$54,3,FALSE)</f>
        <v>3</v>
      </c>
      <c r="O72" s="120">
        <f>VLOOKUP(L72,Rodrigo!$LM$51:$LU$54,4,FALSE)</f>
        <v>1</v>
      </c>
      <c r="P72" s="120">
        <f>VLOOKUP(L72,Rodrigo!$LM$51:$LU$54,5,FALSE)</f>
        <v>1</v>
      </c>
      <c r="Q72" s="120">
        <f>VLOOKUP(L72,Rodrigo!$LM$51:$LU$54,6,FALSE)</f>
        <v>1</v>
      </c>
      <c r="R72" s="120">
        <f>VLOOKUP(L72,Rodrigo!$LM$51:$LU$54,7,FALSE)</f>
        <v>2</v>
      </c>
      <c r="S72" s="120">
        <f>VLOOKUP(L72,Rodrigo!$LM$51:$LU$54,8,FALSE)</f>
        <v>2</v>
      </c>
      <c r="T72" s="121">
        <f>VLOOKUP(L72,Rodrigo!$LM$51:$LU$54,9,FALSE)</f>
        <v>0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7">
        <v>0.0</v>
      </c>
      <c r="F73" s="106" t="s">
        <v>72</v>
      </c>
      <c r="G73" s="107">
        <v>2.0</v>
      </c>
      <c r="H73" s="108"/>
      <c r="I73" s="96" t="s">
        <v>111</v>
      </c>
      <c r="J73" s="97" t="s">
        <v>94</v>
      </c>
      <c r="K73" s="123"/>
      <c r="L73" s="124" t="str">
        <f>Rodrigo!MH54</f>
        <v>Camarões</v>
      </c>
      <c r="M73" s="125">
        <f>VLOOKUP(L73,Rodrigo!$LM$51:$LU$54,2,FALSE)</f>
        <v>0</v>
      </c>
      <c r="N73" s="126">
        <f>VLOOKUP(L73,Rodrigo!$LM$51:$LU$54,3,FALSE)</f>
        <v>3</v>
      </c>
      <c r="O73" s="126">
        <f>VLOOKUP(L73,Rodrigo!$LM$51:$LU$54,4,FALSE)</f>
        <v>0</v>
      </c>
      <c r="P73" s="126">
        <f>VLOOKUP(L73,Rodrigo!$LM$51:$LU$54,5,FALSE)</f>
        <v>0</v>
      </c>
      <c r="Q73" s="126">
        <f>VLOOKUP(L73,Rodrigo!$LM$51:$LU$54,6,FALSE)</f>
        <v>3</v>
      </c>
      <c r="R73" s="126">
        <f>VLOOKUP(L73,Rodrigo!$LM$51:$LU$54,7,FALSE)</f>
        <v>1</v>
      </c>
      <c r="S73" s="126">
        <f>VLOOKUP(L73,Rodrigo!$LM$51:$LU$54,8,FALSE)</f>
        <v>5</v>
      </c>
      <c r="T73" s="127">
        <f>VLOOKUP(L73,Rodrigo!$LM$51:$LU$54,9,FALSE)</f>
        <v>-4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7">
        <v>1.0</v>
      </c>
      <c r="F76" s="106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7">
        <v>2.0</v>
      </c>
      <c r="F77" s="106" t="s">
        <v>72</v>
      </c>
      <c r="G77" s="107">
        <v>1.0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6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6">
        <v>1.0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Rodrigo!MH59</f>
        <v>Portugal</v>
      </c>
      <c r="M78" s="119">
        <f>VLOOKUP(L78,Rodrigo!$LM$59:$LU$62,2,FALSE)</f>
        <v>7</v>
      </c>
      <c r="N78" s="120">
        <f>VLOOKUP(L78,Rodrigo!$LM$59:$LU$62,3,FALSE)</f>
        <v>3</v>
      </c>
      <c r="O78" s="120">
        <f>VLOOKUP(L78,Rodrigo!$LM$59:$LU$62,4,FALSE)</f>
        <v>2</v>
      </c>
      <c r="P78" s="120">
        <f>VLOOKUP(L78,Rodrigo!$LM$59:$LU$62,5,FALSE)</f>
        <v>1</v>
      </c>
      <c r="Q78" s="120">
        <f>VLOOKUP(L78,Rodrigo!$LM$59:$LU$62,6,FALSE)</f>
        <v>0</v>
      </c>
      <c r="R78" s="120">
        <f>VLOOKUP(L78,Rodrigo!$LM$59:$LU$62,7,FALSE)</f>
        <v>5</v>
      </c>
      <c r="S78" s="120">
        <f>VLOOKUP(L78,Rodrigo!$LM$59:$LU$62,8,FALSE)</f>
        <v>3</v>
      </c>
      <c r="T78" s="121">
        <f>VLOOKUP(L78,Rodrigo!$LM$59:$LU$62,9,FALSE)</f>
        <v>2</v>
      </c>
      <c r="U78" s="53"/>
      <c r="V78" s="59" t="s">
        <v>78</v>
      </c>
      <c r="W78" s="122" t="str">
        <f t="shared" ref="W78:W79" si="73">IF(N78&lt;&gt;3,"",L78)</f>
        <v>Portugal</v>
      </c>
      <c r="X78" s="236">
        <f>IF(AND(W78&lt;&gt;"",'Resultado Oficial'!W78&lt;&gt;"",'Resultado Oficial'!W79&lt;&gt;""),IF(W78='Resultado Oficial'!W78,5,IF(W78='Resultado Oficial'!W79,2,0)),"")</f>
        <v>5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7">
        <v>2.0</v>
      </c>
      <c r="F79" s="106" t="s">
        <v>72</v>
      </c>
      <c r="G79" s="107">
        <v>1.0</v>
      </c>
      <c r="H79" s="108"/>
      <c r="I79" s="96" t="s">
        <v>122</v>
      </c>
      <c r="J79" s="97" t="s">
        <v>94</v>
      </c>
      <c r="K79" s="109"/>
      <c r="L79" s="118" t="str">
        <f>Rodrigo!MH60</f>
        <v>Uruguai</v>
      </c>
      <c r="M79" s="119">
        <f>VLOOKUP(L79,Rodrigo!$LM$59:$LU$62,2,FALSE)</f>
        <v>6</v>
      </c>
      <c r="N79" s="120">
        <f>VLOOKUP(L79,Rodrigo!$LM$59:$LU$62,3,FALSE)</f>
        <v>3</v>
      </c>
      <c r="O79" s="120">
        <f>VLOOKUP(L79,Rodrigo!$LM$59:$LU$62,4,FALSE)</f>
        <v>2</v>
      </c>
      <c r="P79" s="120">
        <f>VLOOKUP(L79,Rodrigo!$LM$59:$LU$62,5,FALSE)</f>
        <v>0</v>
      </c>
      <c r="Q79" s="120">
        <f>VLOOKUP(L79,Rodrigo!$LM$59:$LU$62,6,FALSE)</f>
        <v>1</v>
      </c>
      <c r="R79" s="120">
        <f>VLOOKUP(L79,Rodrigo!$LM$59:$LU$62,7,FALSE)</f>
        <v>3</v>
      </c>
      <c r="S79" s="120">
        <f>VLOOKUP(L79,Rodrigo!$LM$59:$LU$62,8,FALSE)</f>
        <v>2</v>
      </c>
      <c r="T79" s="121">
        <f>VLOOKUP(L79,Rodrigo!$LM$59:$LU$62,9,FALSE)</f>
        <v>1</v>
      </c>
      <c r="U79" s="53"/>
      <c r="V79" s="59" t="s">
        <v>81</v>
      </c>
      <c r="W79" s="122" t="str">
        <f t="shared" si="73"/>
        <v>Uruguai</v>
      </c>
      <c r="X79" s="236">
        <f>IF(AND(W79&lt;&gt;"",'Resultado Oficial'!W78&lt;&gt;"",'Resultado Oficial'!W79&lt;&gt;""),IF(W79='Resultado Oficial'!W79,5,IF(W79='Resultado Oficial'!W78,2,0)),"")</f>
        <v>0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3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7">
        <v>0.0</v>
      </c>
      <c r="F80" s="106" t="s">
        <v>72</v>
      </c>
      <c r="G80" s="107">
        <v>1.0</v>
      </c>
      <c r="H80" s="108"/>
      <c r="I80" s="96" t="s">
        <v>122</v>
      </c>
      <c r="J80" s="97" t="s">
        <v>106</v>
      </c>
      <c r="K80" s="109"/>
      <c r="L80" s="118" t="str">
        <f>Rodrigo!MH61</f>
        <v>Coréia do Sul</v>
      </c>
      <c r="M80" s="119">
        <f>VLOOKUP(L80,Rodrigo!$LM$59:$LU$62,2,FALSE)</f>
        <v>3</v>
      </c>
      <c r="N80" s="120">
        <f>VLOOKUP(L80,Rodrigo!$LM$59:$LU$62,3,FALSE)</f>
        <v>3</v>
      </c>
      <c r="O80" s="120">
        <f>VLOOKUP(L80,Rodrigo!$LM$59:$LU$62,4,FALSE)</f>
        <v>0</v>
      </c>
      <c r="P80" s="120">
        <f>VLOOKUP(L80,Rodrigo!$LM$59:$LU$62,5,FALSE)</f>
        <v>2</v>
      </c>
      <c r="Q80" s="120">
        <f>VLOOKUP(L80,Rodrigo!$LM$59:$LU$62,6,FALSE)</f>
        <v>1</v>
      </c>
      <c r="R80" s="120">
        <f>VLOOKUP(L80,Rodrigo!$LM$59:$LU$62,7,FALSE)</f>
        <v>2</v>
      </c>
      <c r="S80" s="120">
        <f>VLOOKUP(L80,Rodrigo!$LM$59:$LU$62,8,FALSE)</f>
        <v>3</v>
      </c>
      <c r="T80" s="121">
        <f>VLOOKUP(L80,Rodrigo!$LM$59:$LU$62,9,FALSE)</f>
        <v>-1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3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7">
        <v>1.0</v>
      </c>
      <c r="F81" s="106" t="s">
        <v>72</v>
      </c>
      <c r="G81" s="107">
        <v>1.0</v>
      </c>
      <c r="H81" s="108"/>
      <c r="I81" s="96" t="s">
        <v>119</v>
      </c>
      <c r="J81" s="97" t="s">
        <v>99</v>
      </c>
      <c r="K81" s="123"/>
      <c r="L81" s="124" t="str">
        <f>Rodrigo!MH62</f>
        <v>Gana</v>
      </c>
      <c r="M81" s="125">
        <f>VLOOKUP(L81,Rodrigo!$LM$59:$LU$62,2,FALSE)</f>
        <v>1</v>
      </c>
      <c r="N81" s="126">
        <f>VLOOKUP(L81,Rodrigo!$LM$59:$LU$62,3,FALSE)</f>
        <v>3</v>
      </c>
      <c r="O81" s="126">
        <f>VLOOKUP(L81,Rodrigo!$LM$59:$LU$62,4,FALSE)</f>
        <v>0</v>
      </c>
      <c r="P81" s="126">
        <f>VLOOKUP(L81,Rodrigo!$LM$59:$LU$62,5,FALSE)</f>
        <v>1</v>
      </c>
      <c r="Q81" s="126">
        <f>VLOOKUP(L81,Rodrigo!$LM$59:$LU$62,6,FALSE)</f>
        <v>2</v>
      </c>
      <c r="R81" s="126">
        <f>VLOOKUP(L81,Rodrigo!$LM$59:$LU$62,7,FALSE)</f>
        <v>2</v>
      </c>
      <c r="S81" s="126">
        <f>VLOOKUP(L81,Rodrigo!$LM$59:$LU$62,8,FALSE)</f>
        <v>4</v>
      </c>
      <c r="T81" s="127">
        <f>VLOOKUP(L81,Rodrigo!$LM$59:$LU$62,9,FALSE)</f>
        <v>-2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115" t="s">
        <v>72</v>
      </c>
      <c r="G85" s="260">
        <v>1.0</v>
      </c>
      <c r="H85" s="158"/>
      <c r="I85" s="157" t="str">
        <f>IF(N31=3,L31,"2º do grupo B")</f>
        <v>País de Gales</v>
      </c>
      <c r="J85" s="159" t="s">
        <v>193</v>
      </c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62">
        <v>1.0</v>
      </c>
      <c r="E86" s="259">
        <v>1.0</v>
      </c>
      <c r="F86" s="115" t="s">
        <v>72</v>
      </c>
      <c r="G86" s="260">
        <v>1.0</v>
      </c>
      <c r="H86" s="162">
        <v>0.0</v>
      </c>
      <c r="I86" s="157" t="str">
        <f>IF(N47=3,L47,"2º do grupo D")</f>
        <v>Dinamarca</v>
      </c>
      <c r="J86" s="159" t="s">
        <v>194</v>
      </c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2.0</v>
      </c>
      <c r="F87" s="115" t="s">
        <v>72</v>
      </c>
      <c r="G87" s="260">
        <v>1.0</v>
      </c>
      <c r="H87" s="158"/>
      <c r="I87" s="157" t="str">
        <f>IF(N23=3,L23,"2º do grupo A")</f>
        <v>Equador</v>
      </c>
      <c r="J87" s="159" t="s">
        <v>195</v>
      </c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158"/>
      <c r="E88" s="259">
        <v>2.0</v>
      </c>
      <c r="F88" s="115" t="s">
        <v>72</v>
      </c>
      <c r="G88" s="260">
        <v>1.0</v>
      </c>
      <c r="H88" s="158"/>
      <c r="I88" s="157" t="str">
        <f>IF(N39=3,L39,"2º do grupo C")</f>
        <v>Polônia</v>
      </c>
      <c r="J88" s="159" t="s">
        <v>196</v>
      </c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Espanha</v>
      </c>
      <c r="D89" s="162">
        <v>1.0</v>
      </c>
      <c r="E89" s="259">
        <v>1.0</v>
      </c>
      <c r="F89" s="115" t="s">
        <v>72</v>
      </c>
      <c r="G89" s="260">
        <v>1.0</v>
      </c>
      <c r="H89" s="162">
        <v>0.0</v>
      </c>
      <c r="I89" s="157" t="str">
        <f>IF(N63=3,L63,"2º do grupo F")</f>
        <v>Croácia</v>
      </c>
      <c r="J89" s="159" t="s">
        <v>197</v>
      </c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2.0</v>
      </c>
      <c r="F90" s="115" t="s">
        <v>72</v>
      </c>
      <c r="G90" s="260">
        <v>0.0</v>
      </c>
      <c r="H90" s="158"/>
      <c r="I90" s="157" t="str">
        <f>IF(N79=3,L79,"2º do grupo H")</f>
        <v>Uruguai</v>
      </c>
      <c r="J90" s="159" t="s">
        <v>198</v>
      </c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58"/>
      <c r="E91" s="259">
        <v>1.0</v>
      </c>
      <c r="F91" s="115" t="s">
        <v>72</v>
      </c>
      <c r="G91" s="260">
        <v>2.0</v>
      </c>
      <c r="H91" s="158"/>
      <c r="I91" s="157" t="str">
        <f>IF(N55=3,L55,"2º do grupo E")</f>
        <v>Alemanha</v>
      </c>
      <c r="J91" s="159" t="s">
        <v>199</v>
      </c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Portugal</v>
      </c>
      <c r="D92" s="158"/>
      <c r="E92" s="259">
        <v>0.0</v>
      </c>
      <c r="F92" s="115" t="s">
        <v>72</v>
      </c>
      <c r="G92" s="260">
        <v>1.0</v>
      </c>
      <c r="H92" s="158"/>
      <c r="I92" s="157" t="str">
        <f>IF(N71=3,L71,"2º do grupo G")</f>
        <v>Sérvia</v>
      </c>
      <c r="J92" s="159" t="s">
        <v>200</v>
      </c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58"/>
      <c r="E95" s="259">
        <v>1.0</v>
      </c>
      <c r="F95" s="115" t="s">
        <v>72</v>
      </c>
      <c r="G95" s="260">
        <v>2.0</v>
      </c>
      <c r="H95" s="158"/>
      <c r="I95" s="157" t="str">
        <f>IF(OR(G86="",E86="",AND(G86=E86,OR(H86="",D86=""))),"Vencedor do 50",IF(G86=E86,IF(H86&gt;D86,I86,C86),IF(G86&gt;E86,I86,C86)))</f>
        <v>Argentina</v>
      </c>
      <c r="J95" s="159" t="s">
        <v>196</v>
      </c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Argentina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Espanha</v>
      </c>
      <c r="D96" s="158"/>
      <c r="E96" s="259">
        <v>0.0</v>
      </c>
      <c r="F96" s="115" t="s">
        <v>72</v>
      </c>
      <c r="G96" s="260">
        <v>1.0</v>
      </c>
      <c r="H96" s="158"/>
      <c r="I96" s="157" t="str">
        <f>IF(OR(G90="",E90="",AND(G90=E90,OR(H90="",D90=""))),"Vencedor do 52",IF(G90=E90,IF(H90&gt;D90,I90,C90),IF(G90&gt;E90,I90,C90)))</f>
        <v>Brasil</v>
      </c>
      <c r="J96" s="159" t="s">
        <v>194</v>
      </c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62">
        <v>0.0</v>
      </c>
      <c r="E97" s="259">
        <v>1.0</v>
      </c>
      <c r="F97" s="115" t="s">
        <v>72</v>
      </c>
      <c r="G97" s="260">
        <v>1.0</v>
      </c>
      <c r="H97" s="162">
        <v>1.0</v>
      </c>
      <c r="I97" s="157" t="str">
        <f>IF(OR(G88="",E88="",AND(G88=E88,OR(H88="",D88=""))),"Vencedor do 54",IF(G88=E88,IF(H88&gt;D88,I88,C88),IF(G88&gt;E88,I88,C88)))</f>
        <v>França</v>
      </c>
      <c r="J97" s="159" t="s">
        <v>193</v>
      </c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Alemanha</v>
      </c>
      <c r="D98" s="162">
        <v>2.0</v>
      </c>
      <c r="E98" s="259">
        <v>1.0</v>
      </c>
      <c r="F98" s="115" t="s">
        <v>72</v>
      </c>
      <c r="G98" s="260">
        <v>1.0</v>
      </c>
      <c r="H98" s="162">
        <v>1.0</v>
      </c>
      <c r="I98" s="157" t="str">
        <f>IF(OR(G92="",E92="",AND(G92=E92,OR(H92="",D92=""))),"Vencedor do 56",IF(G92=E92,IF(H92&gt;D92,I92,C92),IF(G92&gt;E92,I92,C92)))</f>
        <v>Sérvia</v>
      </c>
      <c r="J98" s="159" t="s">
        <v>197</v>
      </c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58"/>
      <c r="E101" s="259">
        <v>1.0</v>
      </c>
      <c r="F101" s="115" t="s">
        <v>72</v>
      </c>
      <c r="G101" s="260">
        <v>0.0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 t="s">
        <v>201</v>
      </c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França</v>
      </c>
      <c r="D102" s="162">
        <v>1.0</v>
      </c>
      <c r="E102" s="259">
        <v>1.0</v>
      </c>
      <c r="F102" s="115" t="s">
        <v>72</v>
      </c>
      <c r="G102" s="260">
        <v>1.0</v>
      </c>
      <c r="H102" s="162">
        <v>0.0</v>
      </c>
      <c r="I102" s="157" t="str">
        <f>IF(OR(G98="",E98="",AND(G98=E98,OR(H98="",D98=""))),"Vencedor do 60",IF(G98=E98,IF(H98&gt;D98,I98,C98),IF(G98&gt;E98,I98,C98)))</f>
        <v>Alemanha</v>
      </c>
      <c r="J102" s="159" t="s">
        <v>195</v>
      </c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Brasil</v>
      </c>
      <c r="D105" s="158"/>
      <c r="E105" s="259">
        <v>2.0</v>
      </c>
      <c r="F105" s="115" t="s">
        <v>72</v>
      </c>
      <c r="G105" s="260">
        <v>1.0</v>
      </c>
      <c r="H105" s="158"/>
      <c r="I105" s="183" t="str">
        <f>IF(OR(G102="",E102="",AND(G102=E102,OR(H102="",D102=""))),"    ",IF(G102=E102,IF(H102&lt;D102,I102,C102),IF(G102&lt;E102,I102,C102)))</f>
        <v>Alemanha</v>
      </c>
      <c r="J105" s="159" t="s">
        <v>201</v>
      </c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Argentina</v>
      </c>
      <c r="D108" s="249"/>
      <c r="E108" s="261">
        <v>2.0</v>
      </c>
      <c r="F108" s="251" t="s">
        <v>72</v>
      </c>
      <c r="G108" s="262">
        <v>1.0</v>
      </c>
      <c r="H108" s="249"/>
      <c r="I108" s="202" t="str">
        <f>IF(OR(G102="",E102="",AND(G102=E102,OR(H102="",D102=""))),"  ",IF(G102=E102,IF(H102&gt;D102,I102,C102),IF(G102&gt;E102,I102,C102)))</f>
        <v>França</v>
      </c>
      <c r="J108" s="253" t="s">
        <v>195</v>
      </c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1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1</v>
      </c>
      <c r="LR3" s="71">
        <f>IF(OR(E20="",G20=""),0,IF(E20&lt;G20,1,0))+IF(OR(E22="",G22=""),0,IF(E22&lt;G22,1,0))+IF(OR(G25="",E25=""),0,IF(G25&lt;E25,1,0))</f>
        <v>2</v>
      </c>
      <c r="LS3" s="71">
        <f>E20+E22+G25</f>
        <v>1</v>
      </c>
      <c r="LT3" s="71">
        <f>G20+G22+E25</f>
        <v>7</v>
      </c>
      <c r="LU3" s="71">
        <f t="shared" ref="LU3:LU6" si="1">LS3-LT3</f>
        <v>-6</v>
      </c>
      <c r="LV3" s="70">
        <f t="shared" ref="LV3:LV6" si="2">LN3</f>
        <v>1</v>
      </c>
      <c r="LW3" s="70">
        <f t="shared" ref="LW3:LW6" si="3">LU3/10</f>
        <v>-0.6</v>
      </c>
      <c r="LX3" s="70">
        <f t="shared" ref="LX3:LX6" si="4">LS3/100</f>
        <v>0.01</v>
      </c>
      <c r="LY3" s="70">
        <f t="shared" ref="LY3:LY6" si="5">SUM(LV3:LX3)</f>
        <v>0.41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0.41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3</v>
      </c>
      <c r="MH3" s="70" t="str">
        <f t="shared" ref="MH3:MH6" si="9">INDEX($LM$3:$LM$6,MG3)</f>
        <v>Senegal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1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1</v>
      </c>
      <c r="LQ4" s="71">
        <f>IF(OR(G20="",E20=""),0,IF(G20=E20,1,0))+IF(OR(G23="",E23=""),0,IF(G23=E23,1,0))+IF(OR(E25="",G25=""),0,IF(E25=G25,1,0))</f>
        <v>1</v>
      </c>
      <c r="LR4" s="71">
        <f>IF(OR(G20="",E20=""),0,IF(G20&lt;E20,1,0))+IF(OR(G23="",E23=""),0,IF(G23&lt;E23,1,0))+IF(OR(E25="",G25=""),0,IF(E25&lt;G25,1,0))</f>
        <v>1</v>
      </c>
      <c r="LS4" s="71">
        <f>G20+G23+E25</f>
        <v>4</v>
      </c>
      <c r="LT4" s="71">
        <f>E20+E23+G25</f>
        <v>3</v>
      </c>
      <c r="LU4" s="71">
        <f t="shared" si="1"/>
        <v>1</v>
      </c>
      <c r="LV4" s="70">
        <f t="shared" si="2"/>
        <v>1</v>
      </c>
      <c r="LW4" s="70">
        <f t="shared" si="3"/>
        <v>0.1</v>
      </c>
      <c r="LX4" s="70">
        <f t="shared" si="4"/>
        <v>0.04</v>
      </c>
      <c r="LY4" s="70">
        <f t="shared" si="5"/>
        <v>1.14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1.14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4</v>
      </c>
      <c r="MH4" s="70" t="str">
        <f t="shared" si="9"/>
        <v>Holanda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7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1</v>
      </c>
      <c r="LR5" s="71">
        <f>IF(OR(E21="",G21=""),0,IF(E21&lt;G21,1,0))+IF(OR(G22="",E22=""),0,IF(G22&lt;E22,1,0))+IF(OR(G24="",E24=""),0,IF(G24&lt;E24,1,0))</f>
        <v>0</v>
      </c>
      <c r="LS5" s="71">
        <f>E21+G22+G24</f>
        <v>8</v>
      </c>
      <c r="LT5" s="71">
        <f>G21+E22+E24</f>
        <v>3</v>
      </c>
      <c r="LU5" s="71">
        <f t="shared" si="1"/>
        <v>5</v>
      </c>
      <c r="LV5" s="70">
        <f t="shared" si="2"/>
        <v>7</v>
      </c>
      <c r="LW5" s="70">
        <f t="shared" si="3"/>
        <v>0.5</v>
      </c>
      <c r="LX5" s="70">
        <f t="shared" si="4"/>
        <v>0.08</v>
      </c>
      <c r="LY5" s="70">
        <f t="shared" si="5"/>
        <v>7.58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7.58</v>
      </c>
      <c r="MD5" s="70">
        <f t="shared" si="7"/>
        <v>1</v>
      </c>
      <c r="ME5" s="70">
        <f>IF(OR(AND(MD3=MD4,MD3=MD5,MD3=MD6),AND(MD5=MD3,MD5=MD4)),MD5+2,IF(OR(AND(MD5=MD4,MD5=MD6),MD5=MD3,MD5=MD4),MD5+1,MD5))</f>
        <v>1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22.5" customHeight="1">
      <c r="A6" s="222" t="s">
        <v>166</v>
      </c>
      <c r="B6" s="223"/>
      <c r="C6" s="223"/>
      <c r="D6" s="263" t="s">
        <v>203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7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2</v>
      </c>
      <c r="LQ6" s="71">
        <f>IF(OR(G21="",E21=""),0,IF(G21=E21,1,0))+IF(OR(E23="",G23=""),0,IF(E23=G23,1,0))+IF(OR(E25="",G25=""),0,IF(E25=G25,1,0))</f>
        <v>1</v>
      </c>
      <c r="LR6" s="71">
        <f>IF(OR(G21="",E21=""),0,IF(G21&lt;E21,1,0))+IF(OR(E23="",G23=""),0,IF(E23&lt;G23,1,0))+IF(OR(E25="",G25=""),0,IF(E25&lt;G25,1,0))</f>
        <v>0</v>
      </c>
      <c r="LS6" s="71">
        <f>G21+E23+E25</f>
        <v>7</v>
      </c>
      <c r="LT6" s="71">
        <f>E21+G23+G25</f>
        <v>2</v>
      </c>
      <c r="LU6" s="71">
        <f t="shared" si="1"/>
        <v>5</v>
      </c>
      <c r="LV6" s="70">
        <f t="shared" si="2"/>
        <v>7</v>
      </c>
      <c r="LW6" s="70">
        <f t="shared" si="3"/>
        <v>0.5</v>
      </c>
      <c r="LX6" s="70">
        <f t="shared" si="4"/>
        <v>0.07</v>
      </c>
      <c r="LY6" s="70">
        <f t="shared" si="5"/>
        <v>7.57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7.57</v>
      </c>
      <c r="MD6" s="70">
        <f t="shared" si="7"/>
        <v>2</v>
      </c>
      <c r="ME6" s="70">
        <f>IF(AND(MD3=MD4,MD3=MD5,MD3=MD6),MD6+3,IF(OR(AND(MD6=MD5,MD6=MD4),AND(MD6=MD4,MD6=MD3)),MD6+2,IF(OR(MD6=MD5,MD6=MD4,MD6=MD3),MD6+1,MD6)))</f>
        <v>2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64" t="s">
        <v>204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171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205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111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Oficial'!D113,20,IF(Leo!D11='Resultado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8</v>
      </c>
      <c r="LT11" s="71">
        <f>G28+G31+E32</f>
        <v>4</v>
      </c>
      <c r="LU11" s="71">
        <f t="shared" ref="LU11:LU14" si="10">LS11-LT11</f>
        <v>4</v>
      </c>
      <c r="LV11" s="70">
        <f t="shared" ref="LV11:LV14" si="11">LN11</f>
        <v>9</v>
      </c>
      <c r="LW11" s="70">
        <f t="shared" ref="LW11:LW14" si="12">LU11/10</f>
        <v>0.4</v>
      </c>
      <c r="LX11" s="70">
        <f t="shared" ref="LX11:LX14" si="13">LS11/100</f>
        <v>0.08</v>
      </c>
      <c r="LY11" s="70">
        <f t="shared" ref="LY11:LY14" si="14">SUM(LV11:LX11)</f>
        <v>9.48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9.48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181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Oficial'!D113,20,IF(Leo!D12='Resultado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3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1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2</v>
      </c>
      <c r="LS12" s="71">
        <f>G28+G30+E33</f>
        <v>2</v>
      </c>
      <c r="LT12" s="71">
        <f>E28+E30+G33</f>
        <v>5</v>
      </c>
      <c r="LU12" s="71">
        <f t="shared" si="10"/>
        <v>-3</v>
      </c>
      <c r="LV12" s="70">
        <f t="shared" si="11"/>
        <v>3</v>
      </c>
      <c r="LW12" s="70">
        <f t="shared" si="12"/>
        <v>-0.3</v>
      </c>
      <c r="LX12" s="70">
        <f t="shared" si="13"/>
        <v>0.02</v>
      </c>
      <c r="LY12" s="70">
        <f t="shared" si="14"/>
        <v>2.72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2.72</v>
      </c>
      <c r="MD12" s="70">
        <f>RANK($MC$12,$MC$11:$MC$14,0)</f>
        <v>3</v>
      </c>
      <c r="ME12" s="70">
        <f>IF(OR(AND(MD11=MD12,MD11=MD13,MD11=MD14),AND(MD12=MD11,MD12=MD13),AND(MD12=MD11,MD12=MD14),MD12=MD11),MD12+1,MD12)</f>
        <v>3</v>
      </c>
      <c r="MF12" s="70">
        <v>2.0</v>
      </c>
      <c r="MG12" s="70">
        <f t="shared" si="16"/>
        <v>3</v>
      </c>
      <c r="MH12" s="70" t="str">
        <f t="shared" si="17"/>
        <v>Estados Unidos</v>
      </c>
    </row>
    <row r="13" ht="22.5" customHeight="1">
      <c r="A13" s="222" t="s">
        <v>139</v>
      </c>
      <c r="B13" s="223"/>
      <c r="C13" s="223"/>
      <c r="D13" s="208" t="s">
        <v>89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Oficial'!D112,20,IF(Leo!D13='Resultado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6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2</v>
      </c>
      <c r="LQ13" s="71">
        <f>IF(OR(E29="",G29=""),0,IF(E29=G29,1,0))+IF(OR(G31="",E31=""),0,IF(G31=E31,1,0))+IF(OR(G33="",E33=""),0,IF(G33=E33,1,0))</f>
        <v>0</v>
      </c>
      <c r="LR13" s="71">
        <f>IF(OR(E29="",G29=""),0,IF(E29&lt;G29,1,0))+IF(OR(G31="",E31=""),0,IF(G31&lt;E31,1,0))+IF(OR(G33="",E33=""),0,IF(G33&lt;E33,1,0))</f>
        <v>1</v>
      </c>
      <c r="LS13" s="71">
        <f>E29+G31+G33</f>
        <v>4</v>
      </c>
      <c r="LT13" s="71">
        <f>G29+E31+E33</f>
        <v>2</v>
      </c>
      <c r="LU13" s="71">
        <f t="shared" si="10"/>
        <v>2</v>
      </c>
      <c r="LV13" s="70">
        <f t="shared" si="11"/>
        <v>6</v>
      </c>
      <c r="LW13" s="70">
        <f t="shared" si="12"/>
        <v>0.2</v>
      </c>
      <c r="LX13" s="70">
        <f t="shared" si="13"/>
        <v>0.04</v>
      </c>
      <c r="LY13" s="70">
        <f t="shared" si="14"/>
        <v>6.24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6.24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2</v>
      </c>
      <c r="MF13" s="70">
        <v>3.0</v>
      </c>
      <c r="MG13" s="70">
        <f t="shared" si="16"/>
        <v>2</v>
      </c>
      <c r="MH13" s="70" t="str">
        <f t="shared" si="17"/>
        <v>Irã</v>
      </c>
    </row>
    <row r="14" ht="22.5" customHeight="1">
      <c r="A14" s="222" t="s">
        <v>140</v>
      </c>
      <c r="B14" s="223"/>
      <c r="C14" s="223"/>
      <c r="D14" s="208" t="s">
        <v>85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Oficial'!D112,20,IF(Leo!D14='Resultado Oficial'!D113,20,0)))))</f>
        <v>20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0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0</v>
      </c>
      <c r="LQ14" s="71">
        <f>IF(OR(G29="",E29=""),0,IF(G29=E29,1,0))+IF(OR(E30="",G30=""),0,IF(E30=G30,1,0))+IF(OR(E32="",G32=""),0,IF(E32=G32,1,0))</f>
        <v>0</v>
      </c>
      <c r="LR14" s="71">
        <f>IF(OR(G29="",E29=""),0,IF(G29&lt;E29,1,0))+IF(OR(E30="",G30=""),0,IF(E30&lt;G30,1,0))+IF(OR(E32="",G32=""),0,IF(E32&lt;G32,1,0))</f>
        <v>3</v>
      </c>
      <c r="LS14" s="71">
        <f>G29+E30+E32</f>
        <v>2</v>
      </c>
      <c r="LT14" s="71">
        <f>E29+G30+G32</f>
        <v>5</v>
      </c>
      <c r="LU14" s="71">
        <f t="shared" si="10"/>
        <v>-3</v>
      </c>
      <c r="LV14" s="70">
        <f t="shared" si="11"/>
        <v>0</v>
      </c>
      <c r="LW14" s="70">
        <f t="shared" si="12"/>
        <v>-0.3</v>
      </c>
      <c r="LX14" s="70">
        <f t="shared" si="13"/>
        <v>0.02</v>
      </c>
      <c r="LY14" s="70">
        <f t="shared" si="14"/>
        <v>-0.28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-0.28</v>
      </c>
      <c r="MD14" s="70">
        <f>RANK($MC$14,$MC$11:$MC$14,0)</f>
        <v>4</v>
      </c>
      <c r="ME14" s="70">
        <f>IF(AND(MD11=MD12,MD11=MD13,MD11=MD14),MD14+3,IF(OR(AND(MD14=MD13,MD14=MD12),AND(MD14=MD12,MD14=MD11)),MD14+2,IF(OR(MD14=MD13,MD14=MD12,MD14=MD11),MD14+1,MD14)))</f>
        <v>4</v>
      </c>
      <c r="MF14" s="70">
        <v>4.0</v>
      </c>
      <c r="MG14" s="70">
        <f t="shared" si="16"/>
        <v>4</v>
      </c>
      <c r="MH14" s="70" t="str">
        <f t="shared" si="17"/>
        <v>País de Gales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110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7</v>
      </c>
      <c r="LT19" s="71">
        <f>G36+G39+E40</f>
        <v>3</v>
      </c>
      <c r="LU19" s="71">
        <f t="shared" ref="LU19:LU22" si="18">LS19-LT19</f>
        <v>4</v>
      </c>
      <c r="LV19" s="70">
        <f t="shared" ref="LV19:LV22" si="19">LN19</f>
        <v>7</v>
      </c>
      <c r="LW19" s="70">
        <f t="shared" ref="LW19:LW22" si="20">LU19/10</f>
        <v>0.4</v>
      </c>
      <c r="LX19" s="70">
        <f t="shared" ref="LX19:LX22" si="21">LS19/100</f>
        <v>0.07</v>
      </c>
      <c r="LY19" s="70">
        <f t="shared" ref="LY19:LY22" si="22">SUM(LV19:LX19)</f>
        <v>7.47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7.47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92">
        <v>1.0</v>
      </c>
      <c r="F20" s="93" t="s">
        <v>72</v>
      </c>
      <c r="G20" s="94">
        <v>1.0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1</v>
      </c>
      <c r="LT20" s="71">
        <f>E36+E38+G41</f>
        <v>7</v>
      </c>
      <c r="LU20" s="71">
        <f t="shared" si="18"/>
        <v>-6</v>
      </c>
      <c r="LV20" s="70">
        <f t="shared" si="19"/>
        <v>0</v>
      </c>
      <c r="LW20" s="70">
        <f t="shared" si="20"/>
        <v>-0.6</v>
      </c>
      <c r="LX20" s="70">
        <f t="shared" si="21"/>
        <v>0.01</v>
      </c>
      <c r="LY20" s="70">
        <f t="shared" si="22"/>
        <v>-0.59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-0.59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3</v>
      </c>
      <c r="MH20" s="70" t="str">
        <f t="shared" si="25"/>
        <v>México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2.0</v>
      </c>
      <c r="F21" s="106" t="s">
        <v>72</v>
      </c>
      <c r="G21" s="107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0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7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2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0</v>
      </c>
      <c r="LS21" s="71">
        <f>E37+G39+G41</f>
        <v>5</v>
      </c>
      <c r="LT21" s="71">
        <f>G37+E39+E41</f>
        <v>2</v>
      </c>
      <c r="LU21" s="71">
        <f t="shared" si="18"/>
        <v>3</v>
      </c>
      <c r="LV21" s="70">
        <f t="shared" si="19"/>
        <v>7</v>
      </c>
      <c r="LW21" s="70">
        <f t="shared" si="20"/>
        <v>0.3</v>
      </c>
      <c r="LX21" s="70">
        <f t="shared" si="21"/>
        <v>0.05</v>
      </c>
      <c r="LY21" s="70">
        <f t="shared" si="22"/>
        <v>7.35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7.35</v>
      </c>
      <c r="MD21" s="70">
        <f>RANK($MC$21,$MC$19:$MC$22,0)</f>
        <v>2</v>
      </c>
      <c r="ME21" s="70">
        <f>IF(OR(AND(MD19=MD20,MD19=MD21,MD19=MD22),AND(MD21=MD19,MD21=MD20)),MD21+2,IF(OR(AND(MD21=MD20,MD21=MD22),MD21=MD19,MD21=MD20),MD21+1,MD21))</f>
        <v>2</v>
      </c>
      <c r="MF21" s="70">
        <v>3.0</v>
      </c>
      <c r="MG21" s="70">
        <f t="shared" si="24"/>
        <v>4</v>
      </c>
      <c r="MH21" s="70" t="str">
        <f t="shared" si="25"/>
        <v>Polônia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3.0</v>
      </c>
      <c r="H22" s="117"/>
      <c r="I22" s="96" t="s">
        <v>61</v>
      </c>
      <c r="J22" s="97" t="s">
        <v>76</v>
      </c>
      <c r="K22" s="109"/>
      <c r="L22" s="118" t="str">
        <f>Leo!MH3</f>
        <v>Senegal</v>
      </c>
      <c r="M22" s="119">
        <f>VLOOKUP(L22,Leo!$LM$3:$LU$6,2,FALSE)</f>
        <v>7</v>
      </c>
      <c r="N22" s="120">
        <f>VLOOKUP(L22,Leo!$LM$3:$LU$6,3,FALSE)</f>
        <v>3</v>
      </c>
      <c r="O22" s="120">
        <f>VLOOKUP(L22,Leo!$LM$3:$LU$6,4,FALSE)</f>
        <v>2</v>
      </c>
      <c r="P22" s="120">
        <f>VLOOKUP(L22,Leo!$LM$3:$LU$6,5,FALSE)</f>
        <v>1</v>
      </c>
      <c r="Q22" s="120">
        <f>VLOOKUP(L22,Leo!$LM$3:$LU$6,6,FALSE)</f>
        <v>0</v>
      </c>
      <c r="R22" s="120">
        <f>VLOOKUP(L22,Leo!$LM$3:$LU$6,7,FALSE)</f>
        <v>8</v>
      </c>
      <c r="S22" s="120">
        <f>VLOOKUP(L22,Leo!$LM$3:$LU$6,8,FALSE)</f>
        <v>3</v>
      </c>
      <c r="T22" s="121">
        <f>VLOOKUP(L22,Leo!$LM$3:$LU$6,9,FALSE)</f>
        <v>5</v>
      </c>
      <c r="U22" s="52"/>
      <c r="V22" s="59" t="s">
        <v>78</v>
      </c>
      <c r="W22" s="122" t="str">
        <f t="shared" ref="W22:W23" si="26">IF(N22&lt;&gt;3,"",L22)</f>
        <v>Senegal</v>
      </c>
      <c r="X22" s="236">
        <f>IF(AND(W22&lt;&gt;"",'Resultado Oficial'!W22&lt;&gt;"",'Resultado Oficial'!W23&lt;&gt;""),IF(W22='Resultado Oficial'!W22,5,IF(W22='Resultado Oficial'!W23,2,0)),"")</f>
        <v>2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3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3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0</v>
      </c>
      <c r="LQ22" s="71">
        <f>IF(OR(G37="",E37=""),0,IF(G37=E37,1,0))+IF(OR(E38="",G38=""),0,IF(E38=G38,1,0))+IF(OR(E40="",G40=""),0,IF(E40=G40,1,0))</f>
        <v>0</v>
      </c>
      <c r="LR22" s="71">
        <f>IF(OR(G37="",E37=""),0,IF(G37&lt;E37,1,0))+IF(OR(E38="",G38=""),0,IF(E38&lt;G38,1,0))+IF(OR(E40="",G40=""),0,IF(E40&lt;G40,1,0))</f>
        <v>2</v>
      </c>
      <c r="LS22" s="71">
        <f>G37+E38+E40</f>
        <v>3</v>
      </c>
      <c r="LT22" s="71">
        <f>E37+G38+G40</f>
        <v>4</v>
      </c>
      <c r="LU22" s="71">
        <f t="shared" si="18"/>
        <v>-1</v>
      </c>
      <c r="LV22" s="70">
        <f t="shared" si="19"/>
        <v>3</v>
      </c>
      <c r="LW22" s="70">
        <f t="shared" si="20"/>
        <v>-0.1</v>
      </c>
      <c r="LX22" s="70">
        <f t="shared" si="21"/>
        <v>0.03</v>
      </c>
      <c r="LY22" s="70">
        <f t="shared" si="22"/>
        <v>2.93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2.93</v>
      </c>
      <c r="MD22" s="70">
        <f>RANK($MC$22,$MC$19:$MC$22,0)</f>
        <v>3</v>
      </c>
      <c r="ME22" s="70">
        <f>IF(AND(MD19=MD20,MD19=MD21,MD19=MD22),MD22+3,IF(OR(AND(MD22=MD21,MD22=MD20),AND(MD22=MD20,MD22=MD19)),MD22+2,IF(OR(MD22=MD21,MD22=MD20,MD22=MD19),MD22+1,MD22)))</f>
        <v>3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106" t="s">
        <v>72</v>
      </c>
      <c r="G23" s="107">
        <v>0.0</v>
      </c>
      <c r="H23" s="108"/>
      <c r="I23" s="96" t="s">
        <v>60</v>
      </c>
      <c r="J23" s="97" t="s">
        <v>80</v>
      </c>
      <c r="K23" s="109"/>
      <c r="L23" s="118" t="str">
        <f>Leo!MH4</f>
        <v>Holanda</v>
      </c>
      <c r="M23" s="119">
        <f>VLOOKUP(L23,Leo!$LM$3:$LU$6,2,FALSE)</f>
        <v>7</v>
      </c>
      <c r="N23" s="120">
        <f>VLOOKUP(L23,Leo!$LM$3:$LU$6,3,FALSE)</f>
        <v>3</v>
      </c>
      <c r="O23" s="120">
        <f>VLOOKUP(L23,Leo!$LM$3:$LU$6,4,FALSE)</f>
        <v>2</v>
      </c>
      <c r="P23" s="120">
        <f>VLOOKUP(L23,Leo!$LM$3:$LU$6,5,FALSE)</f>
        <v>1</v>
      </c>
      <c r="Q23" s="120">
        <f>VLOOKUP(L23,Leo!$LM$3:$LU$6,6,FALSE)</f>
        <v>0</v>
      </c>
      <c r="R23" s="120">
        <f>VLOOKUP(L23,Leo!$LM$3:$LU$6,7,FALSE)</f>
        <v>7</v>
      </c>
      <c r="S23" s="120">
        <f>VLOOKUP(L23,Leo!$LM$3:$LU$6,8,FALSE)</f>
        <v>2</v>
      </c>
      <c r="T23" s="121">
        <f>VLOOKUP(L23,Leo!$LM$3:$LU$6,9,FALSE)</f>
        <v>5</v>
      </c>
      <c r="U23" s="52"/>
      <c r="V23" s="59" t="s">
        <v>81</v>
      </c>
      <c r="W23" s="122" t="str">
        <f t="shared" si="26"/>
        <v>Holanda</v>
      </c>
      <c r="X23" s="236">
        <f>IF(AND(W23&lt;&gt;"",'Resultado Oficial'!W22&lt;&gt;"",'Resultado Oficial'!W23&lt;&gt;""),IF(W23='Resultado Oficial'!W23,5,IF(W23='Resultado Oficial'!W22,2,0)),"")</f>
        <v>2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1.0</v>
      </c>
      <c r="F24" s="106" t="s">
        <v>72</v>
      </c>
      <c r="G24" s="107">
        <v>3.0</v>
      </c>
      <c r="H24" s="108"/>
      <c r="I24" s="96" t="s">
        <v>61</v>
      </c>
      <c r="J24" s="97" t="s">
        <v>80</v>
      </c>
      <c r="K24" s="109"/>
      <c r="L24" s="118" t="str">
        <f>Leo!MH5</f>
        <v>Equador</v>
      </c>
      <c r="M24" s="119">
        <f>VLOOKUP(L24,Leo!$LM$3:$LU$6,2,FALSE)</f>
        <v>1</v>
      </c>
      <c r="N24" s="120">
        <f>VLOOKUP(L24,Leo!$LM$3:$LU$6,3,FALSE)</f>
        <v>3</v>
      </c>
      <c r="O24" s="120">
        <f>VLOOKUP(L24,Leo!$LM$3:$LU$6,4,FALSE)</f>
        <v>1</v>
      </c>
      <c r="P24" s="120">
        <f>VLOOKUP(L24,Leo!$LM$3:$LU$6,5,FALSE)</f>
        <v>1</v>
      </c>
      <c r="Q24" s="120">
        <f>VLOOKUP(L24,Leo!$LM$3:$LU$6,6,FALSE)</f>
        <v>1</v>
      </c>
      <c r="R24" s="120">
        <f>VLOOKUP(L24,Leo!$LM$3:$LU$6,7,FALSE)</f>
        <v>4</v>
      </c>
      <c r="S24" s="120">
        <f>VLOOKUP(L24,Leo!$LM$3:$LU$6,8,FALSE)</f>
        <v>3</v>
      </c>
      <c r="T24" s="121">
        <f>VLOOKUP(L24,Leo!$LM$3:$LU$6,9,FALSE)</f>
        <v>1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3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3.0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Leo!MH6</f>
        <v>Catar</v>
      </c>
      <c r="M25" s="125">
        <f>VLOOKUP(L25,Leo!$LM$3:$LU$6,2,FALSE)</f>
        <v>1</v>
      </c>
      <c r="N25" s="126">
        <f>VLOOKUP(L25,Leo!$LM$3:$LU$6,3,FALSE)</f>
        <v>3</v>
      </c>
      <c r="O25" s="126">
        <f>VLOOKUP(L25,Leo!$LM$3:$LU$6,4,FALSE)</f>
        <v>0</v>
      </c>
      <c r="P25" s="126">
        <f>VLOOKUP(L25,Leo!$LM$3:$LU$6,5,FALSE)</f>
        <v>1</v>
      </c>
      <c r="Q25" s="126">
        <f>VLOOKUP(L25,Leo!$LM$3:$LU$6,6,FALSE)</f>
        <v>2</v>
      </c>
      <c r="R25" s="126">
        <f>VLOOKUP(L25,Leo!$LM$3:$LU$6,7,FALSE)</f>
        <v>1</v>
      </c>
      <c r="S25" s="126">
        <f>VLOOKUP(L25,Leo!$LM$3:$LU$6,8,FALSE)</f>
        <v>7</v>
      </c>
      <c r="T25" s="127">
        <f>VLOOKUP(L25,Leo!$LM$3:$LU$6,9,FALSE)</f>
        <v>-6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6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2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1</v>
      </c>
      <c r="LS27" s="71">
        <f>E45+E47+G49</f>
        <v>6</v>
      </c>
      <c r="LT27" s="71">
        <f>G45+G47+E49</f>
        <v>2</v>
      </c>
      <c r="LU27" s="71">
        <f t="shared" ref="LU27:LU30" si="27">LS27-LT27</f>
        <v>4</v>
      </c>
      <c r="LV27" s="70">
        <f t="shared" ref="LV27:LV30" si="28">LN27</f>
        <v>6</v>
      </c>
      <c r="LW27" s="70">
        <f t="shared" ref="LW27:LW30" si="29">LU27/10</f>
        <v>0.4</v>
      </c>
      <c r="LX27" s="70">
        <f t="shared" ref="LX27:LX30" si="30">LS27/100</f>
        <v>0.06</v>
      </c>
      <c r="LY27" s="70">
        <f t="shared" ref="LY27:LY30" si="31">SUM(LV27:LX27)</f>
        <v>6.46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6.46</v>
      </c>
      <c r="MD27" s="70">
        <f>RANK($MC$27,$MC$27:$MC$30,0)</f>
        <v>2</v>
      </c>
      <c r="ME27" s="70">
        <f>MD27</f>
        <v>2</v>
      </c>
      <c r="MF27" s="70">
        <v>1.0</v>
      </c>
      <c r="MG27" s="70">
        <f t="shared" ref="MG27:MG30" si="33">MATCH(MF27,$ME$27:$ME$30,0)</f>
        <v>3</v>
      </c>
      <c r="MH27" s="70" t="str">
        <f t="shared" ref="MH27:MH30" si="34">INDEX($LM$27:$LM$30,MG27)</f>
        <v>Dinamarca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3.0</v>
      </c>
      <c r="F28" s="106" t="s">
        <v>72</v>
      </c>
      <c r="G28" s="107">
        <v>1.0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1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1</v>
      </c>
      <c r="LR28" s="71">
        <f>IF(OR(G45="",E45=""),0,IF(G45&lt;E45,1,0))+IF(OR(G46="",E46=""),0,IF(G46&lt;E46,1,0))+IF(OR(E48="",G48=""),0,IF(E48&lt;G48,1,0))</f>
        <v>2</v>
      </c>
      <c r="LS28" s="71">
        <f>G45+G46+E48</f>
        <v>3</v>
      </c>
      <c r="LT28" s="71">
        <f>E45+E46+G48</f>
        <v>7</v>
      </c>
      <c r="LU28" s="71">
        <f t="shared" si="27"/>
        <v>-4</v>
      </c>
      <c r="LV28" s="70">
        <f t="shared" si="28"/>
        <v>1</v>
      </c>
      <c r="LW28" s="70">
        <f t="shared" si="29"/>
        <v>-0.4</v>
      </c>
      <c r="LX28" s="70">
        <f t="shared" si="30"/>
        <v>0.03</v>
      </c>
      <c r="LY28" s="70">
        <f t="shared" si="31"/>
        <v>0.63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0.63</v>
      </c>
      <c r="MD28" s="70">
        <f>RANK($MC$28,$MC$27:$MC$30,0)</f>
        <v>4</v>
      </c>
      <c r="ME28" s="70">
        <f>IF(OR(AND(MD27=MD28,MD27=MD29,MD27=MD30),AND(MD28=MD27,MD28=MD29),AND(MD28=MD27,MD28=MD30),MD28=MD27),MD28+1,MD28)</f>
        <v>4</v>
      </c>
      <c r="MF28" s="70">
        <v>2.0</v>
      </c>
      <c r="MG28" s="70">
        <f t="shared" si="33"/>
        <v>1</v>
      </c>
      <c r="MH28" s="70" t="str">
        <f t="shared" si="34"/>
        <v>França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1.0</v>
      </c>
      <c r="F29" s="106" t="s">
        <v>72</v>
      </c>
      <c r="G29" s="107">
        <v>0.0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9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3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0</v>
      </c>
      <c r="LS29" s="71">
        <f>E44+G47+G48</f>
        <v>7</v>
      </c>
      <c r="LT29" s="71">
        <f>G44+E47+E48</f>
        <v>2</v>
      </c>
      <c r="LU29" s="71">
        <f t="shared" si="27"/>
        <v>5</v>
      </c>
      <c r="LV29" s="70">
        <f t="shared" si="28"/>
        <v>9</v>
      </c>
      <c r="LW29" s="70">
        <f t="shared" si="29"/>
        <v>0.5</v>
      </c>
      <c r="LX29" s="70">
        <f t="shared" si="30"/>
        <v>0.07</v>
      </c>
      <c r="LY29" s="70">
        <f t="shared" si="31"/>
        <v>9.57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9.57</v>
      </c>
      <c r="MD29" s="70">
        <f>RANK($MC$29,$MC$27:$MC$30,0)</f>
        <v>1</v>
      </c>
      <c r="ME29" s="70">
        <f>IF(OR(AND(MD27=MD28,MD27=MD29,MD27=MD30),AND(MD29=MD27,MD29=MD28)),MD29+2,IF(OR(AND(MD29=MD28,MD29=MD30),MD29=MD27,MD29=MD28),MD29+1,MD29))</f>
        <v>1</v>
      </c>
      <c r="MF29" s="70">
        <v>3.0</v>
      </c>
      <c r="MG29" s="70">
        <f t="shared" si="33"/>
        <v>4</v>
      </c>
      <c r="MH29" s="70" t="str">
        <f t="shared" si="34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0.0</v>
      </c>
      <c r="F30" s="115" t="s">
        <v>72</v>
      </c>
      <c r="G30" s="116">
        <v>1.0</v>
      </c>
      <c r="H30" s="117"/>
      <c r="I30" s="96" t="s">
        <v>65</v>
      </c>
      <c r="J30" s="97" t="s">
        <v>88</v>
      </c>
      <c r="K30" s="109"/>
      <c r="L30" s="118" t="str">
        <f>Leo!MH11</f>
        <v>Inglaterra</v>
      </c>
      <c r="M30" s="119">
        <f>VLOOKUP(L30,Leo!$LM$11:$LU$14,2,FALSE)</f>
        <v>9</v>
      </c>
      <c r="N30" s="120">
        <f>VLOOKUP(L30,Leo!$LM$11:$LU$14,3,FALSE)</f>
        <v>3</v>
      </c>
      <c r="O30" s="120">
        <f>VLOOKUP(L30,Leo!$LM$11:$LU$14,4,FALSE)</f>
        <v>3</v>
      </c>
      <c r="P30" s="120">
        <f>VLOOKUP(L30,Leo!$LM$11:$LU$14,5,FALSE)</f>
        <v>0</v>
      </c>
      <c r="Q30" s="120">
        <f>VLOOKUP(L30,Leo!$LM$11:$LU$14,6,FALSE)</f>
        <v>0</v>
      </c>
      <c r="R30" s="120">
        <f>VLOOKUP(L30,Leo!$LM$11:$LU$14,7,FALSE)</f>
        <v>8</v>
      </c>
      <c r="S30" s="120">
        <f>VLOOKUP(L30,Leo!$LM$11:$LU$14,8,FALSE)</f>
        <v>4</v>
      </c>
      <c r="T30" s="121">
        <f>VLOOKUP(L30,Leo!$LM$11:$LU$14,9,FALSE)</f>
        <v>4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3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2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2</v>
      </c>
      <c r="LS30" s="71">
        <f>G44+E46+E49</f>
        <v>4</v>
      </c>
      <c r="LT30" s="71">
        <f>E44+G46+G49</f>
        <v>9</v>
      </c>
      <c r="LU30" s="71">
        <f t="shared" si="27"/>
        <v>-5</v>
      </c>
      <c r="LV30" s="70">
        <f t="shared" si="28"/>
        <v>2</v>
      </c>
      <c r="LW30" s="70">
        <f t="shared" si="29"/>
        <v>-0.5</v>
      </c>
      <c r="LX30" s="70">
        <f t="shared" si="30"/>
        <v>0.04</v>
      </c>
      <c r="LY30" s="70">
        <f t="shared" si="31"/>
        <v>1.54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1.54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3"/>
        <v>2</v>
      </c>
      <c r="MH30" s="70" t="str">
        <f t="shared" si="34"/>
        <v>Austrália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2.0</v>
      </c>
      <c r="F31" s="106" t="s">
        <v>72</v>
      </c>
      <c r="G31" s="107">
        <v>1.0</v>
      </c>
      <c r="H31" s="108"/>
      <c r="I31" s="96" t="s">
        <v>66</v>
      </c>
      <c r="J31" s="97" t="s">
        <v>73</v>
      </c>
      <c r="K31" s="109"/>
      <c r="L31" s="118" t="str">
        <f>Leo!MH12</f>
        <v>Estados Unidos</v>
      </c>
      <c r="M31" s="119">
        <f>VLOOKUP(L31,Leo!$LM$11:$LU$14,2,FALSE)</f>
        <v>6</v>
      </c>
      <c r="N31" s="120">
        <f>VLOOKUP(L31,Leo!$LM$11:$LU$14,3,FALSE)</f>
        <v>3</v>
      </c>
      <c r="O31" s="120">
        <f>VLOOKUP(L31,Leo!$LM$11:$LU$14,4,FALSE)</f>
        <v>2</v>
      </c>
      <c r="P31" s="120">
        <f>VLOOKUP(L31,Leo!$LM$11:$LU$14,5,FALSE)</f>
        <v>0</v>
      </c>
      <c r="Q31" s="120">
        <f>VLOOKUP(L31,Leo!$LM$11:$LU$14,6,FALSE)</f>
        <v>1</v>
      </c>
      <c r="R31" s="120">
        <f>VLOOKUP(L31,Leo!$LM$11:$LU$14,7,FALSE)</f>
        <v>4</v>
      </c>
      <c r="S31" s="120">
        <f>VLOOKUP(L31,Leo!$LM$11:$LU$14,8,FALSE)</f>
        <v>2</v>
      </c>
      <c r="T31" s="121">
        <f>VLOOKUP(L31,Leo!$LM$11:$LU$14,9,FALSE)</f>
        <v>2</v>
      </c>
      <c r="U31" s="53"/>
      <c r="V31" s="59" t="s">
        <v>81</v>
      </c>
      <c r="W31" s="122" t="str">
        <f t="shared" si="35"/>
        <v>Estados Unidos</v>
      </c>
      <c r="X31" s="236">
        <f>IF(AND(W31&lt;&gt;"",'Resultado Oficial'!W30&lt;&gt;"",'Resultado Oficial'!W31&lt;&gt;""),IF(W31='Resultado Oficial'!W31,5,IF(W31='Resultado Oficial'!W30,2,0)),"")</f>
        <v>5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2.0</v>
      </c>
      <c r="F32" s="106" t="s">
        <v>72</v>
      </c>
      <c r="G32" s="107">
        <v>3.0</v>
      </c>
      <c r="H32" s="108"/>
      <c r="I32" s="96" t="s">
        <v>64</v>
      </c>
      <c r="J32" s="97" t="s">
        <v>88</v>
      </c>
      <c r="K32" s="109"/>
      <c r="L32" s="118" t="str">
        <f>Leo!MH13</f>
        <v>Irã</v>
      </c>
      <c r="M32" s="119">
        <f>VLOOKUP(L32,Leo!$LM$11:$LU$14,2,FALSE)</f>
        <v>3</v>
      </c>
      <c r="N32" s="120">
        <f>VLOOKUP(L32,Leo!$LM$11:$LU$14,3,FALSE)</f>
        <v>3</v>
      </c>
      <c r="O32" s="120">
        <f>VLOOKUP(L32,Leo!$LM$11:$LU$14,4,FALSE)</f>
        <v>1</v>
      </c>
      <c r="P32" s="120">
        <f>VLOOKUP(L32,Leo!$LM$11:$LU$14,5,FALSE)</f>
        <v>0</v>
      </c>
      <c r="Q32" s="120">
        <f>VLOOKUP(L32,Leo!$LM$11:$LU$14,6,FALSE)</f>
        <v>2</v>
      </c>
      <c r="R32" s="120">
        <f>VLOOKUP(L32,Leo!$LM$11:$LU$14,7,FALSE)</f>
        <v>2</v>
      </c>
      <c r="S32" s="120">
        <f>VLOOKUP(L32,Leo!$LM$11:$LU$14,8,FALSE)</f>
        <v>5</v>
      </c>
      <c r="T32" s="121">
        <f>VLOOKUP(L32,Leo!$LM$11:$LU$14,9,FALSE)</f>
        <v>-3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106" t="s">
        <v>72</v>
      </c>
      <c r="G33" s="107">
        <v>2.0</v>
      </c>
      <c r="H33" s="108"/>
      <c r="I33" s="96" t="s">
        <v>66</v>
      </c>
      <c r="J33" s="97" t="s">
        <v>76</v>
      </c>
      <c r="K33" s="123"/>
      <c r="L33" s="124" t="str">
        <f>Leo!MH14</f>
        <v>País de Gales</v>
      </c>
      <c r="M33" s="125">
        <f>VLOOKUP(L33,Leo!$LM$11:$LU$14,2,FALSE)</f>
        <v>0</v>
      </c>
      <c r="N33" s="126">
        <f>VLOOKUP(L33,Leo!$LM$11:$LU$14,3,FALSE)</f>
        <v>3</v>
      </c>
      <c r="O33" s="126">
        <f>VLOOKUP(L33,Leo!$LM$11:$LU$14,4,FALSE)</f>
        <v>0</v>
      </c>
      <c r="P33" s="126">
        <f>VLOOKUP(L33,Leo!$LM$11:$LU$14,5,FALSE)</f>
        <v>0</v>
      </c>
      <c r="Q33" s="126">
        <f>VLOOKUP(L33,Leo!$LM$11:$LU$14,6,FALSE)</f>
        <v>3</v>
      </c>
      <c r="R33" s="126">
        <f>VLOOKUP(L33,Leo!$LM$11:$LU$14,7,FALSE)</f>
        <v>2</v>
      </c>
      <c r="S33" s="126">
        <f>VLOOKUP(L33,Leo!$LM$11:$LU$14,8,FALSE)</f>
        <v>5</v>
      </c>
      <c r="T33" s="127">
        <f>VLOOKUP(L33,Leo!$LM$11:$LU$14,9,FALSE)</f>
        <v>-3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3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0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6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0</v>
      </c>
      <c r="LR35" s="71">
        <f>IF(OR(E53="",G53=""),0,IF(E53&lt;G53,1,0))+IF(OR(E55="",G55=""),0,IF(E55&lt;G55,1,0))+IF(OR(G56="",E56=""),0,IF(G56&lt;E56,1,0))</f>
        <v>1</v>
      </c>
      <c r="LS35" s="71">
        <f>E53+E55+G56</f>
        <v>5</v>
      </c>
      <c r="LT35" s="71">
        <f>G53+G55+E56</f>
        <v>4</v>
      </c>
      <c r="LU35" s="71">
        <f t="shared" ref="LU35:LU38" si="36">LS35-LT35</f>
        <v>1</v>
      </c>
      <c r="LV35" s="70">
        <f t="shared" ref="LV35:LV38" si="37">LN35</f>
        <v>6</v>
      </c>
      <c r="LW35" s="70">
        <f t="shared" ref="LW35:LW38" si="38">LU35/10</f>
        <v>0.1</v>
      </c>
      <c r="LX35" s="70">
        <f t="shared" ref="LX35:LX38" si="39">LS35/100</f>
        <v>0.05</v>
      </c>
      <c r="LY35" s="70">
        <f t="shared" ref="LY35:LY38" si="40">SUM(LV35:LX35)</f>
        <v>6.15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6.15</v>
      </c>
      <c r="MD35" s="70">
        <f>RANK($MC$35,$MC$35:$MC$38,0)</f>
        <v>2</v>
      </c>
      <c r="ME35" s="70">
        <f>MD35</f>
        <v>2</v>
      </c>
      <c r="MF35" s="70">
        <v>1.0</v>
      </c>
      <c r="MG35" s="70">
        <f t="shared" ref="MG35:MG38" si="42">MATCH(MF35,$ME$35:$ME$38,0)</f>
        <v>3</v>
      </c>
      <c r="MH35" s="70" t="str">
        <f t="shared" ref="MH35:MH38" si="43">INDEX($LM$35:$LM$38,MG35)</f>
        <v>Alemanha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3.0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3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1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2</v>
      </c>
      <c r="LS36" s="71">
        <f>G53+G54+E57</f>
        <v>2</v>
      </c>
      <c r="LT36" s="71">
        <f>E53+E54+G57</f>
        <v>4</v>
      </c>
      <c r="LU36" s="71">
        <f t="shared" si="36"/>
        <v>-2</v>
      </c>
      <c r="LV36" s="70">
        <f t="shared" si="37"/>
        <v>3</v>
      </c>
      <c r="LW36" s="70">
        <f t="shared" si="38"/>
        <v>-0.2</v>
      </c>
      <c r="LX36" s="70">
        <f t="shared" si="39"/>
        <v>0.02</v>
      </c>
      <c r="LY36" s="70">
        <f t="shared" si="40"/>
        <v>2.82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2.82</v>
      </c>
      <c r="MD36" s="70">
        <f>RANK($MC$36,$MC$35:$MC$38,0)</f>
        <v>3</v>
      </c>
      <c r="ME36" s="70">
        <f>IF(OR(AND(MD35=MD36,MD35=MD37,MD35=MD38),AND(MD36=MD35,MD36=MD37),AND(MD36=MD35,MD36=MD38),MD36=MD35),MD36+1,MD36)</f>
        <v>3</v>
      </c>
      <c r="MF36" s="70">
        <v>2.0</v>
      </c>
      <c r="MG36" s="70">
        <f t="shared" si="42"/>
        <v>1</v>
      </c>
      <c r="MH36" s="70" t="str">
        <f t="shared" si="43"/>
        <v>Espanha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1.0</v>
      </c>
      <c r="F37" s="106" t="s">
        <v>72</v>
      </c>
      <c r="G37" s="107">
        <v>0.0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9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3</v>
      </c>
      <c r="LQ37" s="71">
        <f>IF(OR(E52="",G52=""),0,IF(E52=G52,1,0))+IF(OR(G55="",E55=""),0,IF(G55=E55,1,0))+IF(OR(G57="",E57=""),0,IF(G57=E57,1,0))</f>
        <v>0</v>
      </c>
      <c r="LR37" s="71">
        <f>IF(OR(E52="",G52=""),0,IF(E52&lt;G52,1,0))+IF(OR(G55="",E55=""),0,IF(G55&lt;E55,1,0))+IF(OR(G57="",E57=""),0,IF(G57&lt;E57,1,0))</f>
        <v>0</v>
      </c>
      <c r="LS37" s="71">
        <f>E52+G55+G57</f>
        <v>7</v>
      </c>
      <c r="LT37" s="71">
        <f>G52+E55+E57</f>
        <v>2</v>
      </c>
      <c r="LU37" s="71">
        <f t="shared" si="36"/>
        <v>5</v>
      </c>
      <c r="LV37" s="70">
        <f t="shared" si="37"/>
        <v>9</v>
      </c>
      <c r="LW37" s="70">
        <f t="shared" si="38"/>
        <v>0.5</v>
      </c>
      <c r="LX37" s="70">
        <f t="shared" si="39"/>
        <v>0.07</v>
      </c>
      <c r="LY37" s="70">
        <f t="shared" si="40"/>
        <v>9.57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9.57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1</v>
      </c>
      <c r="MF37" s="70">
        <v>3.0</v>
      </c>
      <c r="MG37" s="70">
        <f t="shared" si="42"/>
        <v>2</v>
      </c>
      <c r="MH37" s="70" t="str">
        <f t="shared" si="43"/>
        <v>Costa Rica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2.0</v>
      </c>
      <c r="F38" s="115" t="s">
        <v>72</v>
      </c>
      <c r="G38" s="116">
        <v>1.0</v>
      </c>
      <c r="H38" s="117"/>
      <c r="I38" s="96" t="s">
        <v>75</v>
      </c>
      <c r="J38" s="97" t="s">
        <v>99</v>
      </c>
      <c r="K38" s="109"/>
      <c r="L38" s="118" t="str">
        <f>Leo!MH19</f>
        <v>Argentina</v>
      </c>
      <c r="M38" s="119">
        <f>VLOOKUP(L38,Leo!$LM$19:$LU$22,2,FALSE)</f>
        <v>7</v>
      </c>
      <c r="N38" s="120">
        <f>VLOOKUP(L38,Leo!$LM$19:$LU$22,3,FALSE)</f>
        <v>3</v>
      </c>
      <c r="O38" s="120">
        <f>VLOOKUP(L38,Leo!$LM$19:$LU$22,4,FALSE)</f>
        <v>2</v>
      </c>
      <c r="P38" s="120">
        <f>VLOOKUP(L38,Leo!$LM$19:$LU$22,5,FALSE)</f>
        <v>1</v>
      </c>
      <c r="Q38" s="120">
        <f>VLOOKUP(L38,Leo!$LM$19:$LU$22,6,FALSE)</f>
        <v>0</v>
      </c>
      <c r="R38" s="120">
        <f>VLOOKUP(L38,Leo!$LM$19:$LU$22,7,FALSE)</f>
        <v>7</v>
      </c>
      <c r="S38" s="120">
        <f>VLOOKUP(L38,Leo!$LM$19:$LU$22,8,FALSE)</f>
        <v>3</v>
      </c>
      <c r="T38" s="121">
        <f>VLOOKUP(L38,Leo!$LM$19:$LU$22,9,FALSE)</f>
        <v>4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0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3</v>
      </c>
      <c r="LS38" s="71">
        <f>G52+E54+E56</f>
        <v>0</v>
      </c>
      <c r="LT38" s="71">
        <f>E52+G54+G56</f>
        <v>4</v>
      </c>
      <c r="LU38" s="71">
        <f t="shared" si="36"/>
        <v>-4</v>
      </c>
      <c r="LV38" s="70">
        <f t="shared" si="37"/>
        <v>0</v>
      </c>
      <c r="LW38" s="70">
        <f t="shared" si="38"/>
        <v>-0.4</v>
      </c>
      <c r="LX38" s="70">
        <f t="shared" si="39"/>
        <v>0</v>
      </c>
      <c r="LY38" s="70">
        <f t="shared" si="40"/>
        <v>-0.4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-0.4</v>
      </c>
      <c r="MD38" s="70">
        <f>RANK($MC$38,$MC$35:$MC$38,0)</f>
        <v>4</v>
      </c>
      <c r="ME38" s="70">
        <f>IF(AND(MD35=MD36,MD35=MD37,MD35=MD38),MD38+3,IF(OR(AND(MD38=MD37,MD38=MD36),AND(MD38=MD36,MD38=MD35)),MD38+2,IF(OR(MD38=MD37,MD38=MD36,MD38=MD35),MD38+1,MD38)))</f>
        <v>4</v>
      </c>
      <c r="MF38" s="70">
        <v>4.0</v>
      </c>
      <c r="MG38" s="70">
        <f t="shared" si="42"/>
        <v>4</v>
      </c>
      <c r="MH38" s="70" t="str">
        <f t="shared" si="43"/>
        <v>Japão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2.0</v>
      </c>
      <c r="F39" s="106" t="s">
        <v>72</v>
      </c>
      <c r="G39" s="107">
        <v>2.0</v>
      </c>
      <c r="H39" s="108"/>
      <c r="I39" s="96" t="s">
        <v>77</v>
      </c>
      <c r="J39" s="97" t="s">
        <v>94</v>
      </c>
      <c r="K39" s="109"/>
      <c r="L39" s="118" t="str">
        <f>Leo!MH20</f>
        <v>México</v>
      </c>
      <c r="M39" s="119">
        <f>VLOOKUP(L39,Leo!$LM$19:$LU$22,2,FALSE)</f>
        <v>7</v>
      </c>
      <c r="N39" s="120">
        <f>VLOOKUP(L39,Leo!$LM$19:$LU$22,3,FALSE)</f>
        <v>3</v>
      </c>
      <c r="O39" s="120">
        <f>VLOOKUP(L39,Leo!$LM$19:$LU$22,4,FALSE)</f>
        <v>2</v>
      </c>
      <c r="P39" s="120">
        <f>VLOOKUP(L39,Leo!$LM$19:$LU$22,5,FALSE)</f>
        <v>1</v>
      </c>
      <c r="Q39" s="120">
        <f>VLOOKUP(L39,Leo!$LM$19:$LU$22,6,FALSE)</f>
        <v>0</v>
      </c>
      <c r="R39" s="120">
        <f>VLOOKUP(L39,Leo!$LM$19:$LU$22,7,FALSE)</f>
        <v>5</v>
      </c>
      <c r="S39" s="120">
        <f>VLOOKUP(L39,Leo!$LM$19:$LU$22,8,FALSE)</f>
        <v>2</v>
      </c>
      <c r="T39" s="121">
        <f>VLOOKUP(L39,Leo!$LM$19:$LU$22,9,FALSE)</f>
        <v>3</v>
      </c>
      <c r="U39" s="53"/>
      <c r="V39" s="59" t="s">
        <v>81</v>
      </c>
      <c r="W39" s="122" t="str">
        <f t="shared" si="44"/>
        <v>México</v>
      </c>
      <c r="X39" s="236">
        <f>IF(AND(W39&lt;&gt;"",'Resultado Oficial'!W38&lt;&gt;"",'Resultado Oficial'!W39&lt;&gt;""),IF(W39='Resultado Oficial'!W39,5,IF(W39='Resultado Oficial'!W38,2,0)),"")</f>
        <v>0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0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1.0</v>
      </c>
      <c r="F40" s="106" t="s">
        <v>72</v>
      </c>
      <c r="G40" s="107">
        <v>2.0</v>
      </c>
      <c r="H40" s="108"/>
      <c r="I40" s="96" t="s">
        <v>71</v>
      </c>
      <c r="J40" s="97" t="s">
        <v>97</v>
      </c>
      <c r="K40" s="109"/>
      <c r="L40" s="118" t="str">
        <f>Leo!MH21</f>
        <v>Polônia</v>
      </c>
      <c r="M40" s="119">
        <f>VLOOKUP(L40,Leo!$LM$19:$LU$22,2,FALSE)</f>
        <v>3</v>
      </c>
      <c r="N40" s="120">
        <f>VLOOKUP(L40,Leo!$LM$19:$LU$22,3,FALSE)</f>
        <v>3</v>
      </c>
      <c r="O40" s="120">
        <f>VLOOKUP(L40,Leo!$LM$19:$LU$22,4,FALSE)</f>
        <v>0</v>
      </c>
      <c r="P40" s="120">
        <f>VLOOKUP(L40,Leo!$LM$19:$LU$22,5,FALSE)</f>
        <v>0</v>
      </c>
      <c r="Q40" s="120">
        <f>VLOOKUP(L40,Leo!$LM$19:$LU$22,6,FALSE)</f>
        <v>2</v>
      </c>
      <c r="R40" s="120">
        <f>VLOOKUP(L40,Leo!$LM$19:$LU$22,7,FALSE)</f>
        <v>3</v>
      </c>
      <c r="S40" s="120">
        <f>VLOOKUP(L40,Leo!$LM$19:$LU$22,8,FALSE)</f>
        <v>4</v>
      </c>
      <c r="T40" s="121">
        <f>VLOOKUP(L40,Leo!$LM$19:$LU$22,9,FALSE)</f>
        <v>-1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3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0.0</v>
      </c>
      <c r="F41" s="106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Leo!MH22</f>
        <v>Arábia Saudita</v>
      </c>
      <c r="M41" s="125">
        <f>VLOOKUP(L41,Leo!$LM$19:$LU$22,2,FALSE)</f>
        <v>0</v>
      </c>
      <c r="N41" s="126">
        <f>VLOOKUP(L41,Leo!$LM$19:$LU$22,3,FALSE)</f>
        <v>3</v>
      </c>
      <c r="O41" s="126">
        <f>VLOOKUP(L41,Leo!$LM$19:$LU$22,4,FALSE)</f>
        <v>0</v>
      </c>
      <c r="P41" s="126">
        <f>VLOOKUP(L41,Leo!$LM$19:$LU$22,5,FALSE)</f>
        <v>0</v>
      </c>
      <c r="Q41" s="126">
        <f>VLOOKUP(L41,Leo!$LM$19:$LU$22,6,FALSE)</f>
        <v>3</v>
      </c>
      <c r="R41" s="126">
        <f>VLOOKUP(L41,Leo!$LM$19:$LU$22,7,FALSE)</f>
        <v>1</v>
      </c>
      <c r="S41" s="126">
        <f>VLOOKUP(L41,Leo!$LM$19:$LU$22,8,FALSE)</f>
        <v>7</v>
      </c>
      <c r="T41" s="127">
        <f>VLOOKUP(L41,Leo!$LM$19:$LU$22,9,FALSE)</f>
        <v>-6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3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7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2</v>
      </c>
      <c r="LQ43" s="71">
        <f>IF(OR(E61="",G61=""),0,IF(E61=G61,1,0))+IF(OR(E62="",G62=""),0,IF(E62=G62,1,0))+IF(OR(G64="",E64=""),0,IF(G64=E64,1,0))</f>
        <v>1</v>
      </c>
      <c r="LR43" s="71">
        <f>IF(OR(E61="",G61=""),0,IF(E61&lt;G61,1,0))+IF(OR(E62="",G62=""),0,IF(E62&lt;G62,1,0))+IF(OR(G64="",E64=""),0,IF(G64&lt;E64,1,0))</f>
        <v>0</v>
      </c>
      <c r="LS43" s="71">
        <f>E61+E62+G64</f>
        <v>8</v>
      </c>
      <c r="LT43" s="71">
        <f>G61+G62+E64</f>
        <v>2</v>
      </c>
      <c r="LU43" s="71">
        <f t="shared" ref="LU43:LU46" si="45">LS43-LT43</f>
        <v>6</v>
      </c>
      <c r="LV43" s="70">
        <f t="shared" ref="LV43:LV46" si="46">LN43</f>
        <v>7</v>
      </c>
      <c r="LW43" s="70">
        <f t="shared" ref="LW43:LW46" si="47">LU43/10</f>
        <v>0.6</v>
      </c>
      <c r="LX43" s="70">
        <f t="shared" ref="LX43:LX46" si="48">LS43/100</f>
        <v>0.08</v>
      </c>
      <c r="LY43" s="70">
        <f t="shared" ref="LY43:LY46" si="49">SUM(LV43:LX43)</f>
        <v>7.68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7.68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4.0</v>
      </c>
      <c r="F44" s="106" t="s">
        <v>72</v>
      </c>
      <c r="G44" s="107">
        <v>1.0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0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0</v>
      </c>
      <c r="LR44" s="71">
        <f>IF(OR(G61="",E61=""),0,IF(G61&lt;E61,1,0))+IF(OR(G63="",E63=""),0,IF(G63&lt;E63,1,0))+IF(OR(E65="",G65=""),0,IF(E65&lt;G65,1,0))</f>
        <v>3</v>
      </c>
      <c r="LS44" s="71">
        <f>G61+G63+E65</f>
        <v>1</v>
      </c>
      <c r="LT44" s="71">
        <f>E61+E63+G65</f>
        <v>9</v>
      </c>
      <c r="LU44" s="71">
        <f t="shared" si="45"/>
        <v>-8</v>
      </c>
      <c r="LV44" s="70">
        <f t="shared" si="46"/>
        <v>0</v>
      </c>
      <c r="LW44" s="70">
        <f t="shared" si="47"/>
        <v>-0.8</v>
      </c>
      <c r="LX44" s="70">
        <f t="shared" si="48"/>
        <v>0.01</v>
      </c>
      <c r="LY44" s="70">
        <f t="shared" si="49"/>
        <v>-0.79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-0.79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3.0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6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3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1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2</v>
      </c>
      <c r="LS45" s="71">
        <f>E60+G62+G65</f>
        <v>2</v>
      </c>
      <c r="LT45" s="71">
        <f>G60+E62+E65</f>
        <v>4</v>
      </c>
      <c r="LU45" s="71">
        <f t="shared" si="45"/>
        <v>-2</v>
      </c>
      <c r="LV45" s="70">
        <f t="shared" si="46"/>
        <v>3</v>
      </c>
      <c r="LW45" s="70">
        <f t="shared" si="47"/>
        <v>-0.2</v>
      </c>
      <c r="LX45" s="70">
        <f t="shared" si="48"/>
        <v>0.02</v>
      </c>
      <c r="LY45" s="70">
        <f t="shared" si="49"/>
        <v>2.82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2.82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2.0</v>
      </c>
      <c r="F46" s="115" t="s">
        <v>72</v>
      </c>
      <c r="G46" s="116">
        <v>2.0</v>
      </c>
      <c r="H46" s="117"/>
      <c r="I46" s="96" t="s">
        <v>87</v>
      </c>
      <c r="J46" s="97" t="s">
        <v>106</v>
      </c>
      <c r="K46" s="109"/>
      <c r="L46" s="118" t="str">
        <f>Leo!MH27</f>
        <v>Dinamarca</v>
      </c>
      <c r="M46" s="119">
        <f>VLOOKUP(L46,Leo!$LM$27:$LU$30,2,FALSE)</f>
        <v>9</v>
      </c>
      <c r="N46" s="120">
        <f>VLOOKUP(L46,Leo!$LM$27:$LU$30,3,FALSE)</f>
        <v>3</v>
      </c>
      <c r="O46" s="120">
        <f>VLOOKUP(L46,Leo!$LM$27:$LU$30,4,FALSE)</f>
        <v>3</v>
      </c>
      <c r="P46" s="120">
        <f>VLOOKUP(L46,Leo!$LM$27:$LU$30,5,FALSE)</f>
        <v>0</v>
      </c>
      <c r="Q46" s="120">
        <f>VLOOKUP(L46,Leo!$LM$27:$LU$30,6,FALSE)</f>
        <v>0</v>
      </c>
      <c r="R46" s="120">
        <f>VLOOKUP(L46,Leo!$LM$27:$LU$30,7,FALSE)</f>
        <v>7</v>
      </c>
      <c r="S46" s="120">
        <f>VLOOKUP(L46,Leo!$LM$27:$LU$30,8,FALSE)</f>
        <v>2</v>
      </c>
      <c r="T46" s="121">
        <f>VLOOKUP(L46,Leo!$LM$27:$LU$30,9,FALSE)</f>
        <v>5</v>
      </c>
      <c r="U46" s="53"/>
      <c r="V46" s="59" t="s">
        <v>78</v>
      </c>
      <c r="W46" s="122" t="str">
        <f t="shared" ref="W46:W47" si="53">IF(N46&lt;&gt;3,"",L46)</f>
        <v>Dinamarca</v>
      </c>
      <c r="X46" s="236">
        <f>IF(AND(W46&lt;&gt;"",'Resultado Oficial'!W46&lt;&gt;"",'Resultado Oficial'!W47&lt;&gt;""),IF(W46='Resultado Oficial'!W46,5,IF(W46='Resultado Oficial'!W47,2,0)),"")</f>
        <v>0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7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2</v>
      </c>
      <c r="LQ46" s="71">
        <f>IF(OR(G60="",E60=""),0,IF(G60=E60,1,0))+IF(OR(E63="",G63=""),0,IF(E63=G63,1,0))+IF(OR(E64="",G64=""),0,IF(E64=G64,1,0))</f>
        <v>1</v>
      </c>
      <c r="LR46" s="71">
        <f>IF(OR(G60="",E60=""),0,IF(G60&lt;E60,1,0))+IF(OR(E63="",G63=""),0,IF(E63&lt;G63,1,0))+IF(OR(E64="",G64=""),0,IF(E64&lt;G64,1,0))</f>
        <v>0</v>
      </c>
      <c r="LS46" s="71">
        <f>G60+E63+E64</f>
        <v>6</v>
      </c>
      <c r="LT46" s="71">
        <f>E60+G63+G64</f>
        <v>2</v>
      </c>
      <c r="LU46" s="71">
        <f t="shared" si="45"/>
        <v>4</v>
      </c>
      <c r="LV46" s="70">
        <f t="shared" si="46"/>
        <v>7</v>
      </c>
      <c r="LW46" s="70">
        <f t="shared" si="47"/>
        <v>0.4</v>
      </c>
      <c r="LX46" s="70">
        <f t="shared" si="48"/>
        <v>0.06</v>
      </c>
      <c r="LY46" s="70">
        <f t="shared" si="49"/>
        <v>7.46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7.46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2</v>
      </c>
      <c r="MH46" s="70" t="str">
        <f t="shared" si="52"/>
        <v>Canadá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0.0</v>
      </c>
      <c r="F47" s="106" t="s">
        <v>72</v>
      </c>
      <c r="G47" s="107">
        <v>1.0</v>
      </c>
      <c r="H47" s="108"/>
      <c r="I47" s="96" t="s">
        <v>89</v>
      </c>
      <c r="J47" s="97" t="s">
        <v>97</v>
      </c>
      <c r="K47" s="109"/>
      <c r="L47" s="118" t="str">
        <f>Leo!MH28</f>
        <v>França</v>
      </c>
      <c r="M47" s="119">
        <f>VLOOKUP(L47,Leo!$LM$27:$LU$30,2,FALSE)</f>
        <v>6</v>
      </c>
      <c r="N47" s="120">
        <f>VLOOKUP(L47,Leo!$LM$27:$LU$30,3,FALSE)</f>
        <v>3</v>
      </c>
      <c r="O47" s="120">
        <f>VLOOKUP(L47,Leo!$LM$27:$LU$30,4,FALSE)</f>
        <v>2</v>
      </c>
      <c r="P47" s="120">
        <f>VLOOKUP(L47,Leo!$LM$27:$LU$30,5,FALSE)</f>
        <v>0</v>
      </c>
      <c r="Q47" s="120">
        <f>VLOOKUP(L47,Leo!$LM$27:$LU$30,6,FALSE)</f>
        <v>1</v>
      </c>
      <c r="R47" s="120">
        <f>VLOOKUP(L47,Leo!$LM$27:$LU$30,7,FALSE)</f>
        <v>6</v>
      </c>
      <c r="S47" s="120">
        <f>VLOOKUP(L47,Leo!$LM$27:$LU$30,8,FALSE)</f>
        <v>2</v>
      </c>
      <c r="T47" s="121">
        <f>VLOOKUP(L47,Leo!$LM$27:$LU$30,9,FALSE)</f>
        <v>4</v>
      </c>
      <c r="U47" s="53"/>
      <c r="V47" s="59" t="s">
        <v>81</v>
      </c>
      <c r="W47" s="122" t="str">
        <f t="shared" si="53"/>
        <v>França</v>
      </c>
      <c r="X47" s="236">
        <f>IF(AND(W47&lt;&gt;"",'Resultado Oficial'!W46&lt;&gt;"",'Resultado Oficial'!W47&lt;&gt;""),IF(W47='Resultado Oficial'!W47,5,IF(W47='Resultado Oficial'!W46,2,0)),"")</f>
        <v>2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1.0</v>
      </c>
      <c r="F48" s="106" t="s">
        <v>72</v>
      </c>
      <c r="G48" s="107">
        <v>2.0</v>
      </c>
      <c r="H48" s="108"/>
      <c r="I48" s="96" t="s">
        <v>89</v>
      </c>
      <c r="J48" s="97" t="s">
        <v>106</v>
      </c>
      <c r="K48" s="109"/>
      <c r="L48" s="118" t="str">
        <f>Leo!MH29</f>
        <v>Tunísia</v>
      </c>
      <c r="M48" s="119">
        <f>VLOOKUP(L48,Leo!$LM$27:$LU$30,2,FALSE)</f>
        <v>2</v>
      </c>
      <c r="N48" s="120">
        <f>VLOOKUP(L48,Leo!$LM$27:$LU$30,3,FALSE)</f>
        <v>3</v>
      </c>
      <c r="O48" s="120">
        <f>VLOOKUP(L48,Leo!$LM$27:$LU$30,4,FALSE)</f>
        <v>0</v>
      </c>
      <c r="P48" s="120">
        <f>VLOOKUP(L48,Leo!$LM$27:$LU$30,5,FALSE)</f>
        <v>1</v>
      </c>
      <c r="Q48" s="120">
        <f>VLOOKUP(L48,Leo!$LM$27:$LU$30,6,FALSE)</f>
        <v>2</v>
      </c>
      <c r="R48" s="120">
        <f>VLOOKUP(L48,Leo!$LM$27:$LU$30,7,FALSE)</f>
        <v>4</v>
      </c>
      <c r="S48" s="120">
        <f>VLOOKUP(L48,Leo!$LM$27:$LU$30,8,FALSE)</f>
        <v>9</v>
      </c>
      <c r="T48" s="121">
        <f>VLOOKUP(L48,Leo!$LM$27:$LU$30,9,FALSE)</f>
        <v>-5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1.0</v>
      </c>
      <c r="F49" s="106" t="s">
        <v>72</v>
      </c>
      <c r="G49" s="107">
        <v>3.0</v>
      </c>
      <c r="H49" s="108"/>
      <c r="I49" s="96" t="s">
        <v>85</v>
      </c>
      <c r="J49" s="97" t="s">
        <v>99</v>
      </c>
      <c r="K49" s="123"/>
      <c r="L49" s="124" t="str">
        <f>Leo!MH30</f>
        <v>Austrália</v>
      </c>
      <c r="M49" s="125">
        <f>VLOOKUP(L49,Leo!$LM$27:$LU$30,2,FALSE)</f>
        <v>1</v>
      </c>
      <c r="N49" s="126">
        <f>VLOOKUP(L49,Leo!$LM$27:$LU$30,3,FALSE)</f>
        <v>3</v>
      </c>
      <c r="O49" s="126">
        <f>VLOOKUP(L49,Leo!$LM$27:$LU$30,4,FALSE)</f>
        <v>0</v>
      </c>
      <c r="P49" s="126">
        <f>VLOOKUP(L49,Leo!$LM$27:$LU$30,5,FALSE)</f>
        <v>1</v>
      </c>
      <c r="Q49" s="126">
        <f>VLOOKUP(L49,Leo!$LM$27:$LU$30,6,FALSE)</f>
        <v>2</v>
      </c>
      <c r="R49" s="126">
        <f>VLOOKUP(L49,Leo!$LM$27:$LU$30,7,FALSE)</f>
        <v>3</v>
      </c>
      <c r="S49" s="126">
        <f>VLOOKUP(L49,Leo!$LM$27:$LU$30,8,FALSE)</f>
        <v>7</v>
      </c>
      <c r="T49" s="127">
        <f>VLOOKUP(L49,Leo!$LM$27:$LU$30,9,FALSE)</f>
        <v>-4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7</v>
      </c>
      <c r="LT51" s="71">
        <f>G69+G71+E73</f>
        <v>1</v>
      </c>
      <c r="LU51" s="71">
        <f t="shared" ref="LU51:LU54" si="54">LS51-LT51</f>
        <v>6</v>
      </c>
      <c r="LV51" s="70">
        <f t="shared" ref="LV51:LV54" si="55">LN51</f>
        <v>9</v>
      </c>
      <c r="LW51" s="70">
        <f t="shared" ref="LW51:LW54" si="56">LU51/10</f>
        <v>0.6</v>
      </c>
      <c r="LX51" s="70">
        <f t="shared" ref="LX51:LX54" si="57">LS51/100</f>
        <v>0.07</v>
      </c>
      <c r="LY51" s="70">
        <f t="shared" ref="LY51:LY54" si="58">SUM(LV51:LX51)</f>
        <v>9.67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9.67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2.0</v>
      </c>
      <c r="F52" s="106" t="s">
        <v>72</v>
      </c>
      <c r="G52" s="107">
        <v>0.0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6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2</v>
      </c>
      <c r="LQ52" s="71">
        <f>IF(OR(G69="",E69=""),0,IF(G69=E69,1,0))+IF(OR(G70="",E70=""),0,IF(G70=E70,1,0))+IF(OR(E72="",G72=""),0,IF(E72=G72,1,0))</f>
        <v>0</v>
      </c>
      <c r="LR52" s="71">
        <f>IF(OR(G69="",E69=""),0,IF(G69&lt;E69,1,0))+IF(OR(G70="",E70=""),0,IF(G70&lt;E70,1,0))+IF(OR(E72="",G72=""),0,IF(E72&lt;G72,1,0))</f>
        <v>1</v>
      </c>
      <c r="LS52" s="71">
        <f>G69+G70+E72</f>
        <v>6</v>
      </c>
      <c r="LT52" s="71">
        <f>E69+E70+G72</f>
        <v>3</v>
      </c>
      <c r="LU52" s="71">
        <f t="shared" si="54"/>
        <v>3</v>
      </c>
      <c r="LV52" s="70">
        <f t="shared" si="55"/>
        <v>6</v>
      </c>
      <c r="LW52" s="70">
        <f t="shared" si="56"/>
        <v>0.3</v>
      </c>
      <c r="LX52" s="70">
        <f t="shared" si="57"/>
        <v>0.06</v>
      </c>
      <c r="LY52" s="70">
        <f t="shared" si="58"/>
        <v>6.36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6.36</v>
      </c>
      <c r="MD52" s="70">
        <f>RANK($MC$52,$MC$51:$MC$54,0)</f>
        <v>2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2.0</v>
      </c>
      <c r="F53" s="106" t="s">
        <v>72</v>
      </c>
      <c r="G53" s="107">
        <v>1.0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3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1</v>
      </c>
      <c r="LQ53" s="71">
        <f>IF(OR(E68="",G68=""),0,IF(E68=G68,1,0))+IF(OR(G71="",E71=""),0,IF(G71=E71,1,0))+IF(OR(G72="",E72=""),0,IF(G72=E72,1,0))</f>
        <v>0</v>
      </c>
      <c r="LR53" s="71">
        <f>IF(OR(E68="",G68=""),0,IF(E68&lt;G68,1,0))+IF(OR(G71="",E71=""),0,IF(G71&lt;E71,1,0))+IF(OR(G72="",E72=""),0,IF(G72&lt;E72,1,0))</f>
        <v>2</v>
      </c>
      <c r="LS53" s="71">
        <f>E68+G71+G72</f>
        <v>2</v>
      </c>
      <c r="LT53" s="71">
        <f>G68+E71+E72</f>
        <v>4</v>
      </c>
      <c r="LU53" s="71">
        <f t="shared" si="54"/>
        <v>-2</v>
      </c>
      <c r="LV53" s="70">
        <f t="shared" si="55"/>
        <v>3</v>
      </c>
      <c r="LW53" s="70">
        <f t="shared" si="56"/>
        <v>-0.2</v>
      </c>
      <c r="LX53" s="70">
        <f t="shared" si="57"/>
        <v>0.02</v>
      </c>
      <c r="LY53" s="70">
        <f t="shared" si="58"/>
        <v>2.82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2.82</v>
      </c>
      <c r="MD53" s="70">
        <f>RANK($MC$53,$MC$51:$MC$54,0)</f>
        <v>3</v>
      </c>
      <c r="ME53" s="70">
        <f>IF(OR(AND(MD51=MD52,MD51=MD53,MD51=MD54),AND(MD53=MD51,MD53=MD52)),MD53+2,IF(OR(AND(MD53=MD52,MD53=MD54),MD53=MD51,MD53=MD52),MD53+1,MD53))</f>
        <v>3</v>
      </c>
      <c r="MF53" s="70">
        <v>3.0</v>
      </c>
      <c r="MG53" s="70">
        <f t="shared" si="60"/>
        <v>3</v>
      </c>
      <c r="MH53" s="70" t="str">
        <f t="shared" si="61"/>
        <v>Suiça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0.0</v>
      </c>
      <c r="F54" s="115" t="s">
        <v>72</v>
      </c>
      <c r="G54" s="116">
        <v>1.0</v>
      </c>
      <c r="H54" s="117"/>
      <c r="I54" s="96" t="s">
        <v>96</v>
      </c>
      <c r="J54" s="97" t="s">
        <v>115</v>
      </c>
      <c r="K54" s="109"/>
      <c r="L54" s="118" t="str">
        <f>Leo!MH35</f>
        <v>Alemanha</v>
      </c>
      <c r="M54" s="119">
        <f>VLOOKUP(L54,Leo!$LM$35:$LU$38,2,FALSE)</f>
        <v>9</v>
      </c>
      <c r="N54" s="120">
        <f>VLOOKUP(L54,Leo!$LM$35:$LU$38,3,FALSE)</f>
        <v>3</v>
      </c>
      <c r="O54" s="120">
        <f>VLOOKUP(L54,Leo!$LM$35:$LU$38,4,FALSE)</f>
        <v>3</v>
      </c>
      <c r="P54" s="120">
        <f>VLOOKUP(L54,Leo!$LM$35:$LU$38,5,FALSE)</f>
        <v>0</v>
      </c>
      <c r="Q54" s="120">
        <f>VLOOKUP(L54,Leo!$LM$35:$LU$38,6,FALSE)</f>
        <v>0</v>
      </c>
      <c r="R54" s="120">
        <f>VLOOKUP(L54,Leo!$LM$35:$LU$38,7,FALSE)</f>
        <v>7</v>
      </c>
      <c r="S54" s="120">
        <f>VLOOKUP(L54,Leo!$LM$35:$LU$38,8,FALSE)</f>
        <v>2</v>
      </c>
      <c r="T54" s="121">
        <f>VLOOKUP(L54,Leo!$LM$35:$LU$38,9,FALSE)</f>
        <v>5</v>
      </c>
      <c r="U54" s="53"/>
      <c r="V54" s="59" t="s">
        <v>78</v>
      </c>
      <c r="W54" s="122" t="str">
        <f t="shared" ref="W54:W55" si="62">IF(N54&lt;&gt;3,"",L54)</f>
        <v>Alemanha</v>
      </c>
      <c r="X54" s="236">
        <f>IF(AND(W54&lt;&gt;"",'Resultado Oficial'!W54&lt;&gt;"",'Resultado Oficial'!W55&lt;&gt;""),IF(W54='Resultado Oficial'!W54,5,IF(W54='Resultado Oficial'!W55,2,0)),"")</f>
        <v>0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10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0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0</v>
      </c>
      <c r="LR54" s="71">
        <f>IF(OR(G68="",E68=""),0,IF(G68&lt;E68,1,0))+IF(OR(E70="",G70=""),0,IF(E70&lt;G70,1,0))+IF(OR(E73="",G73=""),0,IF(E73&lt;G73,1,0))</f>
        <v>3</v>
      </c>
      <c r="LS54" s="71">
        <f>G68+E70+E73</f>
        <v>0</v>
      </c>
      <c r="LT54" s="71">
        <f>E68+G70+G73</f>
        <v>7</v>
      </c>
      <c r="LU54" s="71">
        <f t="shared" si="54"/>
        <v>-7</v>
      </c>
      <c r="LV54" s="70">
        <f t="shared" si="55"/>
        <v>0</v>
      </c>
      <c r="LW54" s="70">
        <f t="shared" si="56"/>
        <v>-0.7</v>
      </c>
      <c r="LX54" s="70">
        <f t="shared" si="57"/>
        <v>0</v>
      </c>
      <c r="LY54" s="70">
        <f t="shared" si="58"/>
        <v>-0.7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-0.7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2.0</v>
      </c>
      <c r="F55" s="106" t="s">
        <v>72</v>
      </c>
      <c r="G55" s="107">
        <v>3.0</v>
      </c>
      <c r="H55" s="108"/>
      <c r="I55" s="96" t="s">
        <v>98</v>
      </c>
      <c r="J55" s="97" t="s">
        <v>73</v>
      </c>
      <c r="K55" s="109"/>
      <c r="L55" s="118" t="str">
        <f>Leo!MH36</f>
        <v>Espanha</v>
      </c>
      <c r="M55" s="119">
        <f>VLOOKUP(L55,Leo!$LM$35:$LU$38,2,FALSE)</f>
        <v>6</v>
      </c>
      <c r="N55" s="120">
        <f>VLOOKUP(L55,Leo!$LM$35:$LU$38,3,FALSE)</f>
        <v>3</v>
      </c>
      <c r="O55" s="120">
        <f>VLOOKUP(L55,Leo!$LM$35:$LU$38,4,FALSE)</f>
        <v>2</v>
      </c>
      <c r="P55" s="120">
        <f>VLOOKUP(L55,Leo!$LM$35:$LU$38,5,FALSE)</f>
        <v>0</v>
      </c>
      <c r="Q55" s="120">
        <f>VLOOKUP(L55,Leo!$LM$35:$LU$38,6,FALSE)</f>
        <v>1</v>
      </c>
      <c r="R55" s="120">
        <f>VLOOKUP(L55,Leo!$LM$35:$LU$38,7,FALSE)</f>
        <v>5</v>
      </c>
      <c r="S55" s="120">
        <f>VLOOKUP(L55,Leo!$LM$35:$LU$38,8,FALSE)</f>
        <v>4</v>
      </c>
      <c r="T55" s="121">
        <f>VLOOKUP(L55,Leo!$LM$35:$LU$38,9,FALSE)</f>
        <v>1</v>
      </c>
      <c r="U55" s="53"/>
      <c r="V55" s="59" t="s">
        <v>81</v>
      </c>
      <c r="W55" s="122" t="str">
        <f t="shared" si="62"/>
        <v>Espanha</v>
      </c>
      <c r="X55" s="236">
        <f>IF(AND(W55&lt;&gt;"",'Resultado Oficial'!W54&lt;&gt;"",'Resultado Oficial'!W55&lt;&gt;""),IF(W55='Resultado Oficial'!W55,5,IF(W55='Resultado Oficial'!W54,2,0)),"")</f>
        <v>5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0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0.0</v>
      </c>
      <c r="F56" s="106" t="s">
        <v>72</v>
      </c>
      <c r="G56" s="107">
        <v>1.0</v>
      </c>
      <c r="H56" s="108"/>
      <c r="I56" s="96" t="s">
        <v>93</v>
      </c>
      <c r="J56" s="97" t="s">
        <v>80</v>
      </c>
      <c r="K56" s="109"/>
      <c r="L56" s="118" t="str">
        <f>Leo!MH37</f>
        <v>Costa Rica</v>
      </c>
      <c r="M56" s="119">
        <f>VLOOKUP(L56,Leo!$LM$35:$LU$38,2,FALSE)</f>
        <v>3</v>
      </c>
      <c r="N56" s="120">
        <f>VLOOKUP(L56,Leo!$LM$35:$LU$38,3,FALSE)</f>
        <v>3</v>
      </c>
      <c r="O56" s="120">
        <f>VLOOKUP(L56,Leo!$LM$35:$LU$38,4,FALSE)</f>
        <v>1</v>
      </c>
      <c r="P56" s="120">
        <f>VLOOKUP(L56,Leo!$LM$35:$LU$38,5,FALSE)</f>
        <v>0</v>
      </c>
      <c r="Q56" s="120">
        <f>VLOOKUP(L56,Leo!$LM$35:$LU$38,6,FALSE)</f>
        <v>2</v>
      </c>
      <c r="R56" s="120">
        <f>VLOOKUP(L56,Leo!$LM$35:$LU$38,7,FALSE)</f>
        <v>2</v>
      </c>
      <c r="S56" s="120">
        <f>VLOOKUP(L56,Leo!$LM$35:$LU$38,8,FALSE)</f>
        <v>4</v>
      </c>
      <c r="T56" s="121">
        <f>VLOOKUP(L56,Leo!$LM$35:$LU$38,9,FALSE)</f>
        <v>-2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106" t="s">
        <v>72</v>
      </c>
      <c r="G57" s="107">
        <v>2.0</v>
      </c>
      <c r="H57" s="108"/>
      <c r="I57" s="96" t="s">
        <v>98</v>
      </c>
      <c r="J57" s="97" t="s">
        <v>73</v>
      </c>
      <c r="K57" s="123"/>
      <c r="L57" s="124" t="str">
        <f>Leo!MH38</f>
        <v>Japão</v>
      </c>
      <c r="M57" s="125">
        <f>VLOOKUP(L57,Leo!$LM$35:$LU$38,2,FALSE)</f>
        <v>0</v>
      </c>
      <c r="N57" s="126">
        <f>VLOOKUP(L57,Leo!$LM$35:$LU$38,3,FALSE)</f>
        <v>3</v>
      </c>
      <c r="O57" s="126">
        <f>VLOOKUP(L57,Leo!$LM$35:$LU$38,4,FALSE)</f>
        <v>0</v>
      </c>
      <c r="P57" s="126">
        <f>VLOOKUP(L57,Leo!$LM$35:$LU$38,5,FALSE)</f>
        <v>0</v>
      </c>
      <c r="Q57" s="126">
        <f>VLOOKUP(L57,Leo!$LM$35:$LU$38,6,FALSE)</f>
        <v>3</v>
      </c>
      <c r="R57" s="126">
        <f>VLOOKUP(L57,Leo!$LM$35:$LU$38,7,FALSE)</f>
        <v>0</v>
      </c>
      <c r="S57" s="126">
        <f>VLOOKUP(L57,Leo!$LM$35:$LU$38,8,FALSE)</f>
        <v>4</v>
      </c>
      <c r="T57" s="127">
        <f>VLOOKUP(L57,Leo!$LM$35:$LU$38,9,FALSE)</f>
        <v>-4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6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1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0</v>
      </c>
      <c r="LQ59" s="71">
        <f>IF(OR(E77="",G77=""),0,IF(E77=G77,1,0))+IF(OR(E79="",G79=""),0,IF(E79=G79,1,0))+IF(OR(G81="",E81=""),0,IF(G81=E81,1,0))</f>
        <v>1</v>
      </c>
      <c r="LR59" s="71">
        <f>IF(OR(E77="",G77=""),0,IF(E77&lt;G77,1,0))+IF(OR(E79="",G79=""),0,IF(E79&lt;G79,1,0))+IF(OR(G81="",E81=""),0,IF(G81&lt;E81,1,0))</f>
        <v>2</v>
      </c>
      <c r="LS59" s="71">
        <f>E77+E79+G81</f>
        <v>3</v>
      </c>
      <c r="LT59" s="71">
        <f>G77+G79+E81</f>
        <v>5</v>
      </c>
      <c r="LU59" s="71">
        <f t="shared" ref="LU59:LU62" si="63">LS59-LT59</f>
        <v>-2</v>
      </c>
      <c r="LV59" s="70">
        <f t="shared" ref="LV59:LV62" si="64">LN59</f>
        <v>1</v>
      </c>
      <c r="LW59" s="70">
        <f t="shared" ref="LW59:LW62" si="65">LU59/10</f>
        <v>-0.2</v>
      </c>
      <c r="LX59" s="70">
        <f t="shared" ref="LX59:LX62" si="66">LS59/100</f>
        <v>0.03</v>
      </c>
      <c r="LY59" s="70">
        <f t="shared" ref="LY59:LY62" si="67">SUM(LV59:LX59)</f>
        <v>0.83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0.83</v>
      </c>
      <c r="MD59" s="70">
        <f>RANK($MC$59,$MC$59:$MC$62,0)</f>
        <v>4</v>
      </c>
      <c r="ME59" s="70">
        <f>MD59</f>
        <v>4</v>
      </c>
      <c r="MF59" s="70">
        <v>1.0</v>
      </c>
      <c r="MG59" s="70">
        <f t="shared" ref="MG59:MG62" si="69">MATCH(MF59,$ME$59:$ME$62,0)</f>
        <v>3</v>
      </c>
      <c r="MH59" s="70" t="str">
        <f t="shared" ref="MH59:MH62" si="70">INDEX($LM$59:$LM$62,MG59)</f>
        <v>Uruguai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1.0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2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2</v>
      </c>
      <c r="LR60" s="71">
        <f>IF(OR(G77="",E77=""),0,IF(G77&lt;E77,1,0))+IF(OR(G78="",E78=""),0,IF(G78&lt;E78,1,0))+IF(OR(E80="",G80=""),0,IF(E80&lt;G80,1,0))</f>
        <v>1</v>
      </c>
      <c r="LS60" s="71">
        <f>G77+G78+E80</f>
        <v>4</v>
      </c>
      <c r="LT60" s="71">
        <f>E77+E78+G80</f>
        <v>6</v>
      </c>
      <c r="LU60" s="71">
        <f t="shared" si="63"/>
        <v>-2</v>
      </c>
      <c r="LV60" s="70">
        <f t="shared" si="64"/>
        <v>2</v>
      </c>
      <c r="LW60" s="70">
        <f t="shared" si="65"/>
        <v>-0.2</v>
      </c>
      <c r="LX60" s="70">
        <f t="shared" si="66"/>
        <v>0.04</v>
      </c>
      <c r="LY60" s="70">
        <f t="shared" si="67"/>
        <v>1.84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1.84</v>
      </c>
      <c r="MD60" s="70">
        <f>RANK($MC$60,$MC$59:$MC$62,0)</f>
        <v>3</v>
      </c>
      <c r="ME60" s="70">
        <f>IF(OR(AND(MD59=MD60,MD59=MD61,MD59=MD62),AND(MD60=MD59,MD60=MD61),AND(MD60=MD59,MD60=MD62),MD60=MD59),MD60+1,MD60)</f>
        <v>3</v>
      </c>
      <c r="MF60" s="70">
        <v>2.0</v>
      </c>
      <c r="MG60" s="70">
        <f t="shared" si="69"/>
        <v>4</v>
      </c>
      <c r="MH60" s="70" t="str">
        <f t="shared" si="70"/>
        <v>Coréia do Sul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4.0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7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0</v>
      </c>
      <c r="LS61" s="71">
        <f>E76+G79+G80</f>
        <v>4</v>
      </c>
      <c r="LT61" s="71">
        <f>G76+E79+E80</f>
        <v>2</v>
      </c>
      <c r="LU61" s="71">
        <f t="shared" si="63"/>
        <v>2</v>
      </c>
      <c r="LV61" s="70">
        <f t="shared" si="64"/>
        <v>7</v>
      </c>
      <c r="LW61" s="70">
        <f t="shared" si="65"/>
        <v>0.2</v>
      </c>
      <c r="LX61" s="70">
        <f t="shared" si="66"/>
        <v>0.04</v>
      </c>
      <c r="LY61" s="70">
        <f t="shared" si="67"/>
        <v>7.24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7.24</v>
      </c>
      <c r="MD61" s="70">
        <f>RANK($MC$61,$MC$59:$MC$62,0)</f>
        <v>1</v>
      </c>
      <c r="ME61" s="70">
        <f>IF(OR(AND(MD59=MD60,MD59=MD61,MD59=MD62),AND(MD61=MD59,MD61=MD60)),MD61+2,IF(OR(AND(MD61=MD60,MD61=MD62),MD61=MD59,MD61=MD60),MD61+1,MD61))</f>
        <v>1</v>
      </c>
      <c r="MF61" s="70">
        <v>3.0</v>
      </c>
      <c r="MG61" s="70">
        <f t="shared" si="69"/>
        <v>2</v>
      </c>
      <c r="MH61" s="70" t="str">
        <f t="shared" si="70"/>
        <v>Gana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2.0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Leo!MH43</f>
        <v>Bélgica</v>
      </c>
      <c r="M62" s="119">
        <f>VLOOKUP(L62,Leo!$LM$43:$LU$46,2,FALSE)</f>
        <v>7</v>
      </c>
      <c r="N62" s="120">
        <f>VLOOKUP(L62,Leo!$LM$43:$LU$46,3,FALSE)</f>
        <v>3</v>
      </c>
      <c r="O62" s="120">
        <f>VLOOKUP(L62,Leo!$LM$43:$LU$46,4,FALSE)</f>
        <v>2</v>
      </c>
      <c r="P62" s="120">
        <f>VLOOKUP(L62,Leo!$LM$43:$LU$46,5,FALSE)</f>
        <v>1</v>
      </c>
      <c r="Q62" s="120">
        <f>VLOOKUP(L62,Leo!$LM$43:$LU$46,6,FALSE)</f>
        <v>0</v>
      </c>
      <c r="R62" s="120">
        <f>VLOOKUP(L62,Leo!$LM$43:$LU$46,7,FALSE)</f>
        <v>8</v>
      </c>
      <c r="S62" s="120">
        <f>VLOOKUP(L62,Leo!$LM$43:$LU$46,8,FALSE)</f>
        <v>2</v>
      </c>
      <c r="T62" s="121">
        <f>VLOOKUP(L62,Leo!$LM$43:$LU$46,9,FALSE)</f>
        <v>6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6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2</v>
      </c>
      <c r="LQ62" s="71">
        <f>IF(OR(G76="",E76=""),0,IF(G76=E76,1,0))+IF(OR(E78="",G78=""),0,IF(E78=G78,1,0))+IF(OR(E81="",G81=""),0,IF(E81=G81,1,0))</f>
        <v>0</v>
      </c>
      <c r="LR62" s="71">
        <f>IF(OR(G76="",E76=""),0,IF(G76&lt;E76,1,0))+IF(OR(E78="",G78=""),0,IF(E78&lt;G78,1,0))+IF(OR(E81="",G81=""),0,IF(E81&lt;G81,1,0))</f>
        <v>1</v>
      </c>
      <c r="LS62" s="71">
        <f>G76+E78+E81</f>
        <v>6</v>
      </c>
      <c r="LT62" s="71">
        <f>E76+G78+G81</f>
        <v>4</v>
      </c>
      <c r="LU62" s="71">
        <f t="shared" si="63"/>
        <v>2</v>
      </c>
      <c r="LV62" s="70">
        <f t="shared" si="64"/>
        <v>6</v>
      </c>
      <c r="LW62" s="70">
        <f t="shared" si="65"/>
        <v>0.2</v>
      </c>
      <c r="LX62" s="70">
        <f t="shared" si="66"/>
        <v>0.06</v>
      </c>
      <c r="LY62" s="70">
        <f t="shared" si="67"/>
        <v>6.26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6.26</v>
      </c>
      <c r="MD62" s="70">
        <f>RANK($MC$62,$MC$59:$MC$62,0)</f>
        <v>2</v>
      </c>
      <c r="ME62" s="70">
        <f>IF(AND(MD59=MD60,MD59=MD61,MD59=MD62),MD62+3,IF(OR(AND(MD62=MD61,MD62=MD60),AND(MD62=MD60,MD62=MD59)),MD62+2,IF(OR(MD62=MD61,MD62=MD60,MD62=MD59),MD62+1,MD62)))</f>
        <v>2</v>
      </c>
      <c r="MF62" s="70">
        <v>4.0</v>
      </c>
      <c r="MG62" s="70">
        <f t="shared" si="69"/>
        <v>1</v>
      </c>
      <c r="MH62" s="70" t="str">
        <f t="shared" si="70"/>
        <v>Portugal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3.0</v>
      </c>
      <c r="F63" s="106" t="s">
        <v>72</v>
      </c>
      <c r="G63" s="107">
        <v>0.0</v>
      </c>
      <c r="H63" s="108"/>
      <c r="I63" s="96" t="s">
        <v>105</v>
      </c>
      <c r="J63" s="97" t="s">
        <v>80</v>
      </c>
      <c r="K63" s="109"/>
      <c r="L63" s="118" t="str">
        <f>Leo!MH44</f>
        <v>Croácia</v>
      </c>
      <c r="M63" s="119">
        <f>VLOOKUP(L63,Leo!$LM$43:$LU$46,2,FALSE)</f>
        <v>7</v>
      </c>
      <c r="N63" s="120">
        <f>VLOOKUP(L63,Leo!$LM$43:$LU$46,3,FALSE)</f>
        <v>3</v>
      </c>
      <c r="O63" s="120">
        <f>VLOOKUP(L63,Leo!$LM$43:$LU$46,4,FALSE)</f>
        <v>2</v>
      </c>
      <c r="P63" s="120">
        <f>VLOOKUP(L63,Leo!$LM$43:$LU$46,5,FALSE)</f>
        <v>1</v>
      </c>
      <c r="Q63" s="120">
        <f>VLOOKUP(L63,Leo!$LM$43:$LU$46,6,FALSE)</f>
        <v>0</v>
      </c>
      <c r="R63" s="120">
        <f>VLOOKUP(L63,Leo!$LM$43:$LU$46,7,FALSE)</f>
        <v>6</v>
      </c>
      <c r="S63" s="120">
        <f>VLOOKUP(L63,Leo!$LM$43:$LU$46,8,FALSE)</f>
        <v>2</v>
      </c>
      <c r="T63" s="121">
        <f>VLOOKUP(L63,Leo!$LM$43:$LU$46,9,FALSE)</f>
        <v>4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6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2.0</v>
      </c>
      <c r="F64" s="106" t="s">
        <v>72</v>
      </c>
      <c r="G64" s="107">
        <v>2.0</v>
      </c>
      <c r="H64" s="108"/>
      <c r="I64" s="96" t="s">
        <v>103</v>
      </c>
      <c r="J64" s="97" t="s">
        <v>88</v>
      </c>
      <c r="K64" s="109"/>
      <c r="L64" s="118" t="str">
        <f>Leo!MH45</f>
        <v>Marrocos</v>
      </c>
      <c r="M64" s="119">
        <f>VLOOKUP(L64,Leo!$LM$43:$LU$46,2,FALSE)</f>
        <v>3</v>
      </c>
      <c r="N64" s="120">
        <f>VLOOKUP(L64,Leo!$LM$43:$LU$46,3,FALSE)</f>
        <v>3</v>
      </c>
      <c r="O64" s="120">
        <f>VLOOKUP(L64,Leo!$LM$43:$LU$46,4,FALSE)</f>
        <v>1</v>
      </c>
      <c r="P64" s="120">
        <f>VLOOKUP(L64,Leo!$LM$43:$LU$46,5,FALSE)</f>
        <v>0</v>
      </c>
      <c r="Q64" s="120">
        <f>VLOOKUP(L64,Leo!$LM$43:$LU$46,6,FALSE)</f>
        <v>2</v>
      </c>
      <c r="R64" s="120">
        <f>VLOOKUP(L64,Leo!$LM$43:$LU$46,7,FALSE)</f>
        <v>2</v>
      </c>
      <c r="S64" s="120">
        <f>VLOOKUP(L64,Leo!$LM$43:$LU$46,8,FALSE)</f>
        <v>4</v>
      </c>
      <c r="T64" s="121">
        <f>VLOOKUP(L64,Leo!$LM$43:$LU$46,9,FALSE)</f>
        <v>-2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3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1.0</v>
      </c>
      <c r="F65" s="106" t="s">
        <v>72</v>
      </c>
      <c r="G65" s="107">
        <v>2.0</v>
      </c>
      <c r="H65" s="108"/>
      <c r="I65" s="96" t="s">
        <v>107</v>
      </c>
      <c r="J65" s="97" t="s">
        <v>76</v>
      </c>
      <c r="K65" s="123"/>
      <c r="L65" s="124" t="str">
        <f>Leo!MH46</f>
        <v>Canadá</v>
      </c>
      <c r="M65" s="125">
        <f>VLOOKUP(L65,Leo!$LM$43:$LU$46,2,FALSE)</f>
        <v>0</v>
      </c>
      <c r="N65" s="126">
        <f>VLOOKUP(L65,Leo!$LM$43:$LU$46,3,FALSE)</f>
        <v>3</v>
      </c>
      <c r="O65" s="126">
        <f>VLOOKUP(L65,Leo!$LM$43:$LU$46,4,FALSE)</f>
        <v>0</v>
      </c>
      <c r="P65" s="126">
        <f>VLOOKUP(L65,Leo!$LM$43:$LU$46,5,FALSE)</f>
        <v>0</v>
      </c>
      <c r="Q65" s="126">
        <f>VLOOKUP(L65,Leo!$LM$43:$LU$46,6,FALSE)</f>
        <v>3</v>
      </c>
      <c r="R65" s="126">
        <f>VLOOKUP(L65,Leo!$LM$43:$LU$46,7,FALSE)</f>
        <v>1</v>
      </c>
      <c r="S65" s="126">
        <f>VLOOKUP(L65,Leo!$LM$43:$LU$46,8,FALSE)</f>
        <v>9</v>
      </c>
      <c r="T65" s="127">
        <f>VLOOKUP(L65,Leo!$LM$43:$LU$46,9,FALSE)</f>
        <v>-8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10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1.0</v>
      </c>
      <c r="F68" s="106" t="s">
        <v>72</v>
      </c>
      <c r="G68" s="107">
        <v>0.0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10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2.0</v>
      </c>
      <c r="F69" s="106" t="s">
        <v>72</v>
      </c>
      <c r="G69" s="107">
        <v>1.0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3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0.0</v>
      </c>
      <c r="F70" s="115" t="s">
        <v>72</v>
      </c>
      <c r="G70" s="116">
        <v>2.0</v>
      </c>
      <c r="H70" s="117"/>
      <c r="I70" s="96" t="s">
        <v>113</v>
      </c>
      <c r="J70" s="97" t="s">
        <v>106</v>
      </c>
      <c r="K70" s="109"/>
      <c r="L70" s="118" t="str">
        <f>Leo!MH51</f>
        <v>Brasil</v>
      </c>
      <c r="M70" s="119">
        <f>VLOOKUP(L70,Leo!$LM$51:$LU$54,2,FALSE)</f>
        <v>9</v>
      </c>
      <c r="N70" s="120">
        <f>VLOOKUP(L70,Leo!$LM$51:$LU$54,3,FALSE)</f>
        <v>3</v>
      </c>
      <c r="O70" s="120">
        <f>VLOOKUP(L70,Leo!$LM$51:$LU$54,4,FALSE)</f>
        <v>3</v>
      </c>
      <c r="P70" s="120">
        <f>VLOOKUP(L70,Leo!$LM$51:$LU$54,5,FALSE)</f>
        <v>0</v>
      </c>
      <c r="Q70" s="120">
        <f>VLOOKUP(L70,Leo!$LM$51:$LU$54,6,FALSE)</f>
        <v>0</v>
      </c>
      <c r="R70" s="120">
        <f>VLOOKUP(L70,Leo!$LM$51:$LU$54,7,FALSE)</f>
        <v>7</v>
      </c>
      <c r="S70" s="120">
        <f>VLOOKUP(L70,Leo!$LM$51:$LU$54,8,FALSE)</f>
        <v>1</v>
      </c>
      <c r="T70" s="121">
        <f>VLOOKUP(L70,Leo!$LM$51:$LU$54,9,FALSE)</f>
        <v>6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0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1.0</v>
      </c>
      <c r="F71" s="106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Leo!MH52</f>
        <v>Sérvia</v>
      </c>
      <c r="M71" s="119">
        <f>VLOOKUP(L71,Leo!$LM$51:$LU$54,2,FALSE)</f>
        <v>6</v>
      </c>
      <c r="N71" s="120">
        <f>VLOOKUP(L71,Leo!$LM$51:$LU$54,3,FALSE)</f>
        <v>3</v>
      </c>
      <c r="O71" s="120">
        <f>VLOOKUP(L71,Leo!$LM$51:$LU$54,4,FALSE)</f>
        <v>2</v>
      </c>
      <c r="P71" s="120">
        <f>VLOOKUP(L71,Leo!$LM$51:$LU$54,5,FALSE)</f>
        <v>0</v>
      </c>
      <c r="Q71" s="120">
        <f>VLOOKUP(L71,Leo!$LM$51:$LU$54,6,FALSE)</f>
        <v>1</v>
      </c>
      <c r="R71" s="120">
        <f>VLOOKUP(L71,Leo!$LM$51:$LU$54,7,FALSE)</f>
        <v>6</v>
      </c>
      <c r="S71" s="120">
        <f>VLOOKUP(L71,Leo!$LM$51:$LU$54,8,FALSE)</f>
        <v>3</v>
      </c>
      <c r="T71" s="121">
        <f>VLOOKUP(L71,Leo!$LM$51:$LU$54,9,FALSE)</f>
        <v>3</v>
      </c>
      <c r="U71" s="53"/>
      <c r="V71" s="59" t="s">
        <v>81</v>
      </c>
      <c r="W71" s="122" t="str">
        <f t="shared" si="72"/>
        <v>Sérvia</v>
      </c>
      <c r="X71" s="236">
        <f>IF(AND(W71&lt;&gt;"",'Resultado Oficial'!W70&lt;&gt;"",'Resultado Oficial'!W71&lt;&gt;""),IF(W71='Resultado Oficial'!W71,5,IF(W71='Resultado Oficial'!W70,2,0)),"")</f>
        <v>0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10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3.0</v>
      </c>
      <c r="F72" s="106" t="s">
        <v>72</v>
      </c>
      <c r="G72" s="107">
        <v>1.0</v>
      </c>
      <c r="H72" s="108"/>
      <c r="I72" s="96" t="s">
        <v>114</v>
      </c>
      <c r="J72" s="97" t="s">
        <v>97</v>
      </c>
      <c r="K72" s="109"/>
      <c r="L72" s="118" t="str">
        <f>Leo!MH53</f>
        <v>Suiça</v>
      </c>
      <c r="M72" s="119">
        <f>VLOOKUP(L72,Leo!$LM$51:$LU$54,2,FALSE)</f>
        <v>3</v>
      </c>
      <c r="N72" s="120">
        <f>VLOOKUP(L72,Leo!$LM$51:$LU$54,3,FALSE)</f>
        <v>3</v>
      </c>
      <c r="O72" s="120">
        <f>VLOOKUP(L72,Leo!$LM$51:$LU$54,4,FALSE)</f>
        <v>1</v>
      </c>
      <c r="P72" s="120">
        <f>VLOOKUP(L72,Leo!$LM$51:$LU$54,5,FALSE)</f>
        <v>0</v>
      </c>
      <c r="Q72" s="120">
        <f>VLOOKUP(L72,Leo!$LM$51:$LU$54,6,FALSE)</f>
        <v>2</v>
      </c>
      <c r="R72" s="120">
        <f>VLOOKUP(L72,Leo!$LM$51:$LU$54,7,FALSE)</f>
        <v>2</v>
      </c>
      <c r="S72" s="120">
        <f>VLOOKUP(L72,Leo!$LM$51:$LU$54,8,FALSE)</f>
        <v>4</v>
      </c>
      <c r="T72" s="121">
        <f>VLOOKUP(L72,Leo!$LM$51:$LU$54,9,FALSE)</f>
        <v>-2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0.0</v>
      </c>
      <c r="F73" s="106" t="s">
        <v>72</v>
      </c>
      <c r="G73" s="107">
        <v>4.0</v>
      </c>
      <c r="H73" s="108"/>
      <c r="I73" s="96" t="s">
        <v>111</v>
      </c>
      <c r="J73" s="97" t="s">
        <v>94</v>
      </c>
      <c r="K73" s="123"/>
      <c r="L73" s="124" t="str">
        <f>Leo!MH54</f>
        <v>Camarões</v>
      </c>
      <c r="M73" s="125">
        <f>VLOOKUP(L73,Leo!$LM$51:$LU$54,2,FALSE)</f>
        <v>0</v>
      </c>
      <c r="N73" s="126">
        <f>VLOOKUP(L73,Leo!$LM$51:$LU$54,3,FALSE)</f>
        <v>3</v>
      </c>
      <c r="O73" s="126">
        <f>VLOOKUP(L73,Leo!$LM$51:$LU$54,4,FALSE)</f>
        <v>0</v>
      </c>
      <c r="P73" s="126">
        <f>VLOOKUP(L73,Leo!$LM$51:$LU$54,5,FALSE)</f>
        <v>0</v>
      </c>
      <c r="Q73" s="126">
        <f>VLOOKUP(L73,Leo!$LM$51:$LU$54,6,FALSE)</f>
        <v>3</v>
      </c>
      <c r="R73" s="126">
        <f>VLOOKUP(L73,Leo!$LM$51:$LU$54,7,FALSE)</f>
        <v>0</v>
      </c>
      <c r="S73" s="126">
        <f>VLOOKUP(L73,Leo!$LM$51:$LU$54,8,FALSE)</f>
        <v>7</v>
      </c>
      <c r="T73" s="127">
        <f>VLOOKUP(L73,Leo!$LM$51:$LU$54,9,FALSE)</f>
        <v>-7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2.0</v>
      </c>
      <c r="F76" s="106" t="s">
        <v>72</v>
      </c>
      <c r="G76" s="107">
        <v>1.0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2.0</v>
      </c>
      <c r="F77" s="106" t="s">
        <v>72</v>
      </c>
      <c r="G77" s="107">
        <v>2.0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0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3.0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Leo!MH59</f>
        <v>Uruguai</v>
      </c>
      <c r="M78" s="119">
        <f>VLOOKUP(L78,Leo!$LM$59:$LU$62,2,FALSE)</f>
        <v>7</v>
      </c>
      <c r="N78" s="120">
        <f>VLOOKUP(L78,Leo!$LM$59:$LU$62,3,FALSE)</f>
        <v>3</v>
      </c>
      <c r="O78" s="120">
        <f>VLOOKUP(L78,Leo!$LM$59:$LU$62,4,FALSE)</f>
        <v>2</v>
      </c>
      <c r="P78" s="120">
        <f>VLOOKUP(L78,Leo!$LM$59:$LU$62,5,FALSE)</f>
        <v>1</v>
      </c>
      <c r="Q78" s="120">
        <f>VLOOKUP(L78,Leo!$LM$59:$LU$62,6,FALSE)</f>
        <v>0</v>
      </c>
      <c r="R78" s="120">
        <f>VLOOKUP(L78,Leo!$LM$59:$LU$62,7,FALSE)</f>
        <v>4</v>
      </c>
      <c r="S78" s="120">
        <f>VLOOKUP(L78,Leo!$LM$59:$LU$62,8,FALSE)</f>
        <v>2</v>
      </c>
      <c r="T78" s="121">
        <f>VLOOKUP(L78,Leo!$LM$59:$LU$62,9,FALSE)</f>
        <v>2</v>
      </c>
      <c r="U78" s="53"/>
      <c r="V78" s="59" t="s">
        <v>78</v>
      </c>
      <c r="W78" s="122" t="str">
        <f t="shared" ref="W78:W79" si="73">IF(N78&lt;&gt;3,"",L78)</f>
        <v>Uruguai</v>
      </c>
      <c r="X78" s="236">
        <f>IF(AND(W78&lt;&gt;"",'Resultado Oficial'!W78&lt;&gt;"",'Resultado Oficial'!W79&lt;&gt;""),IF(W78='Resultado Oficial'!W78,5,IF(W78='Resultado Oficial'!W79,2,0)),"")</f>
        <v>0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0.0</v>
      </c>
      <c r="F79" s="106" t="s">
        <v>72</v>
      </c>
      <c r="G79" s="107">
        <v>1.0</v>
      </c>
      <c r="H79" s="108"/>
      <c r="I79" s="96" t="s">
        <v>122</v>
      </c>
      <c r="J79" s="97" t="s">
        <v>94</v>
      </c>
      <c r="K79" s="109"/>
      <c r="L79" s="118" t="str">
        <f>Leo!MH60</f>
        <v>Coréia do Sul</v>
      </c>
      <c r="M79" s="119">
        <f>VLOOKUP(L79,Leo!$LM$59:$LU$62,2,FALSE)</f>
        <v>6</v>
      </c>
      <c r="N79" s="120">
        <f>VLOOKUP(L79,Leo!$LM$59:$LU$62,3,FALSE)</f>
        <v>3</v>
      </c>
      <c r="O79" s="120">
        <f>VLOOKUP(L79,Leo!$LM$59:$LU$62,4,FALSE)</f>
        <v>2</v>
      </c>
      <c r="P79" s="120">
        <f>VLOOKUP(L79,Leo!$LM$59:$LU$62,5,FALSE)</f>
        <v>0</v>
      </c>
      <c r="Q79" s="120">
        <f>VLOOKUP(L79,Leo!$LM$59:$LU$62,6,FALSE)</f>
        <v>1</v>
      </c>
      <c r="R79" s="120">
        <f>VLOOKUP(L79,Leo!$LM$59:$LU$62,7,FALSE)</f>
        <v>6</v>
      </c>
      <c r="S79" s="120">
        <f>VLOOKUP(L79,Leo!$LM$59:$LU$62,8,FALSE)</f>
        <v>4</v>
      </c>
      <c r="T79" s="121">
        <f>VLOOKUP(L79,Leo!$LM$59:$LU$62,9,FALSE)</f>
        <v>2</v>
      </c>
      <c r="U79" s="53"/>
      <c r="V79" s="59" t="s">
        <v>81</v>
      </c>
      <c r="W79" s="122" t="str">
        <f t="shared" si="73"/>
        <v>Coréia do Sul</v>
      </c>
      <c r="X79" s="236">
        <f>IF(AND(W79&lt;&gt;"",'Resultado Oficial'!W78&lt;&gt;"",'Resultado Oficial'!W79&lt;&gt;""),IF(W79='Resultado Oficial'!W79,5,IF(W79='Resultado Oficial'!W78,2,0)),"")</f>
        <v>5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106" t="s">
        <v>72</v>
      </c>
      <c r="G80" s="107">
        <v>1.0</v>
      </c>
      <c r="H80" s="108"/>
      <c r="I80" s="96" t="s">
        <v>122</v>
      </c>
      <c r="J80" s="97" t="s">
        <v>106</v>
      </c>
      <c r="K80" s="109"/>
      <c r="L80" s="118" t="str">
        <f>Leo!MH61</f>
        <v>Gana</v>
      </c>
      <c r="M80" s="119">
        <f>VLOOKUP(L80,Leo!$LM$59:$LU$62,2,FALSE)</f>
        <v>2</v>
      </c>
      <c r="N80" s="120">
        <f>VLOOKUP(L80,Leo!$LM$59:$LU$62,3,FALSE)</f>
        <v>3</v>
      </c>
      <c r="O80" s="120">
        <f>VLOOKUP(L80,Leo!$LM$59:$LU$62,4,FALSE)</f>
        <v>0</v>
      </c>
      <c r="P80" s="120">
        <f>VLOOKUP(L80,Leo!$LM$59:$LU$62,5,FALSE)</f>
        <v>2</v>
      </c>
      <c r="Q80" s="120">
        <f>VLOOKUP(L80,Leo!$LM$59:$LU$62,6,FALSE)</f>
        <v>1</v>
      </c>
      <c r="R80" s="120">
        <f>VLOOKUP(L80,Leo!$LM$59:$LU$62,7,FALSE)</f>
        <v>4</v>
      </c>
      <c r="S80" s="120">
        <f>VLOOKUP(L80,Leo!$LM$59:$LU$62,8,FALSE)</f>
        <v>6</v>
      </c>
      <c r="T80" s="121">
        <f>VLOOKUP(L80,Leo!$LM$59:$LU$62,9,FALSE)</f>
        <v>-2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0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2.0</v>
      </c>
      <c r="F81" s="106" t="s">
        <v>72</v>
      </c>
      <c r="G81" s="107">
        <v>1.0</v>
      </c>
      <c r="H81" s="108"/>
      <c r="I81" s="96" t="s">
        <v>119</v>
      </c>
      <c r="J81" s="97" t="s">
        <v>99</v>
      </c>
      <c r="K81" s="123"/>
      <c r="L81" s="124" t="str">
        <f>Leo!MH62</f>
        <v>Portugal</v>
      </c>
      <c r="M81" s="125">
        <f>VLOOKUP(L81,Leo!$LM$59:$LU$62,2,FALSE)</f>
        <v>1</v>
      </c>
      <c r="N81" s="126">
        <f>VLOOKUP(L81,Leo!$LM$59:$LU$62,3,FALSE)</f>
        <v>3</v>
      </c>
      <c r="O81" s="126">
        <f>VLOOKUP(L81,Leo!$LM$59:$LU$62,4,FALSE)</f>
        <v>0</v>
      </c>
      <c r="P81" s="126">
        <f>VLOOKUP(L81,Leo!$LM$59:$LU$62,5,FALSE)</f>
        <v>1</v>
      </c>
      <c r="Q81" s="126">
        <f>VLOOKUP(L81,Leo!$LM$59:$LU$62,6,FALSE)</f>
        <v>2</v>
      </c>
      <c r="R81" s="126">
        <f>VLOOKUP(L81,Leo!$LM$59:$LU$62,7,FALSE)</f>
        <v>3</v>
      </c>
      <c r="S81" s="126">
        <f>VLOOKUP(L81,Leo!$LM$59:$LU$62,8,FALSE)</f>
        <v>5</v>
      </c>
      <c r="T81" s="127">
        <f>VLOOKUP(L81,Leo!$LM$59:$LU$62,9,FALSE)</f>
        <v>-2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10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Senegal</v>
      </c>
      <c r="D85" s="158"/>
      <c r="E85" s="243">
        <v>1.0</v>
      </c>
      <c r="F85" s="115" t="s">
        <v>72</v>
      </c>
      <c r="G85" s="260">
        <v>0.0</v>
      </c>
      <c r="H85" s="158"/>
      <c r="I85" s="157" t="str">
        <f>IF(N31=3,L31,"2º do grupo B")</f>
        <v>Estados Unidos</v>
      </c>
      <c r="J85" s="159" t="s">
        <v>193</v>
      </c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62">
        <v>4.0</v>
      </c>
      <c r="E86" s="259">
        <v>2.0</v>
      </c>
      <c r="F86" s="115" t="s">
        <v>72</v>
      </c>
      <c r="G86" s="260">
        <v>2.0</v>
      </c>
      <c r="H86" s="162">
        <v>5.0</v>
      </c>
      <c r="I86" s="157" t="str">
        <f>IF(N47=3,L47,"2º do grupo D")</f>
        <v>França</v>
      </c>
      <c r="J86" s="159" t="s">
        <v>194</v>
      </c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1.0</v>
      </c>
      <c r="F87" s="115" t="s">
        <v>72</v>
      </c>
      <c r="G87" s="260">
        <v>2.0</v>
      </c>
      <c r="H87" s="158"/>
      <c r="I87" s="157" t="str">
        <f>IF(N23=3,L23,"2º do grupo A")</f>
        <v>Holanda</v>
      </c>
      <c r="J87" s="159" t="s">
        <v>195</v>
      </c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Dinamarca</v>
      </c>
      <c r="D88" s="158"/>
      <c r="E88" s="259">
        <v>2.0</v>
      </c>
      <c r="F88" s="115" t="s">
        <v>72</v>
      </c>
      <c r="G88" s="260">
        <v>0.0</v>
      </c>
      <c r="H88" s="158"/>
      <c r="I88" s="157" t="str">
        <f>IF(N39=3,L39,"2º do grupo C")</f>
        <v>México</v>
      </c>
      <c r="J88" s="159" t="s">
        <v>196</v>
      </c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Alemanha</v>
      </c>
      <c r="D89" s="158"/>
      <c r="E89" s="259">
        <v>1.0</v>
      </c>
      <c r="F89" s="115" t="s">
        <v>72</v>
      </c>
      <c r="G89" s="260">
        <v>0.0</v>
      </c>
      <c r="H89" s="158"/>
      <c r="I89" s="157" t="str">
        <f>IF(N63=3,L63,"2º do grupo F")</f>
        <v>Croácia</v>
      </c>
      <c r="J89" s="159" t="s">
        <v>197</v>
      </c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58"/>
      <c r="E90" s="259">
        <v>3.0</v>
      </c>
      <c r="F90" s="115" t="s">
        <v>72</v>
      </c>
      <c r="G90" s="260">
        <v>0.0</v>
      </c>
      <c r="H90" s="158"/>
      <c r="I90" s="157" t="str">
        <f>IF(N79=3,L79,"2º do grupo H")</f>
        <v>Coréia do Sul</v>
      </c>
      <c r="J90" s="159" t="s">
        <v>198</v>
      </c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62">
        <v>5.0</v>
      </c>
      <c r="E91" s="243">
        <v>1.0</v>
      </c>
      <c r="F91" s="115" t="s">
        <v>72</v>
      </c>
      <c r="G91" s="245">
        <v>1.0</v>
      </c>
      <c r="H91" s="162">
        <v>3.0</v>
      </c>
      <c r="I91" s="157" t="str">
        <f>IF(N55=3,L55,"2º do grupo E")</f>
        <v>Espanha</v>
      </c>
      <c r="J91" s="159" t="s">
        <v>199</v>
      </c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Uruguai</v>
      </c>
      <c r="D92" s="162">
        <v>4.0</v>
      </c>
      <c r="E92" s="259">
        <v>1.0</v>
      </c>
      <c r="F92" s="115" t="s">
        <v>72</v>
      </c>
      <c r="G92" s="260">
        <v>1.0</v>
      </c>
      <c r="H92" s="162">
        <v>5.0</v>
      </c>
      <c r="I92" s="157" t="str">
        <f>IF(N71=3,L71,"2º do grupo G")</f>
        <v>Sérvia</v>
      </c>
      <c r="J92" s="159" t="s">
        <v>200</v>
      </c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Senegal</v>
      </c>
      <c r="D95" s="158"/>
      <c r="E95" s="259">
        <v>1.0</v>
      </c>
      <c r="F95" s="115" t="s">
        <v>72</v>
      </c>
      <c r="G95" s="260">
        <v>2.0</v>
      </c>
      <c r="H95" s="158"/>
      <c r="I95" s="157" t="str">
        <f>IF(OR(G86="",E86="",AND(G86=E86,OR(H86="",D86=""))),"Vencedor do 50",IF(G86=E86,IF(H86&gt;D86,I86,C86),IF(G86&gt;E86,I86,C86)))</f>
        <v>França</v>
      </c>
      <c r="J95" s="159" t="s">
        <v>196</v>
      </c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Brasil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Alemanha</v>
      </c>
      <c r="D96" s="158"/>
      <c r="E96" s="243">
        <v>1.0</v>
      </c>
      <c r="F96" s="115" t="s">
        <v>72</v>
      </c>
      <c r="G96" s="260">
        <v>2.0</v>
      </c>
      <c r="H96" s="158"/>
      <c r="I96" s="157" t="str">
        <f>IF(OR(G90="",E90="",AND(G90=E90,OR(H90="",D90=""))),"Vencedor do 52",IF(G90=E90,IF(H90&gt;D90,I90,C90),IF(G90&gt;E90,I90,C90)))</f>
        <v>Brasil</v>
      </c>
      <c r="J96" s="159" t="s">
        <v>194</v>
      </c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Holanda</v>
      </c>
      <c r="D97" s="158"/>
      <c r="E97" s="259">
        <v>2.0</v>
      </c>
      <c r="F97" s="115" t="s">
        <v>72</v>
      </c>
      <c r="G97" s="260">
        <v>3.0</v>
      </c>
      <c r="H97" s="158"/>
      <c r="I97" s="157" t="str">
        <f>IF(OR(G88="",E88="",AND(G88=E88,OR(H88="",D88=""))),"Vencedor do 54",IF(G88=E88,IF(H88&gt;D88,I88,C88),IF(G88&gt;E88,I88,C88)))</f>
        <v>Dinamarca</v>
      </c>
      <c r="J97" s="159" t="s">
        <v>193</v>
      </c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158"/>
      <c r="E98" s="259">
        <v>3.0</v>
      </c>
      <c r="F98" s="115" t="s">
        <v>72</v>
      </c>
      <c r="G98" s="260">
        <v>0.0</v>
      </c>
      <c r="H98" s="158"/>
      <c r="I98" s="157" t="str">
        <f>IF(OR(G92="",E92="",AND(G92=E92,OR(H92="",D92=""))),"Vencedor do 56",IF(G92=E92,IF(H92&gt;D92,I92,C92),IF(G92&gt;E92,I92,C92)))</f>
        <v>Sérvia</v>
      </c>
      <c r="J98" s="159" t="s">
        <v>197</v>
      </c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França</v>
      </c>
      <c r="D101" s="158"/>
      <c r="E101" s="243">
        <v>2.0</v>
      </c>
      <c r="F101" s="115" t="s">
        <v>72</v>
      </c>
      <c r="G101" s="245">
        <v>3.0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 t="s">
        <v>201</v>
      </c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Dinamarca</v>
      </c>
      <c r="D102" s="158"/>
      <c r="E102" s="243">
        <v>1.0</v>
      </c>
      <c r="F102" s="115" t="s">
        <v>72</v>
      </c>
      <c r="G102" s="245">
        <v>2.0</v>
      </c>
      <c r="H102" s="158"/>
      <c r="I102" s="157" t="str">
        <f>IF(OR(G98="",E98="",AND(G98=E98,OR(H98="",D98=""))),"Vencedor do 60",IF(G98=E98,IF(H98&gt;D98,I98,C98),IF(G98&gt;E98,I98,C98)))</f>
        <v>Bélgica</v>
      </c>
      <c r="J102" s="159" t="s">
        <v>195</v>
      </c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França</v>
      </c>
      <c r="D105" s="158"/>
      <c r="E105" s="243">
        <v>0.0</v>
      </c>
      <c r="F105" s="115" t="s">
        <v>72</v>
      </c>
      <c r="G105" s="260">
        <v>1.0</v>
      </c>
      <c r="H105" s="158"/>
      <c r="I105" s="183" t="str">
        <f>IF(OR(G102="",E102="",AND(G102=E102,OR(H102="",D102=""))),"    ",IF(G102=E102,IF(H102&lt;D102,I102,C102),IF(G102&lt;E102,I102,C102)))</f>
        <v>Dinamarca</v>
      </c>
      <c r="J105" s="159" t="s">
        <v>201</v>
      </c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Brasil</v>
      </c>
      <c r="D108" s="249"/>
      <c r="E108" s="250">
        <v>2.0</v>
      </c>
      <c r="F108" s="251" t="s">
        <v>72</v>
      </c>
      <c r="G108" s="252">
        <v>0.0</v>
      </c>
      <c r="H108" s="249"/>
      <c r="I108" s="202" t="str">
        <f>IF(OR(G102="",E102="",AND(G102=E102,OR(H102="",D102=""))),"  ",IF(G102=E102,IF(H102&gt;D102,I102,C102),IF(G102&gt;E102,I102,C102)))</f>
        <v>Bélgica</v>
      </c>
      <c r="J108" s="253" t="s">
        <v>195</v>
      </c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1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1</v>
      </c>
      <c r="LR3" s="71">
        <f>IF(OR(E20="",G20=""),0,IF(E20&lt;G20,1,0))+IF(OR(E22="",G22=""),0,IF(E22&lt;G22,1,0))+IF(OR(G25="",E25=""),0,IF(G25&lt;E25,1,0))</f>
        <v>2</v>
      </c>
      <c r="LS3" s="71">
        <f>E20+E22+G25</f>
        <v>1</v>
      </c>
      <c r="LT3" s="71">
        <f>G20+G22+E25</f>
        <v>4</v>
      </c>
      <c r="LU3" s="71">
        <f t="shared" ref="LU3:LU6" si="1">LS3-LT3</f>
        <v>-3</v>
      </c>
      <c r="LV3" s="70">
        <f t="shared" ref="LV3:LV6" si="2">LN3</f>
        <v>1</v>
      </c>
      <c r="LW3" s="70">
        <f t="shared" ref="LW3:LW6" si="3">LU3/10</f>
        <v>-0.3</v>
      </c>
      <c r="LX3" s="70">
        <f t="shared" ref="LX3:LX6" si="4">LS3/100</f>
        <v>0.01</v>
      </c>
      <c r="LY3" s="70">
        <f t="shared" ref="LY3:LY6" si="5">SUM(LV3:LX3)</f>
        <v>0.71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0.71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1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1</v>
      </c>
      <c r="LQ4" s="71">
        <f>IF(OR(G20="",E20=""),0,IF(G20=E20,1,0))+IF(OR(G23="",E23=""),0,IF(G23=E23,1,0))+IF(OR(E25="",G25=""),0,IF(E25=G25,1,0))</f>
        <v>1</v>
      </c>
      <c r="LR4" s="71">
        <f>IF(OR(G20="",E20=""),0,IF(G20&lt;E20,1,0))+IF(OR(G23="",E23=""),0,IF(G23&lt;E23,1,0))+IF(OR(E25="",G25=""),0,IF(E25&lt;G25,1,0))</f>
        <v>1</v>
      </c>
      <c r="LS4" s="71">
        <f>G20+G23+E25</f>
        <v>3</v>
      </c>
      <c r="LT4" s="71">
        <f>E20+E23+G25</f>
        <v>3</v>
      </c>
      <c r="LU4" s="71">
        <f t="shared" si="1"/>
        <v>0</v>
      </c>
      <c r="LV4" s="70">
        <f t="shared" si="2"/>
        <v>1</v>
      </c>
      <c r="LW4" s="70">
        <f t="shared" si="3"/>
        <v>0</v>
      </c>
      <c r="LX4" s="70">
        <f t="shared" si="4"/>
        <v>0.03</v>
      </c>
      <c r="LY4" s="70">
        <f t="shared" si="5"/>
        <v>1.03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1.03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6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1</v>
      </c>
      <c r="LS5" s="71">
        <f>E21+G22+G24</f>
        <v>4</v>
      </c>
      <c r="LT5" s="71">
        <f>G21+E22+E24</f>
        <v>2</v>
      </c>
      <c r="LU5" s="71">
        <f t="shared" si="1"/>
        <v>2</v>
      </c>
      <c r="LV5" s="70">
        <f t="shared" si="2"/>
        <v>6</v>
      </c>
      <c r="LW5" s="70">
        <f t="shared" si="3"/>
        <v>0.2</v>
      </c>
      <c r="LX5" s="70">
        <f t="shared" si="4"/>
        <v>0.04</v>
      </c>
      <c r="LY5" s="70">
        <f t="shared" si="5"/>
        <v>6.24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6.24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22.5" customHeight="1">
      <c r="A6" s="222" t="s">
        <v>166</v>
      </c>
      <c r="B6" s="223"/>
      <c r="C6" s="223"/>
      <c r="D6" s="263" t="s">
        <v>206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6</v>
      </c>
      <c r="LT6" s="71">
        <f>E21+G23+G25</f>
        <v>1</v>
      </c>
      <c r="LU6" s="71">
        <f t="shared" si="1"/>
        <v>5</v>
      </c>
      <c r="LV6" s="70">
        <f t="shared" si="2"/>
        <v>9</v>
      </c>
      <c r="LW6" s="70">
        <f t="shared" si="3"/>
        <v>0.5</v>
      </c>
      <c r="LX6" s="70">
        <f t="shared" si="4"/>
        <v>0.06</v>
      </c>
      <c r="LY6" s="70">
        <f t="shared" si="5"/>
        <v>9.56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9.56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64" t="s">
        <v>207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259</v>
      </c>
      <c r="M7" s="230"/>
      <c r="N7" s="230"/>
      <c r="O7" s="230"/>
      <c r="P7" s="230"/>
      <c r="Q7" s="230"/>
      <c r="R7" s="230"/>
      <c r="S7" s="230"/>
      <c r="T7" s="231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208</v>
      </c>
      <c r="E9" s="66"/>
      <c r="F9" s="66"/>
      <c r="G9" s="66"/>
      <c r="H9" s="66"/>
      <c r="I9" s="66"/>
      <c r="J9" s="67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1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71</v>
      </c>
      <c r="E11" s="66"/>
      <c r="F11" s="66"/>
      <c r="G11" s="66"/>
      <c r="H11" s="66"/>
      <c r="I11" s="66"/>
      <c r="J11" s="67"/>
      <c r="K11" s="55"/>
      <c r="L11" s="234">
        <f>IF(OR(D11="",'Resultado Oficial'!D111=""),"",IF(D11='Resultado Oficial'!D111,40,IF(D11='Resultado Oficial'!D112,20,IF(D11='Resultado Oficial'!D113,20,IF(Lopes!D11='Resultado Oficial'!D114,20,0)))))</f>
        <v>40</v>
      </c>
      <c r="M11" s="230"/>
      <c r="N11" s="230"/>
      <c r="O11" s="230"/>
      <c r="P11" s="230"/>
      <c r="Q11" s="230"/>
      <c r="R11" s="230"/>
      <c r="S11" s="230"/>
      <c r="T11" s="231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5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1</v>
      </c>
      <c r="LQ11" s="71">
        <f>IF(OR(E28="",G28=""),0,IF(E28=G28,1,0))+IF(OR(E31="",G31=""),0,IF(E31=G31,1,0))+IF(OR(G32="",E32=""),0,IF(G32=E32,1,0))</f>
        <v>2</v>
      </c>
      <c r="LR11" s="71">
        <f>IF(OR(E28="",G28=""),0,IF(E28&lt;G28,1,0))+IF(OR(E31="",G31=""),0,IF(E31&lt;G31,1,0))+IF(OR(G32="",E32=""),0,IF(G32&lt;E32,1,0))</f>
        <v>0</v>
      </c>
      <c r="LS11" s="71">
        <f>E28+E31+G32</f>
        <v>5</v>
      </c>
      <c r="LT11" s="71">
        <f>G28+G31+E32</f>
        <v>2</v>
      </c>
      <c r="LU11" s="71">
        <f t="shared" ref="LU11:LU14" si="10">LS11-LT11</f>
        <v>3</v>
      </c>
      <c r="LV11" s="70">
        <f t="shared" ref="LV11:LV14" si="11">LN11</f>
        <v>5</v>
      </c>
      <c r="LW11" s="70">
        <f t="shared" ref="LW11:LW14" si="12">LU11/10</f>
        <v>0.3</v>
      </c>
      <c r="LX11" s="70">
        <f t="shared" ref="LX11:LX14" si="13">LS11/100</f>
        <v>0.05</v>
      </c>
      <c r="LY11" s="70">
        <f t="shared" ref="LY11:LY14" si="14">SUM(LV11:LX11)</f>
        <v>5.35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5.35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85</v>
      </c>
      <c r="E12" s="66"/>
      <c r="F12" s="66"/>
      <c r="G12" s="66"/>
      <c r="H12" s="66"/>
      <c r="I12" s="66"/>
      <c r="J12" s="67"/>
      <c r="K12" s="55"/>
      <c r="L12" s="234">
        <f>IF(OR(D12="",'Resultado Oficial'!D112=""),"",IF(D12='Resultado Oficial'!D112,35,IF(D12='Resultado Oficial'!D111,20,IF(D12='Resultado Oficial'!D113,20,IF(Lopes!D12='Resultado Oficial'!D114,20,0)))))</f>
        <v>35</v>
      </c>
      <c r="M12" s="230"/>
      <c r="N12" s="230"/>
      <c r="O12" s="230"/>
      <c r="P12" s="230"/>
      <c r="Q12" s="230"/>
      <c r="R12" s="230"/>
      <c r="S12" s="230"/>
      <c r="T12" s="231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0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0</v>
      </c>
      <c r="LR12" s="71">
        <f>IF(OR(G28="",E28=""),0,IF(G28&lt;E28,1,0))+IF(OR(G30="",E30=""),0,IF(G30&lt;E30,1,0))+IF(OR(E33="",G33=""),0,IF(E33&lt;G33,1,0))</f>
        <v>3</v>
      </c>
      <c r="LS12" s="71">
        <f>G28+G30+E33</f>
        <v>1</v>
      </c>
      <c r="LT12" s="71">
        <f>E28+E30+G33</f>
        <v>6</v>
      </c>
      <c r="LU12" s="71">
        <f t="shared" si="10"/>
        <v>-5</v>
      </c>
      <c r="LV12" s="70">
        <f t="shared" si="11"/>
        <v>0</v>
      </c>
      <c r="LW12" s="70">
        <f t="shared" si="12"/>
        <v>-0.5</v>
      </c>
      <c r="LX12" s="70">
        <f t="shared" si="13"/>
        <v>0.01</v>
      </c>
      <c r="LY12" s="70">
        <f t="shared" si="14"/>
        <v>-0.49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-0.49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3</v>
      </c>
      <c r="MH12" s="70" t="str">
        <f t="shared" si="17"/>
        <v>Estados Unidos</v>
      </c>
    </row>
    <row r="13" ht="22.5" customHeight="1">
      <c r="A13" s="222" t="s">
        <v>139</v>
      </c>
      <c r="B13" s="223"/>
      <c r="C13" s="223"/>
      <c r="D13" s="208" t="s">
        <v>111</v>
      </c>
      <c r="E13" s="66"/>
      <c r="F13" s="66"/>
      <c r="G13" s="66"/>
      <c r="H13" s="66"/>
      <c r="I13" s="66"/>
      <c r="J13" s="67"/>
      <c r="K13" s="55"/>
      <c r="L13" s="234">
        <f>IF(OR(D13="",'Resultado Oficial'!D113=""),"",IF(D13='Resultado Oficial'!D113,30,IF(D13='Resultado Oficial'!D111,20,IF(D13='Resultado Oficial'!D112,20,IF(Lopes!D13='Resultado Oficial'!D114,20,0)))))</f>
        <v>0</v>
      </c>
      <c r="M13" s="230"/>
      <c r="N13" s="230"/>
      <c r="O13" s="230"/>
      <c r="P13" s="230"/>
      <c r="Q13" s="230"/>
      <c r="R13" s="230"/>
      <c r="S13" s="230"/>
      <c r="T13" s="231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5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2</v>
      </c>
      <c r="LR13" s="71">
        <f>IF(OR(E29="",G29=""),0,IF(E29&lt;G29,1,0))+IF(OR(G31="",E31=""),0,IF(G31&lt;E31,1,0))+IF(OR(G33="",E33=""),0,IF(G33&lt;E33,1,0))</f>
        <v>0</v>
      </c>
      <c r="LS13" s="71">
        <f>E29+G31+G33</f>
        <v>5</v>
      </c>
      <c r="LT13" s="71">
        <f>G29+E31+E33</f>
        <v>4</v>
      </c>
      <c r="LU13" s="71">
        <f t="shared" si="10"/>
        <v>1</v>
      </c>
      <c r="LV13" s="70">
        <f t="shared" si="11"/>
        <v>5</v>
      </c>
      <c r="LW13" s="70">
        <f t="shared" si="12"/>
        <v>0.1</v>
      </c>
      <c r="LX13" s="70">
        <f t="shared" si="13"/>
        <v>0.05</v>
      </c>
      <c r="LY13" s="70">
        <f t="shared" si="14"/>
        <v>5.15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5.15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2</v>
      </c>
      <c r="MF13" s="70">
        <v>3.0</v>
      </c>
      <c r="MG13" s="70">
        <f t="shared" si="16"/>
        <v>4</v>
      </c>
      <c r="MH13" s="70" t="str">
        <f t="shared" si="17"/>
        <v>País de Gales</v>
      </c>
    </row>
    <row r="14" ht="22.5" customHeight="1">
      <c r="A14" s="222" t="s">
        <v>140</v>
      </c>
      <c r="B14" s="223"/>
      <c r="C14" s="223"/>
      <c r="D14" s="208" t="s">
        <v>103</v>
      </c>
      <c r="E14" s="66"/>
      <c r="F14" s="66"/>
      <c r="G14" s="66"/>
      <c r="H14" s="66"/>
      <c r="I14" s="66"/>
      <c r="J14" s="67"/>
      <c r="K14" s="55"/>
      <c r="L14" s="234">
        <f>IF(OR(D14="",'Resultado Oficial'!D114=""),"",IF(D14='Resultado Oficial'!D114,25,IF(D14='Resultado Oficial'!D111,20,IF(D14='Resultado Oficial'!D112,20,IF(Lopes!D14='Resultado Oficial'!D113,20,0)))))</f>
        <v>0</v>
      </c>
      <c r="M14" s="230"/>
      <c r="N14" s="230"/>
      <c r="O14" s="230"/>
      <c r="P14" s="230"/>
      <c r="Q14" s="230"/>
      <c r="R14" s="230"/>
      <c r="S14" s="230"/>
      <c r="T14" s="231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5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1</v>
      </c>
      <c r="LQ14" s="71">
        <f>IF(OR(G29="",E29=""),0,IF(G29=E29,1,0))+IF(OR(E30="",G30=""),0,IF(E30=G30,1,0))+IF(OR(E32="",G32=""),0,IF(E32=G32,1,0))</f>
        <v>2</v>
      </c>
      <c r="LR14" s="71">
        <f>IF(OR(G29="",E29=""),0,IF(G29&lt;E29,1,0))+IF(OR(E30="",G30=""),0,IF(E30&lt;G30,1,0))+IF(OR(E32="",G32=""),0,IF(E32&lt;G32,1,0))</f>
        <v>0</v>
      </c>
      <c r="LS14" s="71">
        <f>G29+E30+E32</f>
        <v>4</v>
      </c>
      <c r="LT14" s="71">
        <f>E29+G30+G32</f>
        <v>3</v>
      </c>
      <c r="LU14" s="71">
        <f t="shared" si="10"/>
        <v>1</v>
      </c>
      <c r="LV14" s="70">
        <f t="shared" si="11"/>
        <v>5</v>
      </c>
      <c r="LW14" s="70">
        <f t="shared" si="12"/>
        <v>0.1</v>
      </c>
      <c r="LX14" s="70">
        <f t="shared" si="13"/>
        <v>0.04</v>
      </c>
      <c r="LY14" s="70">
        <f t="shared" si="14"/>
        <v>5.14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5.14</v>
      </c>
      <c r="MD14" s="70">
        <f>RANK($MC$14,$MC$11:$MC$14,0)</f>
        <v>3</v>
      </c>
      <c r="ME14" s="70">
        <f>IF(AND(MD11=MD12,MD11=MD13,MD11=MD14),MD14+3,IF(OR(AND(MD14=MD13,MD14=MD12),AND(MD14=MD12,MD14=MD11)),MD14+2,IF(OR(MD14=MD13,MD14=MD12,MD14=MD11),MD14+1,MD14)))</f>
        <v>3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127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9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3</v>
      </c>
      <c r="LQ19" s="71">
        <f>IF(OR(E36="",G36=""),0,IF(E36=G36,1,0))+IF(OR(E39="",G39=""),0,IF(E39=G39,1,0))+IF(OR(G40="",E40=""),0,IF(G40=E40,1,0))</f>
        <v>0</v>
      </c>
      <c r="LR19" s="71">
        <f>IF(OR(E36="",G36=""),0,IF(E36&lt;G36,1,0))+IF(OR(E39="",G39=""),0,IF(E39&lt;G39,1,0))+IF(OR(G40="",E40=""),0,IF(G40&lt;E40,1,0))</f>
        <v>0</v>
      </c>
      <c r="LS19" s="71">
        <f>E36+E39+G40</f>
        <v>4</v>
      </c>
      <c r="LT19" s="71">
        <f>G36+G39+E40</f>
        <v>0</v>
      </c>
      <c r="LU19" s="71">
        <f t="shared" ref="LU19:LU22" si="18">LS19-LT19</f>
        <v>4</v>
      </c>
      <c r="LV19" s="70">
        <f t="shared" ref="LV19:LV22" si="19">LN19</f>
        <v>9</v>
      </c>
      <c r="LW19" s="70">
        <f t="shared" ref="LW19:LW22" si="20">LU19/10</f>
        <v>0.4</v>
      </c>
      <c r="LX19" s="70">
        <f t="shared" ref="LX19:LX22" si="21">LS19/100</f>
        <v>0.04</v>
      </c>
      <c r="LY19" s="70">
        <f t="shared" ref="LY19:LY22" si="22">SUM(LV19:LX19)</f>
        <v>9.44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9.44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291">
        <v>1.0</v>
      </c>
      <c r="F20" s="292" t="s">
        <v>72</v>
      </c>
      <c r="G20" s="293">
        <v>1.0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1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1</v>
      </c>
      <c r="LR20" s="71">
        <f>IF(OR(G36="",E36=""),0,IF(G36&lt;E36,1,0))+IF(OR(G38="",E38=""),0,IF(G38&lt;E38,1,0))+IF(OR(E41="",G41=""),0,IF(E41&lt;G41,1,0))</f>
        <v>2</v>
      </c>
      <c r="LS20" s="71">
        <f>G36+G38+E41</f>
        <v>1</v>
      </c>
      <c r="LT20" s="71">
        <f>E36+E38+G41</f>
        <v>4</v>
      </c>
      <c r="LU20" s="71">
        <f t="shared" si="18"/>
        <v>-3</v>
      </c>
      <c r="LV20" s="70">
        <f t="shared" si="19"/>
        <v>1</v>
      </c>
      <c r="LW20" s="70">
        <f t="shared" si="20"/>
        <v>-0.3</v>
      </c>
      <c r="LX20" s="70">
        <f t="shared" si="21"/>
        <v>0.01</v>
      </c>
      <c r="LY20" s="70">
        <f t="shared" si="22"/>
        <v>0.71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0.71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294">
        <v>1.0</v>
      </c>
      <c r="F21" s="295" t="s">
        <v>72</v>
      </c>
      <c r="G21" s="296">
        <v>2.0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3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1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0</v>
      </c>
      <c r="LQ21" s="71">
        <f>IF(OR(E37="",G37=""),0,IF(E37=G37,1,0))+IF(OR(G39="",E39=""),0,IF(G39=E39,1,0))+IF(OR(G41="",E41=""),0,IF(G41=E41,1,0))</f>
        <v>1</v>
      </c>
      <c r="LR21" s="71">
        <f>IF(OR(E37="",G37=""),0,IF(E37&lt;G37,1,0))+IF(OR(G39="",E39=""),0,IF(G39&lt;E39,1,0))+IF(OR(G41="",E41=""),0,IF(G41&lt;E41,1,0))</f>
        <v>2</v>
      </c>
      <c r="LS21" s="71">
        <f>E37+G39+G41</f>
        <v>2</v>
      </c>
      <c r="LT21" s="71">
        <f>G37+E39+E41</f>
        <v>5</v>
      </c>
      <c r="LU21" s="71">
        <f t="shared" si="18"/>
        <v>-3</v>
      </c>
      <c r="LV21" s="70">
        <f t="shared" si="19"/>
        <v>1</v>
      </c>
      <c r="LW21" s="70">
        <f t="shared" si="20"/>
        <v>-0.3</v>
      </c>
      <c r="LX21" s="70">
        <f t="shared" si="21"/>
        <v>0.02</v>
      </c>
      <c r="LY21" s="70">
        <f t="shared" si="22"/>
        <v>0.72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0.72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297">
        <v>0.0</v>
      </c>
      <c r="F22" s="298" t="s">
        <v>72</v>
      </c>
      <c r="G22" s="299">
        <v>1.0</v>
      </c>
      <c r="H22" s="117"/>
      <c r="I22" s="96" t="s">
        <v>61</v>
      </c>
      <c r="J22" s="97" t="s">
        <v>76</v>
      </c>
      <c r="K22" s="109"/>
      <c r="L22" s="118" t="str">
        <f>Lopes!MH3</f>
        <v>Holanda</v>
      </c>
      <c r="M22" s="119">
        <f>VLOOKUP(L22,Lopes!$LM$3:$LU$6,2,FALSE)</f>
        <v>9</v>
      </c>
      <c r="N22" s="120">
        <f>VLOOKUP(L22,Lopes!$LM$3:$LU$6,3,FALSE)</f>
        <v>3</v>
      </c>
      <c r="O22" s="120">
        <f>VLOOKUP(L22,Lopes!$LM$3:$LU$6,4,FALSE)</f>
        <v>3</v>
      </c>
      <c r="P22" s="120">
        <f>VLOOKUP(L22,Lopes!$LM$3:$LU$6,5,FALSE)</f>
        <v>0</v>
      </c>
      <c r="Q22" s="120">
        <f>VLOOKUP(L22,Lopes!$LM$3:$LU$6,6,FALSE)</f>
        <v>0</v>
      </c>
      <c r="R22" s="120">
        <f>VLOOKUP(L22,Lopes!$LM$3:$LU$6,7,FALSE)</f>
        <v>6</v>
      </c>
      <c r="S22" s="120">
        <f>VLOOKUP(L22,Lopes!$LM$3:$LU$6,8,FALSE)</f>
        <v>1</v>
      </c>
      <c r="T22" s="121">
        <f>VLOOKUP(L22,Lopes!$LM$3:$LU$6,9,FALSE)</f>
        <v>5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3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6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1</v>
      </c>
      <c r="LQ22" s="71">
        <f>IF(OR(G37="",E37=""),0,IF(G37=E37,1,0))+IF(OR(E38="",G38=""),0,IF(E38=G38,1,0))+IF(OR(E40="",G40=""),0,IF(E40=G40,1,0))</f>
        <v>0</v>
      </c>
      <c r="LR22" s="71">
        <f>IF(OR(G37="",E37=""),0,IF(G37&lt;E37,1,0))+IF(OR(E38="",G38=""),0,IF(E38&lt;G38,1,0))+IF(OR(E40="",G40=""),0,IF(E40&lt;G40,1,0))</f>
        <v>1</v>
      </c>
      <c r="LS22" s="71">
        <f>G37+E38+E40</f>
        <v>4</v>
      </c>
      <c r="LT22" s="71">
        <f>E37+G38+G40</f>
        <v>2</v>
      </c>
      <c r="LU22" s="71">
        <f t="shared" si="18"/>
        <v>2</v>
      </c>
      <c r="LV22" s="70">
        <f t="shared" si="19"/>
        <v>6</v>
      </c>
      <c r="LW22" s="70">
        <f t="shared" si="20"/>
        <v>0.2</v>
      </c>
      <c r="LX22" s="70">
        <f t="shared" si="21"/>
        <v>0.04</v>
      </c>
      <c r="LY22" s="70">
        <f t="shared" si="22"/>
        <v>6.24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6.24</v>
      </c>
      <c r="MD22" s="70">
        <f>RANK($MC$22,$MC$19:$MC$22,0)</f>
        <v>2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294">
        <v>2.0</v>
      </c>
      <c r="F23" s="295" t="s">
        <v>72</v>
      </c>
      <c r="G23" s="300">
        <v>0.0</v>
      </c>
      <c r="H23" s="108"/>
      <c r="I23" s="96" t="s">
        <v>60</v>
      </c>
      <c r="J23" s="97" t="s">
        <v>80</v>
      </c>
      <c r="K23" s="109"/>
      <c r="L23" s="118" t="str">
        <f>Lopes!MH4</f>
        <v>Senegal</v>
      </c>
      <c r="M23" s="119">
        <f>VLOOKUP(L23,Lopes!$LM$3:$LU$6,2,FALSE)</f>
        <v>6</v>
      </c>
      <c r="N23" s="120">
        <f>VLOOKUP(L23,Lopes!$LM$3:$LU$6,3,FALSE)</f>
        <v>3</v>
      </c>
      <c r="O23" s="120">
        <f>VLOOKUP(L23,Lopes!$LM$3:$LU$6,4,FALSE)</f>
        <v>2</v>
      </c>
      <c r="P23" s="120">
        <f>VLOOKUP(L23,Lopes!$LM$3:$LU$6,5,FALSE)</f>
        <v>0</v>
      </c>
      <c r="Q23" s="120">
        <f>VLOOKUP(L23,Lopes!$LM$3:$LU$6,6,FALSE)</f>
        <v>1</v>
      </c>
      <c r="R23" s="120">
        <f>VLOOKUP(L23,Lopes!$LM$3:$LU$6,7,FALSE)</f>
        <v>4</v>
      </c>
      <c r="S23" s="120">
        <f>VLOOKUP(L23,Lopes!$LM$3:$LU$6,8,FALSE)</f>
        <v>2</v>
      </c>
      <c r="T23" s="121">
        <f>VLOOKUP(L23,Lopes!$LM$3:$LU$6,9,FALSE)</f>
        <v>2</v>
      </c>
      <c r="U23" s="52"/>
      <c r="V23" s="59" t="s">
        <v>81</v>
      </c>
      <c r="W23" s="122" t="str">
        <f t="shared" si="26"/>
        <v>Senegal</v>
      </c>
      <c r="X23" s="236">
        <f>IF(AND(W23&lt;&gt;"",'Resultado Oficial'!W22&lt;&gt;"",'Resultado Oficial'!W23&lt;&gt;""),IF(W23='Resultado Oficial'!W23,5,IF(W23='Resultado Oficial'!W22,2,0)),"")</f>
        <v>5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41">
        <v>0.0</v>
      </c>
      <c r="F24" s="295" t="s">
        <v>72</v>
      </c>
      <c r="G24" s="296">
        <v>2.0</v>
      </c>
      <c r="H24" s="108"/>
      <c r="I24" s="96" t="s">
        <v>61</v>
      </c>
      <c r="J24" s="97" t="s">
        <v>80</v>
      </c>
      <c r="K24" s="109"/>
      <c r="L24" s="118" t="str">
        <f>Lopes!MH5</f>
        <v>Equador</v>
      </c>
      <c r="M24" s="119">
        <f>VLOOKUP(L24,Lopes!$LM$3:$LU$6,2,FALSE)</f>
        <v>1</v>
      </c>
      <c r="N24" s="120">
        <f>VLOOKUP(L24,Lopes!$LM$3:$LU$6,3,FALSE)</f>
        <v>3</v>
      </c>
      <c r="O24" s="120">
        <f>VLOOKUP(L24,Lopes!$LM$3:$LU$6,4,FALSE)</f>
        <v>1</v>
      </c>
      <c r="P24" s="120">
        <f>VLOOKUP(L24,Lopes!$LM$3:$LU$6,5,FALSE)</f>
        <v>1</v>
      </c>
      <c r="Q24" s="120">
        <f>VLOOKUP(L24,Lopes!$LM$3:$LU$6,6,FALSE)</f>
        <v>1</v>
      </c>
      <c r="R24" s="120">
        <f>VLOOKUP(L24,Lopes!$LM$3:$LU$6,7,FALSE)</f>
        <v>3</v>
      </c>
      <c r="S24" s="120">
        <f>VLOOKUP(L24,Lopes!$LM$3:$LU$6,8,FALSE)</f>
        <v>3</v>
      </c>
      <c r="T24" s="121">
        <f>VLOOKUP(L24,Lopes!$LM$3:$LU$6,9,FALSE)</f>
        <v>0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3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294">
        <v>2.0</v>
      </c>
      <c r="F25" s="295" t="s">
        <v>72</v>
      </c>
      <c r="G25" s="300">
        <v>0.0</v>
      </c>
      <c r="H25" s="108"/>
      <c r="I25" s="96" t="s">
        <v>82</v>
      </c>
      <c r="J25" s="97" t="s">
        <v>73</v>
      </c>
      <c r="K25" s="123"/>
      <c r="L25" s="124" t="str">
        <f>Lopes!MH6</f>
        <v>Catar</v>
      </c>
      <c r="M25" s="125">
        <f>VLOOKUP(L25,Lopes!$LM$3:$LU$6,2,FALSE)</f>
        <v>1</v>
      </c>
      <c r="N25" s="126">
        <f>VLOOKUP(L25,Lopes!$LM$3:$LU$6,3,FALSE)</f>
        <v>3</v>
      </c>
      <c r="O25" s="126">
        <f>VLOOKUP(L25,Lopes!$LM$3:$LU$6,4,FALSE)</f>
        <v>0</v>
      </c>
      <c r="P25" s="126">
        <f>VLOOKUP(L25,Lopes!$LM$3:$LU$6,5,FALSE)</f>
        <v>1</v>
      </c>
      <c r="Q25" s="126">
        <f>VLOOKUP(L25,Lopes!$LM$3:$LU$6,6,FALSE)</f>
        <v>2</v>
      </c>
      <c r="R25" s="126">
        <f>VLOOKUP(L25,Lopes!$LM$3:$LU$6,7,FALSE)</f>
        <v>1</v>
      </c>
      <c r="S25" s="126">
        <f>VLOOKUP(L25,Lopes!$LM$3:$LU$6,8,FALSE)</f>
        <v>4</v>
      </c>
      <c r="T25" s="127">
        <f>VLOOKUP(L25,Lopes!$LM$3:$LU$6,9,FALSE)</f>
        <v>-3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10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301"/>
      <c r="F26" s="301"/>
      <c r="G26" s="301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9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3</v>
      </c>
      <c r="LQ27" s="71">
        <f>IF(OR(E45="",G45=""),0,IF(E45=G45,1,0))+IF(OR(E47="",G47=""),0,IF(E47=G47,1,0))+IF(OR(G49="",E49=""),0,IF(G49=E49,1,0))</f>
        <v>0</v>
      </c>
      <c r="LR27" s="71">
        <f>IF(OR(E45="",G45=""),0,IF(E45&lt;G45,1,0))+IF(OR(E47="",G47=""),0,IF(E47&lt;G47,1,0))+IF(OR(G49="",E49=""),0,IF(G49&lt;E49,1,0))</f>
        <v>0</v>
      </c>
      <c r="LS27" s="71">
        <f>E45+E47+G49</f>
        <v>7</v>
      </c>
      <c r="LT27" s="71">
        <f>G45+G47+E49</f>
        <v>2</v>
      </c>
      <c r="LU27" s="71">
        <f t="shared" ref="LU27:LU30" si="27">LS27-LT27</f>
        <v>5</v>
      </c>
      <c r="LV27" s="70">
        <f t="shared" ref="LV27:LV30" si="28">LN27</f>
        <v>9</v>
      </c>
      <c r="LW27" s="70">
        <f t="shared" ref="LW27:LW30" si="29">LU27/10</f>
        <v>0.5</v>
      </c>
      <c r="LX27" s="70">
        <f t="shared" ref="LX27:LX30" si="30">LS27/100</f>
        <v>0.07</v>
      </c>
      <c r="LY27" s="70">
        <f t="shared" ref="LY27:LY30" si="31">SUM(LV27:LX27)</f>
        <v>9.57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9.57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294">
        <v>3.0</v>
      </c>
      <c r="F28" s="295" t="s">
        <v>72</v>
      </c>
      <c r="G28" s="300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1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0</v>
      </c>
      <c r="LQ28" s="71">
        <f>IF(OR(G45="",E45=""),0,IF(G45=E45,1,0))+IF(OR(G46="",E46=""),0,IF(G46=E46,1,0))+IF(OR(E48="",G48=""),0,IF(E48=G48,1,0))</f>
        <v>1</v>
      </c>
      <c r="LR28" s="71">
        <f>IF(OR(G45="",E45=""),0,IF(G45&lt;E45,1,0))+IF(OR(G46="",E46=""),0,IF(G46&lt;E46,1,0))+IF(OR(E48="",G48=""),0,IF(E48&lt;G48,1,0))</f>
        <v>2</v>
      </c>
      <c r="LS28" s="71">
        <f>G45+G46+E48</f>
        <v>1</v>
      </c>
      <c r="LT28" s="71">
        <f>E45+E46+G48</f>
        <v>3</v>
      </c>
      <c r="LU28" s="71">
        <f t="shared" si="27"/>
        <v>-2</v>
      </c>
      <c r="LV28" s="70">
        <f t="shared" si="28"/>
        <v>1</v>
      </c>
      <c r="LW28" s="70">
        <f t="shared" si="29"/>
        <v>-0.2</v>
      </c>
      <c r="LX28" s="70">
        <f t="shared" si="30"/>
        <v>0.01</v>
      </c>
      <c r="LY28" s="70">
        <f t="shared" si="31"/>
        <v>0.81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0.81</v>
      </c>
      <c r="MD28" s="70">
        <f>RANK($MC$28,$MC$27:$MC$30,0)</f>
        <v>4</v>
      </c>
      <c r="ME28" s="70">
        <f>IF(OR(AND(MD27=MD28,MD27=MD29,MD27=MD30),AND(MD28=MD27,MD28=MD29),AND(MD28=MD27,MD28=MD30),MD28=MD27),MD28+1,MD28)</f>
        <v>4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41">
        <v>2.0</v>
      </c>
      <c r="F29" s="295" t="s">
        <v>72</v>
      </c>
      <c r="G29" s="300">
        <v>2.0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6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6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0</v>
      </c>
      <c r="LR29" s="71">
        <f>IF(OR(E44="",G44=""),0,IF(E44&lt;G44,1,0))+IF(OR(G47="",E47=""),0,IF(G47&lt;E47,1,0))+IF(OR(G48="",E48=""),0,IF(G48&lt;E48,1,0))</f>
        <v>1</v>
      </c>
      <c r="LS29" s="71">
        <f>E44+G47+G48</f>
        <v>4</v>
      </c>
      <c r="LT29" s="71">
        <f>G44+E47+E48</f>
        <v>2</v>
      </c>
      <c r="LU29" s="71">
        <f t="shared" si="27"/>
        <v>2</v>
      </c>
      <c r="LV29" s="70">
        <f t="shared" si="28"/>
        <v>6</v>
      </c>
      <c r="LW29" s="70">
        <f t="shared" si="29"/>
        <v>0.2</v>
      </c>
      <c r="LX29" s="70">
        <f t="shared" si="30"/>
        <v>0.04</v>
      </c>
      <c r="LY29" s="70">
        <f t="shared" si="31"/>
        <v>6.24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6.24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4</v>
      </c>
      <c r="MH29" s="70" t="str">
        <f t="shared" si="34"/>
        <v>Tunísia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297">
        <v>1.0</v>
      </c>
      <c r="F30" s="298" t="s">
        <v>72</v>
      </c>
      <c r="G30" s="299">
        <v>0.0</v>
      </c>
      <c r="H30" s="117"/>
      <c r="I30" s="96" t="s">
        <v>65</v>
      </c>
      <c r="J30" s="97" t="s">
        <v>88</v>
      </c>
      <c r="K30" s="109"/>
      <c r="L30" s="118" t="str">
        <f>Lopes!MH11</f>
        <v>Inglaterra</v>
      </c>
      <c r="M30" s="119">
        <f>VLOOKUP(L30,Lopes!$LM$11:$LU$14,2,FALSE)</f>
        <v>5</v>
      </c>
      <c r="N30" s="120">
        <f>VLOOKUP(L30,Lopes!$LM$11:$LU$14,3,FALSE)</f>
        <v>3</v>
      </c>
      <c r="O30" s="120">
        <f>VLOOKUP(L30,Lopes!$LM$11:$LU$14,4,FALSE)</f>
        <v>1</v>
      </c>
      <c r="P30" s="120">
        <f>VLOOKUP(L30,Lopes!$LM$11:$LU$14,5,FALSE)</f>
        <v>2</v>
      </c>
      <c r="Q30" s="120">
        <f>VLOOKUP(L30,Lopes!$LM$11:$LU$14,6,FALSE)</f>
        <v>0</v>
      </c>
      <c r="R30" s="120">
        <f>VLOOKUP(L30,Lopes!$LM$11:$LU$14,7,FALSE)</f>
        <v>5</v>
      </c>
      <c r="S30" s="120">
        <f>VLOOKUP(L30,Lopes!$LM$11:$LU$14,8,FALSE)</f>
        <v>2</v>
      </c>
      <c r="T30" s="121">
        <f>VLOOKUP(L30,Lopes!$LM$11:$LU$14,9,FALSE)</f>
        <v>3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2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1</v>
      </c>
      <c r="LR30" s="71">
        <f>IF(OR(G44="",E44=""),0,IF(G44&lt;E44,1,0))+IF(OR(E46="",G46=""),0,IF(E46&lt;G46,1,0))+IF(OR(E49="",G49=""),0,IF(E49&lt;G49,1,0))</f>
        <v>2</v>
      </c>
      <c r="LS30" s="71">
        <f>G44+E46+E49</f>
        <v>2</v>
      </c>
      <c r="LT30" s="71">
        <f>E44+G46+G49</f>
        <v>7</v>
      </c>
      <c r="LU30" s="71">
        <f t="shared" si="27"/>
        <v>-5</v>
      </c>
      <c r="LV30" s="70">
        <f t="shared" si="28"/>
        <v>2</v>
      </c>
      <c r="LW30" s="70">
        <f t="shared" si="29"/>
        <v>-0.5</v>
      </c>
      <c r="LX30" s="70">
        <f t="shared" si="30"/>
        <v>0.02</v>
      </c>
      <c r="LY30" s="70">
        <f t="shared" si="31"/>
        <v>1.52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1.52</v>
      </c>
      <c r="MD30" s="70">
        <f>RANK($MC$30,$MC$27:$MC$30,0)</f>
        <v>3</v>
      </c>
      <c r="ME30" s="70">
        <f>IF(AND(MD27=MD28,MD27=MD29,MD27=MD30),MD30+3,IF(OR(AND(MD30=MD29,MD30=MD28),AND(MD30=MD28,MD30=MD27)),MD30+2,IF(OR(MD30=MD29,MD30=MD28,MD30=MD27),MD30+1,MD30)))</f>
        <v>3</v>
      </c>
      <c r="MF30" s="70">
        <v>4.0</v>
      </c>
      <c r="MG30" s="70">
        <f t="shared" si="33"/>
        <v>2</v>
      </c>
      <c r="MH30" s="70" t="str">
        <f t="shared" si="34"/>
        <v>Austrália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41">
        <v>1.0</v>
      </c>
      <c r="F31" s="295" t="s">
        <v>72</v>
      </c>
      <c r="G31" s="300">
        <v>1.0</v>
      </c>
      <c r="H31" s="108"/>
      <c r="I31" s="96" t="s">
        <v>66</v>
      </c>
      <c r="J31" s="97" t="s">
        <v>73</v>
      </c>
      <c r="K31" s="109"/>
      <c r="L31" s="118" t="str">
        <f>Lopes!MH12</f>
        <v>Estados Unidos</v>
      </c>
      <c r="M31" s="119">
        <f>VLOOKUP(L31,Lopes!$LM$11:$LU$14,2,FALSE)</f>
        <v>5</v>
      </c>
      <c r="N31" s="120">
        <f>VLOOKUP(L31,Lopes!$LM$11:$LU$14,3,FALSE)</f>
        <v>3</v>
      </c>
      <c r="O31" s="120">
        <f>VLOOKUP(L31,Lopes!$LM$11:$LU$14,4,FALSE)</f>
        <v>1</v>
      </c>
      <c r="P31" s="120">
        <f>VLOOKUP(L31,Lopes!$LM$11:$LU$14,5,FALSE)</f>
        <v>2</v>
      </c>
      <c r="Q31" s="120">
        <f>VLOOKUP(L31,Lopes!$LM$11:$LU$14,6,FALSE)</f>
        <v>0</v>
      </c>
      <c r="R31" s="120">
        <f>VLOOKUP(L31,Lopes!$LM$11:$LU$14,7,FALSE)</f>
        <v>5</v>
      </c>
      <c r="S31" s="120">
        <f>VLOOKUP(L31,Lopes!$LM$11:$LU$14,8,FALSE)</f>
        <v>4</v>
      </c>
      <c r="T31" s="121">
        <f>VLOOKUP(L31,Lopes!$LM$11:$LU$14,9,FALSE)</f>
        <v>1</v>
      </c>
      <c r="U31" s="53"/>
      <c r="V31" s="59" t="s">
        <v>81</v>
      </c>
      <c r="W31" s="122" t="str">
        <f t="shared" si="35"/>
        <v>Estados Unidos</v>
      </c>
      <c r="X31" s="236">
        <f>IF(AND(W31&lt;&gt;"",'Resultado Oficial'!W30&lt;&gt;"",'Resultado Oficial'!W31&lt;&gt;""),IF(W31='Resultado Oficial'!W31,5,IF(W31='Resultado Oficial'!W30,2,0)),"")</f>
        <v>5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6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294">
        <v>1.0</v>
      </c>
      <c r="F32" s="295" t="s">
        <v>72</v>
      </c>
      <c r="G32" s="300">
        <v>1.0</v>
      </c>
      <c r="H32" s="108"/>
      <c r="I32" s="96" t="s">
        <v>64</v>
      </c>
      <c r="J32" s="97" t="s">
        <v>88</v>
      </c>
      <c r="K32" s="109"/>
      <c r="L32" s="118" t="str">
        <f>Lopes!MH13</f>
        <v>País de Gales</v>
      </c>
      <c r="M32" s="119">
        <f>VLOOKUP(L32,Lopes!$LM$11:$LU$14,2,FALSE)</f>
        <v>5</v>
      </c>
      <c r="N32" s="120">
        <f>VLOOKUP(L32,Lopes!$LM$11:$LU$14,3,FALSE)</f>
        <v>3</v>
      </c>
      <c r="O32" s="120">
        <f>VLOOKUP(L32,Lopes!$LM$11:$LU$14,4,FALSE)</f>
        <v>1</v>
      </c>
      <c r="P32" s="120">
        <f>VLOOKUP(L32,Lopes!$LM$11:$LU$14,5,FALSE)</f>
        <v>2</v>
      </c>
      <c r="Q32" s="120">
        <f>VLOOKUP(L32,Lopes!$LM$11:$LU$14,6,FALSE)</f>
        <v>0</v>
      </c>
      <c r="R32" s="120">
        <f>VLOOKUP(L32,Lopes!$LM$11:$LU$14,7,FALSE)</f>
        <v>4</v>
      </c>
      <c r="S32" s="120">
        <f>VLOOKUP(L32,Lopes!$LM$11:$LU$14,8,FALSE)</f>
        <v>3</v>
      </c>
      <c r="T32" s="121">
        <f>VLOOKUP(L32,Lopes!$LM$11:$LU$14,9,FALSE)</f>
        <v>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0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294">
        <v>1.0</v>
      </c>
      <c r="F33" s="295" t="s">
        <v>72</v>
      </c>
      <c r="G33" s="300">
        <v>2.0</v>
      </c>
      <c r="H33" s="108"/>
      <c r="I33" s="96" t="s">
        <v>66</v>
      </c>
      <c r="J33" s="97" t="s">
        <v>76</v>
      </c>
      <c r="K33" s="123"/>
      <c r="L33" s="124" t="str">
        <f>Lopes!MH14</f>
        <v>Irã</v>
      </c>
      <c r="M33" s="125">
        <f>VLOOKUP(L33,Lopes!$LM$11:$LU$14,2,FALSE)</f>
        <v>0</v>
      </c>
      <c r="N33" s="126">
        <f>VLOOKUP(L33,Lopes!$LM$11:$LU$14,3,FALSE)</f>
        <v>3</v>
      </c>
      <c r="O33" s="126">
        <f>VLOOKUP(L33,Lopes!$LM$11:$LU$14,4,FALSE)</f>
        <v>0</v>
      </c>
      <c r="P33" s="126">
        <f>VLOOKUP(L33,Lopes!$LM$11:$LU$14,5,FALSE)</f>
        <v>0</v>
      </c>
      <c r="Q33" s="126">
        <f>VLOOKUP(L33,Lopes!$LM$11:$LU$14,6,FALSE)</f>
        <v>3</v>
      </c>
      <c r="R33" s="126">
        <f>VLOOKUP(L33,Lopes!$LM$11:$LU$14,7,FALSE)</f>
        <v>1</v>
      </c>
      <c r="S33" s="126">
        <f>VLOOKUP(L33,Lopes!$LM$11:$LU$14,8,FALSE)</f>
        <v>6</v>
      </c>
      <c r="T33" s="127">
        <f>VLOOKUP(L33,Lopes!$LM$11:$LU$14,9,FALSE)</f>
        <v>-5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6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301"/>
      <c r="F34" s="301"/>
      <c r="G34" s="301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0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6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2</v>
      </c>
      <c r="LQ35" s="71">
        <f>IF(OR(E53="",G53=""),0,IF(E53=G53,1,0))+IF(OR(E55="",G55=""),0,IF(E55=G55,1,0))+IF(OR(G56="",E56=""),0,IF(G56=E56,1,0))</f>
        <v>0</v>
      </c>
      <c r="LR35" s="71">
        <f>IF(OR(E53="",G53=""),0,IF(E53&lt;G53,1,0))+IF(OR(E55="",G55=""),0,IF(E55&lt;G55,1,0))+IF(OR(G56="",E56=""),0,IF(G56&lt;E56,1,0))</f>
        <v>1</v>
      </c>
      <c r="LS35" s="71">
        <f>E53+E55+G56</f>
        <v>5</v>
      </c>
      <c r="LT35" s="71">
        <f>G53+G55+E56</f>
        <v>3</v>
      </c>
      <c r="LU35" s="71">
        <f t="shared" ref="LU35:LU38" si="36">LS35-LT35</f>
        <v>2</v>
      </c>
      <c r="LV35" s="70">
        <f t="shared" ref="LV35:LV38" si="37">LN35</f>
        <v>6</v>
      </c>
      <c r="LW35" s="70">
        <f t="shared" ref="LW35:LW38" si="38">LU35/10</f>
        <v>0.2</v>
      </c>
      <c r="LX35" s="70">
        <f t="shared" ref="LX35:LX38" si="39">LS35/100</f>
        <v>0.05</v>
      </c>
      <c r="LY35" s="70">
        <f t="shared" ref="LY35:LY38" si="40">SUM(LV35:LX35)</f>
        <v>6.25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6.25</v>
      </c>
      <c r="MD35" s="70">
        <f>RANK($MC$35,$MC$35:$MC$38,0)</f>
        <v>2</v>
      </c>
      <c r="ME35" s="70">
        <f>MD35</f>
        <v>2</v>
      </c>
      <c r="MF35" s="70">
        <v>1.0</v>
      </c>
      <c r="MG35" s="70">
        <f t="shared" ref="MG35:MG38" si="42">MATCH(MF35,$ME$35:$ME$38,0)</f>
        <v>3</v>
      </c>
      <c r="MH35" s="70" t="str">
        <f t="shared" ref="MH35:MH38" si="43">INDEX($LM$35:$LM$38,MG35)</f>
        <v>Alemanha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294">
        <v>2.0</v>
      </c>
      <c r="F36" s="295" t="s">
        <v>72</v>
      </c>
      <c r="G36" s="300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0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0</v>
      </c>
      <c r="LR36" s="71">
        <f>IF(OR(G53="",E53=""),0,IF(G53&lt;E53,1,0))+IF(OR(G54="",E54=""),0,IF(G54&lt;E54,1,0))+IF(OR(E57="",G57=""),0,IF(E57&lt;G57,1,0))</f>
        <v>3</v>
      </c>
      <c r="LS36" s="71">
        <f>G53+G54+E57</f>
        <v>1</v>
      </c>
      <c r="LT36" s="71">
        <f>E53+E54+G57</f>
        <v>6</v>
      </c>
      <c r="LU36" s="71">
        <f t="shared" si="36"/>
        <v>-5</v>
      </c>
      <c r="LV36" s="70">
        <f t="shared" si="37"/>
        <v>0</v>
      </c>
      <c r="LW36" s="70">
        <f t="shared" si="38"/>
        <v>-0.5</v>
      </c>
      <c r="LX36" s="70">
        <f t="shared" si="39"/>
        <v>0.01</v>
      </c>
      <c r="LY36" s="70">
        <f t="shared" si="40"/>
        <v>-0.49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-0.49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1</v>
      </c>
      <c r="MH36" s="70" t="str">
        <f t="shared" si="43"/>
        <v>Espanha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294">
        <v>1.0</v>
      </c>
      <c r="F37" s="295" t="s">
        <v>72</v>
      </c>
      <c r="G37" s="300">
        <v>3.0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9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3</v>
      </c>
      <c r="LQ37" s="71">
        <f>IF(OR(E52="",G52=""),0,IF(E52=G52,1,0))+IF(OR(G55="",E55=""),0,IF(G55=E55,1,0))+IF(OR(G57="",E57=""),0,IF(G57=E57,1,0))</f>
        <v>0</v>
      </c>
      <c r="LR37" s="71">
        <f>IF(OR(E52="",G52=""),0,IF(E52&lt;G52,1,0))+IF(OR(G55="",E55=""),0,IF(G55&lt;E55,1,0))+IF(OR(G57="",E57=""),0,IF(G57&lt;E57,1,0))</f>
        <v>0</v>
      </c>
      <c r="LS37" s="71">
        <f>E52+G55+G57</f>
        <v>10</v>
      </c>
      <c r="LT37" s="71">
        <f>G52+E55+E57</f>
        <v>3</v>
      </c>
      <c r="LU37" s="71">
        <f t="shared" si="36"/>
        <v>7</v>
      </c>
      <c r="LV37" s="70">
        <f t="shared" si="37"/>
        <v>9</v>
      </c>
      <c r="LW37" s="70">
        <f t="shared" si="38"/>
        <v>0.7</v>
      </c>
      <c r="LX37" s="70">
        <f t="shared" si="39"/>
        <v>0.1</v>
      </c>
      <c r="LY37" s="70">
        <f t="shared" si="40"/>
        <v>9.8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9.8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1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297">
        <v>1.0</v>
      </c>
      <c r="F38" s="298" t="s">
        <v>72</v>
      </c>
      <c r="G38" s="299">
        <v>0.0</v>
      </c>
      <c r="H38" s="117"/>
      <c r="I38" s="96" t="s">
        <v>75</v>
      </c>
      <c r="J38" s="97" t="s">
        <v>99</v>
      </c>
      <c r="K38" s="109"/>
      <c r="L38" s="118" t="str">
        <f>Lopes!MH19</f>
        <v>Argentina</v>
      </c>
      <c r="M38" s="119">
        <f>VLOOKUP(L38,Lopes!$LM$19:$LU$22,2,FALSE)</f>
        <v>9</v>
      </c>
      <c r="N38" s="120">
        <f>VLOOKUP(L38,Lopes!$LM$19:$LU$22,3,FALSE)</f>
        <v>3</v>
      </c>
      <c r="O38" s="120">
        <f>VLOOKUP(L38,Lopes!$LM$19:$LU$22,4,FALSE)</f>
        <v>3</v>
      </c>
      <c r="P38" s="120">
        <f>VLOOKUP(L38,Lopes!$LM$19:$LU$22,5,FALSE)</f>
        <v>0</v>
      </c>
      <c r="Q38" s="120">
        <f>VLOOKUP(L38,Lopes!$LM$19:$LU$22,6,FALSE)</f>
        <v>0</v>
      </c>
      <c r="R38" s="120">
        <f>VLOOKUP(L38,Lopes!$LM$19:$LU$22,7,FALSE)</f>
        <v>4</v>
      </c>
      <c r="S38" s="120">
        <f>VLOOKUP(L38,Lopes!$LM$19:$LU$22,8,FALSE)</f>
        <v>0</v>
      </c>
      <c r="T38" s="121">
        <f>VLOOKUP(L38,Lopes!$LM$19:$LU$22,9,FALSE)</f>
        <v>4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3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1</v>
      </c>
      <c r="LQ38" s="71">
        <f>IF(OR(G52="",E52=""),0,IF(G52=E52,1,0))+IF(OR(E54="",G54=""),0,IF(E54=G54,1,0))+IF(OR(E56="",G56=""),0,IF(E56=G56,1,0))</f>
        <v>0</v>
      </c>
      <c r="LR38" s="71">
        <f>IF(OR(G52="",E52=""),0,IF(G52&lt;E52,1,0))+IF(OR(E54="",G54=""),0,IF(E54&lt;G54,1,0))+IF(OR(E56="",G56=""),0,IF(E56&lt;G56,1,0))</f>
        <v>2</v>
      </c>
      <c r="LS38" s="71">
        <f>G52+E54+E56</f>
        <v>3</v>
      </c>
      <c r="LT38" s="71">
        <f>E52+G54+G56</f>
        <v>7</v>
      </c>
      <c r="LU38" s="71">
        <f t="shared" si="36"/>
        <v>-4</v>
      </c>
      <c r="LV38" s="70">
        <f t="shared" si="37"/>
        <v>3</v>
      </c>
      <c r="LW38" s="70">
        <f t="shared" si="38"/>
        <v>-0.4</v>
      </c>
      <c r="LX38" s="70">
        <f t="shared" si="39"/>
        <v>0.03</v>
      </c>
      <c r="LY38" s="70">
        <f t="shared" si="40"/>
        <v>2.63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2.63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294">
        <v>1.0</v>
      </c>
      <c r="F39" s="295" t="s">
        <v>72</v>
      </c>
      <c r="G39" s="300">
        <v>0.0</v>
      </c>
      <c r="H39" s="108"/>
      <c r="I39" s="96" t="s">
        <v>77</v>
      </c>
      <c r="J39" s="97" t="s">
        <v>94</v>
      </c>
      <c r="K39" s="109"/>
      <c r="L39" s="118" t="str">
        <f>Lopes!MH20</f>
        <v>Polônia</v>
      </c>
      <c r="M39" s="119">
        <f>VLOOKUP(L39,Lopes!$LM$19:$LU$22,2,FALSE)</f>
        <v>6</v>
      </c>
      <c r="N39" s="120">
        <f>VLOOKUP(L39,Lopes!$LM$19:$LU$22,3,FALSE)</f>
        <v>3</v>
      </c>
      <c r="O39" s="120">
        <f>VLOOKUP(L39,Lopes!$LM$19:$LU$22,4,FALSE)</f>
        <v>1</v>
      </c>
      <c r="P39" s="120">
        <f>VLOOKUP(L39,Lopes!$LM$19:$LU$22,5,FALSE)</f>
        <v>0</v>
      </c>
      <c r="Q39" s="120">
        <f>VLOOKUP(L39,Lopes!$LM$19:$LU$22,6,FALSE)</f>
        <v>1</v>
      </c>
      <c r="R39" s="120">
        <f>VLOOKUP(L39,Lopes!$LM$19:$LU$22,7,FALSE)</f>
        <v>4</v>
      </c>
      <c r="S39" s="120">
        <f>VLOOKUP(L39,Lopes!$LM$19:$LU$22,8,FALSE)</f>
        <v>2</v>
      </c>
      <c r="T39" s="121">
        <f>VLOOKUP(L39,Lopes!$LM$19:$LU$22,9,FALSE)</f>
        <v>2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294">
        <v>0.0</v>
      </c>
      <c r="F40" s="295" t="s">
        <v>72</v>
      </c>
      <c r="G40" s="300">
        <v>1.0</v>
      </c>
      <c r="H40" s="108"/>
      <c r="I40" s="96" t="s">
        <v>71</v>
      </c>
      <c r="J40" s="97" t="s">
        <v>97</v>
      </c>
      <c r="K40" s="109"/>
      <c r="L40" s="118" t="str">
        <f>Lopes!MH21</f>
        <v>México</v>
      </c>
      <c r="M40" s="119">
        <f>VLOOKUP(L40,Lopes!$LM$19:$LU$22,2,FALSE)</f>
        <v>1</v>
      </c>
      <c r="N40" s="120">
        <f>VLOOKUP(L40,Lopes!$LM$19:$LU$22,3,FALSE)</f>
        <v>3</v>
      </c>
      <c r="O40" s="120">
        <f>VLOOKUP(L40,Lopes!$LM$19:$LU$22,4,FALSE)</f>
        <v>0</v>
      </c>
      <c r="P40" s="120">
        <f>VLOOKUP(L40,Lopes!$LM$19:$LU$22,5,FALSE)</f>
        <v>1</v>
      </c>
      <c r="Q40" s="120">
        <f>VLOOKUP(L40,Lopes!$LM$19:$LU$22,6,FALSE)</f>
        <v>2</v>
      </c>
      <c r="R40" s="120">
        <f>VLOOKUP(L40,Lopes!$LM$19:$LU$22,7,FALSE)</f>
        <v>2</v>
      </c>
      <c r="S40" s="120">
        <f>VLOOKUP(L40,Lopes!$LM$19:$LU$22,8,FALSE)</f>
        <v>5</v>
      </c>
      <c r="T40" s="121">
        <f>VLOOKUP(L40,Lopes!$LM$19:$LU$22,9,FALSE)</f>
        <v>-3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3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294">
        <v>1.0</v>
      </c>
      <c r="F41" s="295" t="s">
        <v>72</v>
      </c>
      <c r="G41" s="300">
        <v>1.0</v>
      </c>
      <c r="H41" s="108"/>
      <c r="I41" s="96" t="s">
        <v>77</v>
      </c>
      <c r="J41" s="97" t="s">
        <v>94</v>
      </c>
      <c r="K41" s="123"/>
      <c r="L41" s="124" t="str">
        <f>Lopes!MH22</f>
        <v>Arábia Saudita</v>
      </c>
      <c r="M41" s="125">
        <f>VLOOKUP(L41,Lopes!$LM$19:$LU$22,2,FALSE)</f>
        <v>1</v>
      </c>
      <c r="N41" s="126">
        <f>VLOOKUP(L41,Lopes!$LM$19:$LU$22,3,FALSE)</f>
        <v>3</v>
      </c>
      <c r="O41" s="126">
        <f>VLOOKUP(L41,Lopes!$LM$19:$LU$22,4,FALSE)</f>
        <v>0</v>
      </c>
      <c r="P41" s="126">
        <f>VLOOKUP(L41,Lopes!$LM$19:$LU$22,5,FALSE)</f>
        <v>1</v>
      </c>
      <c r="Q41" s="126">
        <f>VLOOKUP(L41,Lopes!$LM$19:$LU$22,6,FALSE)</f>
        <v>2</v>
      </c>
      <c r="R41" s="126">
        <f>VLOOKUP(L41,Lopes!$LM$19:$LU$22,7,FALSE)</f>
        <v>1</v>
      </c>
      <c r="S41" s="126">
        <f>VLOOKUP(L41,Lopes!$LM$19:$LU$22,8,FALSE)</f>
        <v>4</v>
      </c>
      <c r="T41" s="127">
        <f>VLOOKUP(L41,Lopes!$LM$19:$LU$22,9,FALSE)</f>
        <v>-3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0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301"/>
      <c r="F42" s="301"/>
      <c r="G42" s="301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9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3</v>
      </c>
      <c r="LQ43" s="71">
        <f>IF(OR(E61="",G61=""),0,IF(E61=G61,1,0))+IF(OR(E62="",G62=""),0,IF(E62=G62,1,0))+IF(OR(G64="",E64=""),0,IF(G64=E64,1,0))</f>
        <v>0</v>
      </c>
      <c r="LR43" s="71">
        <f>IF(OR(E61="",G61=""),0,IF(E61&lt;G61,1,0))+IF(OR(E62="",G62=""),0,IF(E62&lt;G62,1,0))+IF(OR(G64="",E64=""),0,IF(G64&lt;E64,1,0))</f>
        <v>0</v>
      </c>
      <c r="LS43" s="71">
        <f>E61+E62+G64</f>
        <v>4</v>
      </c>
      <c r="LT43" s="71">
        <f>G61+G62+E64</f>
        <v>0</v>
      </c>
      <c r="LU43" s="71">
        <f t="shared" ref="LU43:LU46" si="45">LS43-LT43</f>
        <v>4</v>
      </c>
      <c r="LV43" s="70">
        <f t="shared" ref="LV43:LV46" si="46">LN43</f>
        <v>9</v>
      </c>
      <c r="LW43" s="70">
        <f t="shared" ref="LW43:LW46" si="47">LU43/10</f>
        <v>0.4</v>
      </c>
      <c r="LX43" s="70">
        <f t="shared" ref="LX43:LX46" si="48">LS43/100</f>
        <v>0.04</v>
      </c>
      <c r="LY43" s="70">
        <f t="shared" ref="LY43:LY46" si="49">SUM(LV43:LX43)</f>
        <v>9.44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9.44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294">
        <v>2.0</v>
      </c>
      <c r="F44" s="295" t="s">
        <v>72</v>
      </c>
      <c r="G44" s="300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0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0</v>
      </c>
      <c r="LR44" s="71">
        <f>IF(OR(G61="",E61=""),0,IF(G61&lt;E61,1,0))+IF(OR(G63="",E63=""),0,IF(G63&lt;E63,1,0))+IF(OR(E65="",G65=""),0,IF(E65&lt;G65,1,0))</f>
        <v>3</v>
      </c>
      <c r="LS44" s="71">
        <f>G61+G63+E65</f>
        <v>0</v>
      </c>
      <c r="LT44" s="71">
        <f>E61+E63+G65</f>
        <v>3</v>
      </c>
      <c r="LU44" s="71">
        <f t="shared" si="45"/>
        <v>-3</v>
      </c>
      <c r="LV44" s="70">
        <f t="shared" si="46"/>
        <v>0</v>
      </c>
      <c r="LW44" s="70">
        <f t="shared" si="47"/>
        <v>-0.3</v>
      </c>
      <c r="LX44" s="70">
        <f t="shared" si="48"/>
        <v>0</v>
      </c>
      <c r="LY44" s="70">
        <f t="shared" si="49"/>
        <v>-0.3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-0.3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294">
        <v>1.0</v>
      </c>
      <c r="F45" s="295" t="s">
        <v>72</v>
      </c>
      <c r="G45" s="300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3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1</v>
      </c>
      <c r="LQ45" s="71">
        <f>IF(OR(E60="",G60=""),0,IF(E60=G60,1,0))+IF(OR(G62="",E62=""),0,IF(G62=E62,1,0))+IF(OR(G65="",E65=""),0,IF(G65=E65,1,0))</f>
        <v>0</v>
      </c>
      <c r="LR45" s="71">
        <f>IF(OR(E60="",G60=""),0,IF(E60&lt;G60,1,0))+IF(OR(G62="",E62=""),0,IF(G62&lt;E62,1,0))+IF(OR(G65="",E65=""),0,IF(G65&lt;E65,1,0))</f>
        <v>2</v>
      </c>
      <c r="LS45" s="71">
        <f>E60+G62+G65</f>
        <v>1</v>
      </c>
      <c r="LT45" s="71">
        <f>G60+E62+E65</f>
        <v>5</v>
      </c>
      <c r="LU45" s="71">
        <f t="shared" si="45"/>
        <v>-4</v>
      </c>
      <c r="LV45" s="70">
        <f t="shared" si="46"/>
        <v>3</v>
      </c>
      <c r="LW45" s="70">
        <f t="shared" si="47"/>
        <v>-0.4</v>
      </c>
      <c r="LX45" s="70">
        <f t="shared" si="48"/>
        <v>0.01</v>
      </c>
      <c r="LY45" s="70">
        <f t="shared" si="49"/>
        <v>2.61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2.61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297">
        <v>1.0</v>
      </c>
      <c r="F46" s="298" t="s">
        <v>72</v>
      </c>
      <c r="G46" s="299">
        <v>1.0</v>
      </c>
      <c r="H46" s="117"/>
      <c r="I46" s="96" t="s">
        <v>87</v>
      </c>
      <c r="J46" s="97" t="s">
        <v>106</v>
      </c>
      <c r="K46" s="109"/>
      <c r="L46" s="118" t="str">
        <f>Lopes!MH27</f>
        <v>França</v>
      </c>
      <c r="M46" s="119">
        <f>VLOOKUP(L46,Lopes!$LM$27:$LU$30,2,FALSE)</f>
        <v>9</v>
      </c>
      <c r="N46" s="120">
        <f>VLOOKUP(L46,Lopes!$LM$27:$LU$30,3,FALSE)</f>
        <v>3</v>
      </c>
      <c r="O46" s="120">
        <f>VLOOKUP(L46,Lopes!$LM$27:$LU$30,4,FALSE)</f>
        <v>3</v>
      </c>
      <c r="P46" s="120">
        <f>VLOOKUP(L46,Lopes!$LM$27:$LU$30,5,FALSE)</f>
        <v>0</v>
      </c>
      <c r="Q46" s="120">
        <f>VLOOKUP(L46,Lopes!$LM$27:$LU$30,6,FALSE)</f>
        <v>0</v>
      </c>
      <c r="R46" s="120">
        <f>VLOOKUP(L46,Lopes!$LM$27:$LU$30,7,FALSE)</f>
        <v>7</v>
      </c>
      <c r="S46" s="120">
        <f>VLOOKUP(L46,Lopes!$LM$27:$LU$30,8,FALSE)</f>
        <v>2</v>
      </c>
      <c r="T46" s="121">
        <f>VLOOKUP(L46,Lopes!$LM$27:$LU$30,9,FALSE)</f>
        <v>5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6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2</v>
      </c>
      <c r="LQ46" s="71">
        <f>IF(OR(G60="",E60=""),0,IF(G60=E60,1,0))+IF(OR(E63="",G63=""),0,IF(E63=G63,1,0))+IF(OR(E64="",G64=""),0,IF(E64=G64,1,0))</f>
        <v>0</v>
      </c>
      <c r="LR46" s="71">
        <f>IF(OR(G60="",E60=""),0,IF(G60&lt;E60,1,0))+IF(OR(E63="",G63=""),0,IF(E63&lt;G63,1,0))+IF(OR(E64="",G64=""),0,IF(E64&lt;G64,1,0))</f>
        <v>1</v>
      </c>
      <c r="LS46" s="71">
        <f>G60+E63+E64</f>
        <v>4</v>
      </c>
      <c r="LT46" s="71">
        <f>E60+G63+G64</f>
        <v>1</v>
      </c>
      <c r="LU46" s="71">
        <f t="shared" si="45"/>
        <v>3</v>
      </c>
      <c r="LV46" s="70">
        <f t="shared" si="46"/>
        <v>6</v>
      </c>
      <c r="LW46" s="70">
        <f t="shared" si="47"/>
        <v>0.3</v>
      </c>
      <c r="LX46" s="70">
        <f t="shared" si="48"/>
        <v>0.04</v>
      </c>
      <c r="LY46" s="70">
        <f t="shared" si="49"/>
        <v>6.34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6.34</v>
      </c>
      <c r="MD46" s="70">
        <f>RANK($MC$46,$MC$43:$MC$46,0)</f>
        <v>2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2</v>
      </c>
      <c r="MH46" s="70" t="str">
        <f t="shared" si="52"/>
        <v>Canadá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294">
        <v>2.0</v>
      </c>
      <c r="F47" s="295" t="s">
        <v>72</v>
      </c>
      <c r="G47" s="300">
        <v>1.0</v>
      </c>
      <c r="H47" s="108"/>
      <c r="I47" s="96" t="s">
        <v>89</v>
      </c>
      <c r="J47" s="97" t="s">
        <v>97</v>
      </c>
      <c r="K47" s="109"/>
      <c r="L47" s="118" t="str">
        <f>Lopes!MH28</f>
        <v>Dinamarca</v>
      </c>
      <c r="M47" s="119">
        <f>VLOOKUP(L47,Lopes!$LM$27:$LU$30,2,FALSE)</f>
        <v>6</v>
      </c>
      <c r="N47" s="120">
        <f>VLOOKUP(L47,Lopes!$LM$27:$LU$30,3,FALSE)</f>
        <v>3</v>
      </c>
      <c r="O47" s="120">
        <f>VLOOKUP(L47,Lopes!$LM$27:$LU$30,4,FALSE)</f>
        <v>2</v>
      </c>
      <c r="P47" s="120">
        <f>VLOOKUP(L47,Lopes!$LM$27:$LU$30,5,FALSE)</f>
        <v>0</v>
      </c>
      <c r="Q47" s="120">
        <f>VLOOKUP(L47,Lopes!$LM$27:$LU$30,6,FALSE)</f>
        <v>1</v>
      </c>
      <c r="R47" s="120">
        <f>VLOOKUP(L47,Lopes!$LM$27:$LU$30,7,FALSE)</f>
        <v>4</v>
      </c>
      <c r="S47" s="120">
        <f>VLOOKUP(L47,Lopes!$LM$27:$LU$30,8,FALSE)</f>
        <v>2</v>
      </c>
      <c r="T47" s="121">
        <f>VLOOKUP(L47,Lopes!$LM$27:$LU$30,9,FALSE)</f>
        <v>2</v>
      </c>
      <c r="U47" s="53"/>
      <c r="V47" s="59" t="s">
        <v>81</v>
      </c>
      <c r="W47" s="122" t="str">
        <f t="shared" si="53"/>
        <v>Dinamarca</v>
      </c>
      <c r="X47" s="236">
        <f>IF(AND(W47&lt;&gt;"",'Resultado Oficial'!W46&lt;&gt;"",'Resultado Oficial'!W47&lt;&gt;""),IF(W47='Resultado Oficial'!W47,5,IF(W47='Resultado Oficial'!W46,2,0)),"")</f>
        <v>0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10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294">
        <v>0.0</v>
      </c>
      <c r="F48" s="295" t="s">
        <v>72</v>
      </c>
      <c r="G48" s="300">
        <v>1.0</v>
      </c>
      <c r="H48" s="108"/>
      <c r="I48" s="96" t="s">
        <v>89</v>
      </c>
      <c r="J48" s="97" t="s">
        <v>106</v>
      </c>
      <c r="K48" s="109"/>
      <c r="L48" s="118" t="str">
        <f>Lopes!MH29</f>
        <v>Tunísia</v>
      </c>
      <c r="M48" s="119">
        <f>VLOOKUP(L48,Lopes!$LM$27:$LU$30,2,FALSE)</f>
        <v>2</v>
      </c>
      <c r="N48" s="120">
        <f>VLOOKUP(L48,Lopes!$LM$27:$LU$30,3,FALSE)</f>
        <v>3</v>
      </c>
      <c r="O48" s="120">
        <f>VLOOKUP(L48,Lopes!$LM$27:$LU$30,4,FALSE)</f>
        <v>0</v>
      </c>
      <c r="P48" s="120">
        <f>VLOOKUP(L48,Lopes!$LM$27:$LU$30,5,FALSE)</f>
        <v>1</v>
      </c>
      <c r="Q48" s="120">
        <f>VLOOKUP(L48,Lopes!$LM$27:$LU$30,6,FALSE)</f>
        <v>2</v>
      </c>
      <c r="R48" s="120">
        <f>VLOOKUP(L48,Lopes!$LM$27:$LU$30,7,FALSE)</f>
        <v>2</v>
      </c>
      <c r="S48" s="120">
        <f>VLOOKUP(L48,Lopes!$LM$27:$LU$30,8,FALSE)</f>
        <v>7</v>
      </c>
      <c r="T48" s="121">
        <f>VLOOKUP(L48,Lopes!$LM$27:$LU$30,9,FALSE)</f>
        <v>-5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294">
        <v>1.0</v>
      </c>
      <c r="F49" s="295" t="s">
        <v>72</v>
      </c>
      <c r="G49" s="300">
        <v>4.0</v>
      </c>
      <c r="H49" s="108"/>
      <c r="I49" s="96" t="s">
        <v>85</v>
      </c>
      <c r="J49" s="97" t="s">
        <v>99</v>
      </c>
      <c r="K49" s="123"/>
      <c r="L49" s="124" t="str">
        <f>Lopes!MH30</f>
        <v>Austrália</v>
      </c>
      <c r="M49" s="125">
        <f>VLOOKUP(L49,Lopes!$LM$27:$LU$30,2,FALSE)</f>
        <v>1</v>
      </c>
      <c r="N49" s="126">
        <f>VLOOKUP(L49,Lopes!$LM$27:$LU$30,3,FALSE)</f>
        <v>3</v>
      </c>
      <c r="O49" s="126">
        <f>VLOOKUP(L49,Lopes!$LM$27:$LU$30,4,FALSE)</f>
        <v>0</v>
      </c>
      <c r="P49" s="126">
        <f>VLOOKUP(L49,Lopes!$LM$27:$LU$30,5,FALSE)</f>
        <v>1</v>
      </c>
      <c r="Q49" s="126">
        <f>VLOOKUP(L49,Lopes!$LM$27:$LU$30,6,FALSE)</f>
        <v>2</v>
      </c>
      <c r="R49" s="126">
        <f>VLOOKUP(L49,Lopes!$LM$27:$LU$30,7,FALSE)</f>
        <v>1</v>
      </c>
      <c r="S49" s="126">
        <f>VLOOKUP(L49,Lopes!$LM$27:$LU$30,8,FALSE)</f>
        <v>3</v>
      </c>
      <c r="T49" s="127">
        <f>VLOOKUP(L49,Lopes!$LM$27:$LU$30,9,FALSE)</f>
        <v>-2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301"/>
      <c r="F50" s="301"/>
      <c r="G50" s="301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9</v>
      </c>
      <c r="LT51" s="71">
        <f>G69+G71+E73</f>
        <v>4</v>
      </c>
      <c r="LU51" s="71">
        <f t="shared" ref="LU51:LU54" si="54">LS51-LT51</f>
        <v>5</v>
      </c>
      <c r="LV51" s="70">
        <f t="shared" ref="LV51:LV54" si="55">LN51</f>
        <v>9</v>
      </c>
      <c r="LW51" s="70">
        <f t="shared" ref="LW51:LW54" si="56">LU51/10</f>
        <v>0.5</v>
      </c>
      <c r="LX51" s="70">
        <f t="shared" ref="LX51:LX54" si="57">LS51/100</f>
        <v>0.09</v>
      </c>
      <c r="LY51" s="70">
        <f t="shared" ref="LY51:LY54" si="58">SUM(LV51:LX51)</f>
        <v>9.59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9.59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294">
        <v>4.0</v>
      </c>
      <c r="F52" s="295" t="s">
        <v>72</v>
      </c>
      <c r="G52" s="300">
        <v>1.0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1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0</v>
      </c>
      <c r="LQ52" s="71">
        <f>IF(OR(G69="",E69=""),0,IF(G69=E69,1,0))+IF(OR(G70="",E70=""),0,IF(G70=E70,1,0))+IF(OR(E72="",G72=""),0,IF(E72=G72,1,0))</f>
        <v>1</v>
      </c>
      <c r="LR52" s="71">
        <f>IF(OR(G69="",E69=""),0,IF(G69&lt;E69,1,0))+IF(OR(G70="",E70=""),0,IF(G70&lt;E70,1,0))+IF(OR(E72="",G72=""),0,IF(E72&lt;G72,1,0))</f>
        <v>2</v>
      </c>
      <c r="LS52" s="71">
        <f>G69+G70+E72</f>
        <v>3</v>
      </c>
      <c r="LT52" s="71">
        <f>E69+E70+G72</f>
        <v>6</v>
      </c>
      <c r="LU52" s="71">
        <f t="shared" si="54"/>
        <v>-3</v>
      </c>
      <c r="LV52" s="70">
        <f t="shared" si="55"/>
        <v>1</v>
      </c>
      <c r="LW52" s="70">
        <f t="shared" si="56"/>
        <v>-0.3</v>
      </c>
      <c r="LX52" s="70">
        <f t="shared" si="57"/>
        <v>0.03</v>
      </c>
      <c r="LY52" s="70">
        <f t="shared" si="58"/>
        <v>0.73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0.73</v>
      </c>
      <c r="MD52" s="70">
        <f>RANK($MC$52,$MC$51:$MC$54,0)</f>
        <v>4</v>
      </c>
      <c r="ME52" s="70">
        <f>IF(OR(AND(MD51=MD52,MD51=MD53,MD51=MD54),AND(MD52=MD51,MD52=MD53),AND(MD52=MD51,MD52=MD54),MD52=MD51),MD52+1,MD52)</f>
        <v>4</v>
      </c>
      <c r="MF52" s="70">
        <v>2.0</v>
      </c>
      <c r="MG52" s="70">
        <f t="shared" si="60"/>
        <v>3</v>
      </c>
      <c r="MH52" s="70" t="str">
        <f t="shared" si="61"/>
        <v>Suiça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294">
        <v>1.0</v>
      </c>
      <c r="F53" s="295" t="s">
        <v>72</v>
      </c>
      <c r="G53" s="300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6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2</v>
      </c>
      <c r="LQ53" s="71">
        <f>IF(OR(E68="",G68=""),0,IF(E68=G68,1,0))+IF(OR(G71="",E71=""),0,IF(G71=E71,1,0))+IF(OR(G72="",E72=""),0,IF(G72=E72,1,0))</f>
        <v>0</v>
      </c>
      <c r="LR53" s="71">
        <f>IF(OR(E68="",G68=""),0,IF(E68&lt;G68,1,0))+IF(OR(G71="",E71=""),0,IF(G71&lt;E71,1,0))+IF(OR(G72="",E72=""),0,IF(G72&lt;E72,1,0))</f>
        <v>1</v>
      </c>
      <c r="LS53" s="71">
        <f>E68+G71+G72</f>
        <v>3</v>
      </c>
      <c r="LT53" s="71">
        <f>G68+E71+E72</f>
        <v>2</v>
      </c>
      <c r="LU53" s="71">
        <f t="shared" si="54"/>
        <v>1</v>
      </c>
      <c r="LV53" s="70">
        <f t="shared" si="55"/>
        <v>6</v>
      </c>
      <c r="LW53" s="70">
        <f t="shared" si="56"/>
        <v>0.1</v>
      </c>
      <c r="LX53" s="70">
        <f t="shared" si="57"/>
        <v>0.03</v>
      </c>
      <c r="LY53" s="70">
        <f t="shared" si="58"/>
        <v>6.13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6.13</v>
      </c>
      <c r="MD53" s="70">
        <f>RANK($MC$53,$MC$51:$MC$54,0)</f>
        <v>2</v>
      </c>
      <c r="ME53" s="70">
        <f>IF(OR(AND(MD51=MD52,MD51=MD53,MD51=MD54),AND(MD53=MD51,MD53=MD52)),MD53+2,IF(OR(AND(MD53=MD52,MD53=MD54),MD53=MD51,MD53=MD52),MD53+1,MD53))</f>
        <v>2</v>
      </c>
      <c r="MF53" s="70">
        <v>3.0</v>
      </c>
      <c r="MG53" s="70">
        <f t="shared" si="60"/>
        <v>4</v>
      </c>
      <c r="MH53" s="70" t="str">
        <f t="shared" si="61"/>
        <v>Camarões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297">
        <v>1.0</v>
      </c>
      <c r="F54" s="298" t="s">
        <v>72</v>
      </c>
      <c r="G54" s="299">
        <v>0.0</v>
      </c>
      <c r="H54" s="117"/>
      <c r="I54" s="96" t="s">
        <v>96</v>
      </c>
      <c r="J54" s="97" t="s">
        <v>115</v>
      </c>
      <c r="K54" s="109"/>
      <c r="L54" s="118" t="str">
        <f>Lopes!MH35</f>
        <v>Alemanha</v>
      </c>
      <c r="M54" s="119">
        <f>VLOOKUP(L54,Lopes!$LM$35:$LU$38,2,FALSE)</f>
        <v>9</v>
      </c>
      <c r="N54" s="120">
        <f>VLOOKUP(L54,Lopes!$LM$35:$LU$38,3,FALSE)</f>
        <v>3</v>
      </c>
      <c r="O54" s="120">
        <f>VLOOKUP(L54,Lopes!$LM$35:$LU$38,4,FALSE)</f>
        <v>3</v>
      </c>
      <c r="P54" s="120">
        <f>VLOOKUP(L54,Lopes!$LM$35:$LU$38,5,FALSE)</f>
        <v>0</v>
      </c>
      <c r="Q54" s="120">
        <f>VLOOKUP(L54,Lopes!$LM$35:$LU$38,6,FALSE)</f>
        <v>0</v>
      </c>
      <c r="R54" s="120">
        <f>VLOOKUP(L54,Lopes!$LM$35:$LU$38,7,FALSE)</f>
        <v>10</v>
      </c>
      <c r="S54" s="120">
        <f>VLOOKUP(L54,Lopes!$LM$35:$LU$38,8,FALSE)</f>
        <v>3</v>
      </c>
      <c r="T54" s="121">
        <f>VLOOKUP(L54,Lopes!$LM$35:$LU$38,9,FALSE)</f>
        <v>7</v>
      </c>
      <c r="U54" s="53"/>
      <c r="V54" s="59" t="s">
        <v>78</v>
      </c>
      <c r="W54" s="122" t="str">
        <f t="shared" ref="W54:W55" si="62">IF(N54&lt;&gt;3,"",L54)</f>
        <v>Alemanha</v>
      </c>
      <c r="X54" s="236">
        <f>IF(AND(W54&lt;&gt;"",'Resultado Oficial'!W54&lt;&gt;"",'Resultado Oficial'!W55&lt;&gt;""),IF(W54='Resultado Oficial'!W54,5,IF(W54='Resultado Oficial'!W55,2,0)),"")</f>
        <v>0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2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1</v>
      </c>
      <c r="LR54" s="71">
        <f>IF(OR(G68="",E68=""),0,IF(G68&lt;E68,1,0))+IF(OR(E70="",G70=""),0,IF(E70&lt;G70,1,0))+IF(OR(E73="",G73=""),0,IF(E73&lt;G73,1,0))</f>
        <v>2</v>
      </c>
      <c r="LS54" s="71">
        <f>G68+E70+E73</f>
        <v>4</v>
      </c>
      <c r="LT54" s="71">
        <f>E68+G70+G73</f>
        <v>7</v>
      </c>
      <c r="LU54" s="71">
        <f t="shared" si="54"/>
        <v>-3</v>
      </c>
      <c r="LV54" s="70">
        <f t="shared" si="55"/>
        <v>2</v>
      </c>
      <c r="LW54" s="70">
        <f t="shared" si="56"/>
        <v>-0.3</v>
      </c>
      <c r="LX54" s="70">
        <f t="shared" si="57"/>
        <v>0.04</v>
      </c>
      <c r="LY54" s="70">
        <f t="shared" si="58"/>
        <v>1.74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1.74</v>
      </c>
      <c r="MD54" s="70">
        <f>RANK($MC$54,$MC$51:$MC$54,0)</f>
        <v>3</v>
      </c>
      <c r="ME54" s="70">
        <f>IF(AND(MD51=MD52,MD51=MD53,MD51=MD54),MD54+3,IF(OR(AND(MD54=MD53,MD54=MD52),AND(MD54=MD52,MD54=MD51)),MD54+2,IF(OR(MD54=MD53,MD54=MD52,MD54=MD51),MD54+1,MD54)))</f>
        <v>3</v>
      </c>
      <c r="MF54" s="70">
        <v>4.0</v>
      </c>
      <c r="MG54" s="70">
        <f t="shared" si="60"/>
        <v>2</v>
      </c>
      <c r="MH54" s="70" t="str">
        <f t="shared" si="61"/>
        <v>Sérvia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294">
        <v>1.0</v>
      </c>
      <c r="F55" s="295" t="s">
        <v>72</v>
      </c>
      <c r="G55" s="300">
        <v>2.0</v>
      </c>
      <c r="H55" s="108"/>
      <c r="I55" s="96" t="s">
        <v>98</v>
      </c>
      <c r="J55" s="97" t="s">
        <v>73</v>
      </c>
      <c r="K55" s="109"/>
      <c r="L55" s="118" t="str">
        <f>Lopes!MH36</f>
        <v>Espanha</v>
      </c>
      <c r="M55" s="119">
        <f>VLOOKUP(L55,Lopes!$LM$35:$LU$38,2,FALSE)</f>
        <v>6</v>
      </c>
      <c r="N55" s="120">
        <f>VLOOKUP(L55,Lopes!$LM$35:$LU$38,3,FALSE)</f>
        <v>3</v>
      </c>
      <c r="O55" s="120">
        <f>VLOOKUP(L55,Lopes!$LM$35:$LU$38,4,FALSE)</f>
        <v>2</v>
      </c>
      <c r="P55" s="120">
        <f>VLOOKUP(L55,Lopes!$LM$35:$LU$38,5,FALSE)</f>
        <v>0</v>
      </c>
      <c r="Q55" s="120">
        <f>VLOOKUP(L55,Lopes!$LM$35:$LU$38,6,FALSE)</f>
        <v>1</v>
      </c>
      <c r="R55" s="120">
        <f>VLOOKUP(L55,Lopes!$LM$35:$LU$38,7,FALSE)</f>
        <v>5</v>
      </c>
      <c r="S55" s="120">
        <f>VLOOKUP(L55,Lopes!$LM$35:$LU$38,8,FALSE)</f>
        <v>3</v>
      </c>
      <c r="T55" s="121">
        <f>VLOOKUP(L55,Lopes!$LM$35:$LU$38,9,FALSE)</f>
        <v>2</v>
      </c>
      <c r="U55" s="53"/>
      <c r="V55" s="59" t="s">
        <v>81</v>
      </c>
      <c r="W55" s="122" t="str">
        <f t="shared" si="62"/>
        <v>Espanha</v>
      </c>
      <c r="X55" s="236">
        <f>IF(AND(W55&lt;&gt;"",'Resultado Oficial'!W54&lt;&gt;"",'Resultado Oficial'!W55&lt;&gt;""),IF(W55='Resultado Oficial'!W55,5,IF(W55='Resultado Oficial'!W54,2,0)),"")</f>
        <v>5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0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294">
        <v>1.0</v>
      </c>
      <c r="F56" s="295" t="s">
        <v>72</v>
      </c>
      <c r="G56" s="300">
        <v>3.0</v>
      </c>
      <c r="H56" s="108"/>
      <c r="I56" s="96" t="s">
        <v>93</v>
      </c>
      <c r="J56" s="97" t="s">
        <v>80</v>
      </c>
      <c r="K56" s="109"/>
      <c r="L56" s="118" t="str">
        <f>Lopes!MH37</f>
        <v>Japão</v>
      </c>
      <c r="M56" s="119">
        <f>VLOOKUP(L56,Lopes!$LM$35:$LU$38,2,FALSE)</f>
        <v>3</v>
      </c>
      <c r="N56" s="120">
        <f>VLOOKUP(L56,Lopes!$LM$35:$LU$38,3,FALSE)</f>
        <v>3</v>
      </c>
      <c r="O56" s="120">
        <f>VLOOKUP(L56,Lopes!$LM$35:$LU$38,4,FALSE)</f>
        <v>1</v>
      </c>
      <c r="P56" s="120">
        <f>VLOOKUP(L56,Lopes!$LM$35:$LU$38,5,FALSE)</f>
        <v>0</v>
      </c>
      <c r="Q56" s="120">
        <f>VLOOKUP(L56,Lopes!$LM$35:$LU$38,6,FALSE)</f>
        <v>2</v>
      </c>
      <c r="R56" s="120">
        <f>VLOOKUP(L56,Lopes!$LM$35:$LU$38,7,FALSE)</f>
        <v>3</v>
      </c>
      <c r="S56" s="120">
        <f>VLOOKUP(L56,Lopes!$LM$35:$LU$38,8,FALSE)</f>
        <v>7</v>
      </c>
      <c r="T56" s="121">
        <f>VLOOKUP(L56,Lopes!$LM$35:$LU$38,9,FALSE)</f>
        <v>-4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294">
        <v>1.0</v>
      </c>
      <c r="F57" s="295" t="s">
        <v>72</v>
      </c>
      <c r="G57" s="300">
        <v>4.0</v>
      </c>
      <c r="H57" s="108"/>
      <c r="I57" s="96" t="s">
        <v>98</v>
      </c>
      <c r="J57" s="97" t="s">
        <v>73</v>
      </c>
      <c r="K57" s="123"/>
      <c r="L57" s="124" t="str">
        <f>Lopes!MH38</f>
        <v>Costa Rica</v>
      </c>
      <c r="M57" s="125">
        <f>VLOOKUP(L57,Lopes!$LM$35:$LU$38,2,FALSE)</f>
        <v>0</v>
      </c>
      <c r="N57" s="126">
        <f>VLOOKUP(L57,Lopes!$LM$35:$LU$38,3,FALSE)</f>
        <v>3</v>
      </c>
      <c r="O57" s="126">
        <f>VLOOKUP(L57,Lopes!$LM$35:$LU$38,4,FALSE)</f>
        <v>0</v>
      </c>
      <c r="P57" s="126">
        <f>VLOOKUP(L57,Lopes!$LM$35:$LU$38,5,FALSE)</f>
        <v>0</v>
      </c>
      <c r="Q57" s="126">
        <f>VLOOKUP(L57,Lopes!$LM$35:$LU$38,6,FALSE)</f>
        <v>3</v>
      </c>
      <c r="R57" s="126">
        <f>VLOOKUP(L57,Lopes!$LM$35:$LU$38,7,FALSE)</f>
        <v>1</v>
      </c>
      <c r="S57" s="126">
        <f>VLOOKUP(L57,Lopes!$LM$35:$LU$38,8,FALSE)</f>
        <v>6</v>
      </c>
      <c r="T57" s="127">
        <f>VLOOKUP(L57,Lopes!$LM$35:$LU$38,9,FALSE)</f>
        <v>-5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3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301"/>
      <c r="F58" s="301"/>
      <c r="G58" s="301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6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2</v>
      </c>
      <c r="LQ59" s="71">
        <f>IF(OR(E77="",G77=""),0,IF(E77=G77,1,0))+IF(OR(E79="",G79=""),0,IF(E79=G79,1,0))+IF(OR(G81="",E81=""),0,IF(G81=E81,1,0))</f>
        <v>0</v>
      </c>
      <c r="LR59" s="71">
        <f>IF(OR(E77="",G77=""),0,IF(E77&lt;G77,1,0))+IF(OR(E79="",G79=""),0,IF(E79&lt;G79,1,0))+IF(OR(G81="",E81=""),0,IF(G81&lt;E81,1,0))</f>
        <v>1</v>
      </c>
      <c r="LS59" s="71">
        <f>E77+E79+G81</f>
        <v>4</v>
      </c>
      <c r="LT59" s="71">
        <f>G77+G79+E81</f>
        <v>3</v>
      </c>
      <c r="LU59" s="71">
        <f t="shared" ref="LU59:LU62" si="63">LS59-LT59</f>
        <v>1</v>
      </c>
      <c r="LV59" s="70">
        <f t="shared" ref="LV59:LV62" si="64">LN59</f>
        <v>6</v>
      </c>
      <c r="LW59" s="70">
        <f t="shared" ref="LW59:LW62" si="65">LU59/10</f>
        <v>0.1</v>
      </c>
      <c r="LX59" s="70">
        <f t="shared" ref="LX59:LX62" si="66">LS59/100</f>
        <v>0.04</v>
      </c>
      <c r="LY59" s="70">
        <f t="shared" ref="LY59:LY62" si="67">SUM(LV59:LX59)</f>
        <v>6.14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6.14</v>
      </c>
      <c r="MD59" s="70">
        <f>RANK($MC$59,$MC$59:$MC$62,0)</f>
        <v>2</v>
      </c>
      <c r="ME59" s="70">
        <f>MD59</f>
        <v>2</v>
      </c>
      <c r="MF59" s="70">
        <v>1.0</v>
      </c>
      <c r="MG59" s="70">
        <f t="shared" ref="MG59:MG62" si="69">MATCH(MF59,$ME$59:$ME$62,0)</f>
        <v>3</v>
      </c>
      <c r="MH59" s="70" t="str">
        <f t="shared" ref="MH59:MH62" si="70">INDEX($LM$59:$LM$62,MG59)</f>
        <v>Uruguai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294">
        <v>0.0</v>
      </c>
      <c r="F60" s="295" t="s">
        <v>72</v>
      </c>
      <c r="G60" s="300">
        <v>3.0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2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0</v>
      </c>
      <c r="LQ60" s="71">
        <f>IF(OR(G77="",E77=""),0,IF(G77=E77,1,0))+IF(OR(G78="",E78=""),0,IF(G78=E78,1,0))+IF(OR(E80="",G80=""),0,IF(E80=G80,1,0))</f>
        <v>2</v>
      </c>
      <c r="LR60" s="71">
        <f>IF(OR(G77="",E77=""),0,IF(G77&lt;E77,1,0))+IF(OR(G78="",E78=""),0,IF(G78&lt;E78,1,0))+IF(OR(E80="",G80=""),0,IF(E80&lt;G80,1,0))</f>
        <v>1</v>
      </c>
      <c r="LS60" s="71">
        <f>G77+G78+E80</f>
        <v>2</v>
      </c>
      <c r="LT60" s="71">
        <f>E77+E78+G80</f>
        <v>3</v>
      </c>
      <c r="LU60" s="71">
        <f t="shared" si="63"/>
        <v>-1</v>
      </c>
      <c r="LV60" s="70">
        <f t="shared" si="64"/>
        <v>2</v>
      </c>
      <c r="LW60" s="70">
        <f t="shared" si="65"/>
        <v>-0.1</v>
      </c>
      <c r="LX60" s="70">
        <f t="shared" si="66"/>
        <v>0.02</v>
      </c>
      <c r="LY60" s="70">
        <f t="shared" si="67"/>
        <v>1.92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1.92</v>
      </c>
      <c r="MD60" s="70">
        <f>RANK($MC$60,$MC$59:$MC$62,0)</f>
        <v>3</v>
      </c>
      <c r="ME60" s="70">
        <f>IF(OR(AND(MD59=MD60,MD59=MD61,MD59=MD62),AND(MD60=MD59,MD60=MD61),AND(MD60=MD59,MD60=MD62),MD60=MD59),MD60+1,MD60)</f>
        <v>3</v>
      </c>
      <c r="MF60" s="70">
        <v>2.0</v>
      </c>
      <c r="MG60" s="70">
        <f t="shared" si="69"/>
        <v>1</v>
      </c>
      <c r="MH60" s="70" t="str">
        <f t="shared" si="70"/>
        <v>Portugal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294">
        <v>1.0</v>
      </c>
      <c r="F61" s="295" t="s">
        <v>72</v>
      </c>
      <c r="G61" s="300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10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7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2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0</v>
      </c>
      <c r="LS61" s="71">
        <f>E76+G79+G80</f>
        <v>5</v>
      </c>
      <c r="LT61" s="71">
        <f>G76+E79+E80</f>
        <v>2</v>
      </c>
      <c r="LU61" s="71">
        <f t="shared" si="63"/>
        <v>3</v>
      </c>
      <c r="LV61" s="70">
        <f t="shared" si="64"/>
        <v>7</v>
      </c>
      <c r="LW61" s="70">
        <f t="shared" si="65"/>
        <v>0.3</v>
      </c>
      <c r="LX61" s="70">
        <f t="shared" si="66"/>
        <v>0.05</v>
      </c>
      <c r="LY61" s="70">
        <f t="shared" si="67"/>
        <v>7.35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7.35</v>
      </c>
      <c r="MD61" s="70">
        <f>RANK($MC$61,$MC$59:$MC$62,0)</f>
        <v>1</v>
      </c>
      <c r="ME61" s="70">
        <f>IF(OR(AND(MD59=MD60,MD59=MD61,MD59=MD62),AND(MD61=MD59,MD61=MD60)),MD61+2,IF(OR(AND(MD61=MD60,MD61=MD62),MD61=MD59,MD61=MD60),MD61+1,MD61))</f>
        <v>1</v>
      </c>
      <c r="MF61" s="70">
        <v>3.0</v>
      </c>
      <c r="MG61" s="70">
        <f t="shared" si="69"/>
        <v>2</v>
      </c>
      <c r="MH61" s="70" t="str">
        <f t="shared" si="70"/>
        <v>Gana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297">
        <v>2.0</v>
      </c>
      <c r="F62" s="298" t="s">
        <v>72</v>
      </c>
      <c r="G62" s="299">
        <v>0.0</v>
      </c>
      <c r="H62" s="117"/>
      <c r="I62" s="96" t="s">
        <v>107</v>
      </c>
      <c r="J62" s="97" t="s">
        <v>76</v>
      </c>
      <c r="K62" s="109"/>
      <c r="L62" s="118" t="str">
        <f>Lopes!MH43</f>
        <v>Bélgica</v>
      </c>
      <c r="M62" s="119">
        <f>VLOOKUP(L62,Lopes!$LM$43:$LU$46,2,FALSE)</f>
        <v>9</v>
      </c>
      <c r="N62" s="120">
        <f>VLOOKUP(L62,Lopes!$LM$43:$LU$46,3,FALSE)</f>
        <v>3</v>
      </c>
      <c r="O62" s="120">
        <f>VLOOKUP(L62,Lopes!$LM$43:$LU$46,4,FALSE)</f>
        <v>3</v>
      </c>
      <c r="P62" s="120">
        <f>VLOOKUP(L62,Lopes!$LM$43:$LU$46,5,FALSE)</f>
        <v>0</v>
      </c>
      <c r="Q62" s="120">
        <f>VLOOKUP(L62,Lopes!$LM$43:$LU$46,6,FALSE)</f>
        <v>0</v>
      </c>
      <c r="R62" s="120">
        <f>VLOOKUP(L62,Lopes!$LM$43:$LU$46,7,FALSE)</f>
        <v>4</v>
      </c>
      <c r="S62" s="120">
        <f>VLOOKUP(L62,Lopes!$LM$43:$LU$46,8,FALSE)</f>
        <v>0</v>
      </c>
      <c r="T62" s="121">
        <f>VLOOKUP(L62,Lopes!$LM$43:$LU$46,9,FALSE)</f>
        <v>4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2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1</v>
      </c>
      <c r="LR62" s="71">
        <f>IF(OR(G76="",E76=""),0,IF(G76&lt;E76,1,0))+IF(OR(E78="",G78=""),0,IF(E78&lt;G78,1,0))+IF(OR(E81="",G81=""),0,IF(E81&lt;G81,1,0))</f>
        <v>2</v>
      </c>
      <c r="LS62" s="71">
        <f>G76+E78+E81</f>
        <v>1</v>
      </c>
      <c r="LT62" s="71">
        <f>E76+G78+G81</f>
        <v>4</v>
      </c>
      <c r="LU62" s="71">
        <f t="shared" si="63"/>
        <v>-3</v>
      </c>
      <c r="LV62" s="70">
        <f t="shared" si="64"/>
        <v>2</v>
      </c>
      <c r="LW62" s="70">
        <f t="shared" si="65"/>
        <v>-0.3</v>
      </c>
      <c r="LX62" s="70">
        <f t="shared" si="66"/>
        <v>0.01</v>
      </c>
      <c r="LY62" s="70">
        <f t="shared" si="67"/>
        <v>1.71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1.71</v>
      </c>
      <c r="MD62" s="70">
        <f>RANK($MC$62,$MC$59:$MC$62,0)</f>
        <v>4</v>
      </c>
      <c r="ME62" s="70">
        <f>IF(AND(MD59=MD60,MD59=MD61,MD59=MD62),MD62+3,IF(OR(AND(MD62=MD61,MD62=MD60),AND(MD62=MD60,MD62=MD59)),MD62+2,IF(OR(MD62=MD61,MD62=MD60,MD62=MD59),MD62+1,MD62)))</f>
        <v>4</v>
      </c>
      <c r="MF62" s="70">
        <v>4.0</v>
      </c>
      <c r="MG62" s="70">
        <f t="shared" si="69"/>
        <v>4</v>
      </c>
      <c r="MH62" s="70" t="str">
        <f t="shared" si="70"/>
        <v>Coréia do Sul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294">
        <v>1.0</v>
      </c>
      <c r="F63" s="295" t="s">
        <v>72</v>
      </c>
      <c r="G63" s="300">
        <v>0.0</v>
      </c>
      <c r="H63" s="108"/>
      <c r="I63" s="96" t="s">
        <v>105</v>
      </c>
      <c r="J63" s="97" t="s">
        <v>80</v>
      </c>
      <c r="K63" s="109"/>
      <c r="L63" s="118" t="str">
        <f>Lopes!MH44</f>
        <v>Croácia</v>
      </c>
      <c r="M63" s="119">
        <f>VLOOKUP(L63,Lopes!$LM$43:$LU$46,2,FALSE)</f>
        <v>6</v>
      </c>
      <c r="N63" s="120">
        <f>VLOOKUP(L63,Lopes!$LM$43:$LU$46,3,FALSE)</f>
        <v>3</v>
      </c>
      <c r="O63" s="120">
        <f>VLOOKUP(L63,Lopes!$LM$43:$LU$46,4,FALSE)</f>
        <v>2</v>
      </c>
      <c r="P63" s="120">
        <f>VLOOKUP(L63,Lopes!$LM$43:$LU$46,5,FALSE)</f>
        <v>0</v>
      </c>
      <c r="Q63" s="120">
        <f>VLOOKUP(L63,Lopes!$LM$43:$LU$46,6,FALSE)</f>
        <v>1</v>
      </c>
      <c r="R63" s="120">
        <f>VLOOKUP(L63,Lopes!$LM$43:$LU$46,7,FALSE)</f>
        <v>4</v>
      </c>
      <c r="S63" s="120">
        <f>VLOOKUP(L63,Lopes!$LM$43:$LU$46,8,FALSE)</f>
        <v>1</v>
      </c>
      <c r="T63" s="121">
        <f>VLOOKUP(L63,Lopes!$LM$43:$LU$46,9,FALSE)</f>
        <v>3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3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294">
        <v>0.0</v>
      </c>
      <c r="F64" s="295" t="s">
        <v>72</v>
      </c>
      <c r="G64" s="300">
        <v>1.0</v>
      </c>
      <c r="H64" s="108"/>
      <c r="I64" s="96" t="s">
        <v>103</v>
      </c>
      <c r="J64" s="97" t="s">
        <v>88</v>
      </c>
      <c r="K64" s="109"/>
      <c r="L64" s="118" t="str">
        <f>Lopes!MH45</f>
        <v>Marrocos</v>
      </c>
      <c r="M64" s="119">
        <f>VLOOKUP(L64,Lopes!$LM$43:$LU$46,2,FALSE)</f>
        <v>3</v>
      </c>
      <c r="N64" s="120">
        <f>VLOOKUP(L64,Lopes!$LM$43:$LU$46,3,FALSE)</f>
        <v>3</v>
      </c>
      <c r="O64" s="120">
        <f>VLOOKUP(L64,Lopes!$LM$43:$LU$46,4,FALSE)</f>
        <v>1</v>
      </c>
      <c r="P64" s="120">
        <f>VLOOKUP(L64,Lopes!$LM$43:$LU$46,5,FALSE)</f>
        <v>0</v>
      </c>
      <c r="Q64" s="120">
        <f>VLOOKUP(L64,Lopes!$LM$43:$LU$46,6,FALSE)</f>
        <v>2</v>
      </c>
      <c r="R64" s="120">
        <f>VLOOKUP(L64,Lopes!$LM$43:$LU$46,7,FALSE)</f>
        <v>1</v>
      </c>
      <c r="S64" s="120">
        <f>VLOOKUP(L64,Lopes!$LM$43:$LU$46,8,FALSE)</f>
        <v>5</v>
      </c>
      <c r="T64" s="121">
        <f>VLOOKUP(L64,Lopes!$LM$43:$LU$46,9,FALSE)</f>
        <v>-4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294">
        <v>0.0</v>
      </c>
      <c r="F65" s="295" t="s">
        <v>72</v>
      </c>
      <c r="G65" s="300">
        <v>1.0</v>
      </c>
      <c r="H65" s="108"/>
      <c r="I65" s="96" t="s">
        <v>107</v>
      </c>
      <c r="J65" s="97" t="s">
        <v>76</v>
      </c>
      <c r="K65" s="123"/>
      <c r="L65" s="124" t="str">
        <f>Lopes!MH46</f>
        <v>Canadá</v>
      </c>
      <c r="M65" s="125">
        <f>VLOOKUP(L65,Lopes!$LM$43:$LU$46,2,FALSE)</f>
        <v>0</v>
      </c>
      <c r="N65" s="126">
        <f>VLOOKUP(L65,Lopes!$LM$43:$LU$46,3,FALSE)</f>
        <v>3</v>
      </c>
      <c r="O65" s="126">
        <f>VLOOKUP(L65,Lopes!$LM$43:$LU$46,4,FALSE)</f>
        <v>0</v>
      </c>
      <c r="P65" s="126">
        <f>VLOOKUP(L65,Lopes!$LM$43:$LU$46,5,FALSE)</f>
        <v>0</v>
      </c>
      <c r="Q65" s="126">
        <f>VLOOKUP(L65,Lopes!$LM$43:$LU$46,6,FALSE)</f>
        <v>3</v>
      </c>
      <c r="R65" s="126">
        <f>VLOOKUP(L65,Lopes!$LM$43:$LU$46,7,FALSE)</f>
        <v>0</v>
      </c>
      <c r="S65" s="126">
        <f>VLOOKUP(L65,Lopes!$LM$43:$LU$46,8,FALSE)</f>
        <v>3</v>
      </c>
      <c r="T65" s="127">
        <f>VLOOKUP(L65,Lopes!$LM$43:$LU$46,9,FALSE)</f>
        <v>-3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6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301"/>
      <c r="F66" s="301"/>
      <c r="G66" s="301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294">
        <v>1.0</v>
      </c>
      <c r="F68" s="295" t="s">
        <v>72</v>
      </c>
      <c r="G68" s="300">
        <v>0.0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10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294">
        <v>3.0</v>
      </c>
      <c r="F69" s="295" t="s">
        <v>72</v>
      </c>
      <c r="G69" s="300">
        <v>1.0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6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297">
        <v>2.0</v>
      </c>
      <c r="F70" s="298" t="s">
        <v>72</v>
      </c>
      <c r="G70" s="299">
        <v>2.0</v>
      </c>
      <c r="H70" s="117"/>
      <c r="I70" s="96" t="s">
        <v>113</v>
      </c>
      <c r="J70" s="97" t="s">
        <v>106</v>
      </c>
      <c r="K70" s="109"/>
      <c r="L70" s="118" t="str">
        <f>Lopes!MH51</f>
        <v>Brasil</v>
      </c>
      <c r="M70" s="119">
        <f>VLOOKUP(L70,Lopes!$LM$51:$LU$54,2,FALSE)</f>
        <v>9</v>
      </c>
      <c r="N70" s="120">
        <f>VLOOKUP(L70,Lopes!$LM$51:$LU$54,3,FALSE)</f>
        <v>3</v>
      </c>
      <c r="O70" s="120">
        <f>VLOOKUP(L70,Lopes!$LM$51:$LU$54,4,FALSE)</f>
        <v>3</v>
      </c>
      <c r="P70" s="120">
        <f>VLOOKUP(L70,Lopes!$LM$51:$LU$54,5,FALSE)</f>
        <v>0</v>
      </c>
      <c r="Q70" s="120">
        <f>VLOOKUP(L70,Lopes!$LM$51:$LU$54,6,FALSE)</f>
        <v>0</v>
      </c>
      <c r="R70" s="120">
        <f>VLOOKUP(L70,Lopes!$LM$51:$LU$54,7,FALSE)</f>
        <v>9</v>
      </c>
      <c r="S70" s="120">
        <f>VLOOKUP(L70,Lopes!$LM$51:$LU$54,8,FALSE)</f>
        <v>4</v>
      </c>
      <c r="T70" s="121">
        <f>VLOOKUP(L70,Lopes!$LM$51:$LU$54,9,FALSE)</f>
        <v>5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6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294">
        <v>2.0</v>
      </c>
      <c r="F71" s="295" t="s">
        <v>72</v>
      </c>
      <c r="G71" s="300">
        <v>1.0</v>
      </c>
      <c r="H71" s="108"/>
      <c r="I71" s="96" t="s">
        <v>114</v>
      </c>
      <c r="J71" s="97" t="s">
        <v>97</v>
      </c>
      <c r="K71" s="109"/>
      <c r="L71" s="118" t="str">
        <f>Lopes!MH52</f>
        <v>Suiça</v>
      </c>
      <c r="M71" s="119">
        <f>VLOOKUP(L71,Lopes!$LM$51:$LU$54,2,FALSE)</f>
        <v>6</v>
      </c>
      <c r="N71" s="120">
        <f>VLOOKUP(L71,Lopes!$LM$51:$LU$54,3,FALSE)</f>
        <v>3</v>
      </c>
      <c r="O71" s="120">
        <f>VLOOKUP(L71,Lopes!$LM$51:$LU$54,4,FALSE)</f>
        <v>2</v>
      </c>
      <c r="P71" s="120">
        <f>VLOOKUP(L71,Lopes!$LM$51:$LU$54,5,FALSE)</f>
        <v>0</v>
      </c>
      <c r="Q71" s="120">
        <f>VLOOKUP(L71,Lopes!$LM$51:$LU$54,6,FALSE)</f>
        <v>1</v>
      </c>
      <c r="R71" s="120">
        <f>VLOOKUP(L71,Lopes!$LM$51:$LU$54,7,FALSE)</f>
        <v>3</v>
      </c>
      <c r="S71" s="120">
        <f>VLOOKUP(L71,Lopes!$LM$51:$LU$54,8,FALSE)</f>
        <v>2</v>
      </c>
      <c r="T71" s="121">
        <f>VLOOKUP(L71,Lopes!$LM$51:$LU$54,9,FALSE)</f>
        <v>1</v>
      </c>
      <c r="U71" s="53"/>
      <c r="V71" s="59" t="s">
        <v>81</v>
      </c>
      <c r="W71" s="122" t="str">
        <f t="shared" si="72"/>
        <v>Suiça</v>
      </c>
      <c r="X71" s="236">
        <f>IF(AND(W71&lt;&gt;"",'Resultado Oficial'!W70&lt;&gt;"",'Resultado Oficial'!W71&lt;&gt;""),IF(W71='Resultado Oficial'!W71,5,IF(W71='Resultado Oficial'!W70,2,0)),"")</f>
        <v>5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6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294">
        <v>0.0</v>
      </c>
      <c r="F72" s="295" t="s">
        <v>72</v>
      </c>
      <c r="G72" s="300">
        <v>1.0</v>
      </c>
      <c r="H72" s="108"/>
      <c r="I72" s="96" t="s">
        <v>114</v>
      </c>
      <c r="J72" s="97" t="s">
        <v>97</v>
      </c>
      <c r="K72" s="109"/>
      <c r="L72" s="118" t="str">
        <f>Lopes!MH53</f>
        <v>Camarões</v>
      </c>
      <c r="M72" s="119">
        <f>VLOOKUP(L72,Lopes!$LM$51:$LU$54,2,FALSE)</f>
        <v>2</v>
      </c>
      <c r="N72" s="120">
        <f>VLOOKUP(L72,Lopes!$LM$51:$LU$54,3,FALSE)</f>
        <v>3</v>
      </c>
      <c r="O72" s="120">
        <f>VLOOKUP(L72,Lopes!$LM$51:$LU$54,4,FALSE)</f>
        <v>0</v>
      </c>
      <c r="P72" s="120">
        <f>VLOOKUP(L72,Lopes!$LM$51:$LU$54,5,FALSE)</f>
        <v>1</v>
      </c>
      <c r="Q72" s="120">
        <f>VLOOKUP(L72,Lopes!$LM$51:$LU$54,6,FALSE)</f>
        <v>2</v>
      </c>
      <c r="R72" s="120">
        <f>VLOOKUP(L72,Lopes!$LM$51:$LU$54,7,FALSE)</f>
        <v>4</v>
      </c>
      <c r="S72" s="120">
        <f>VLOOKUP(L72,Lopes!$LM$51:$LU$54,8,FALSE)</f>
        <v>7</v>
      </c>
      <c r="T72" s="121">
        <f>VLOOKUP(L72,Lopes!$LM$51:$LU$54,9,FALSE)</f>
        <v>-3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6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294">
        <v>2.0</v>
      </c>
      <c r="F73" s="295" t="s">
        <v>72</v>
      </c>
      <c r="G73" s="300">
        <v>4.0</v>
      </c>
      <c r="H73" s="108"/>
      <c r="I73" s="96" t="s">
        <v>111</v>
      </c>
      <c r="J73" s="97" t="s">
        <v>94</v>
      </c>
      <c r="K73" s="123"/>
      <c r="L73" s="124" t="str">
        <f>Lopes!MH54</f>
        <v>Sérvia</v>
      </c>
      <c r="M73" s="125">
        <f>VLOOKUP(L73,Lopes!$LM$51:$LU$54,2,FALSE)</f>
        <v>1</v>
      </c>
      <c r="N73" s="126">
        <f>VLOOKUP(L73,Lopes!$LM$51:$LU$54,3,FALSE)</f>
        <v>3</v>
      </c>
      <c r="O73" s="126">
        <f>VLOOKUP(L73,Lopes!$LM$51:$LU$54,4,FALSE)</f>
        <v>0</v>
      </c>
      <c r="P73" s="126">
        <f>VLOOKUP(L73,Lopes!$LM$51:$LU$54,5,FALSE)</f>
        <v>1</v>
      </c>
      <c r="Q73" s="126">
        <f>VLOOKUP(L73,Lopes!$LM$51:$LU$54,6,FALSE)</f>
        <v>2</v>
      </c>
      <c r="R73" s="126">
        <f>VLOOKUP(L73,Lopes!$LM$51:$LU$54,7,FALSE)</f>
        <v>3</v>
      </c>
      <c r="S73" s="126">
        <f>VLOOKUP(L73,Lopes!$LM$51:$LU$54,8,FALSE)</f>
        <v>6</v>
      </c>
      <c r="T73" s="127">
        <f>VLOOKUP(L73,Lopes!$LM$51:$LU$54,9,FALSE)</f>
        <v>-3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301"/>
      <c r="F74" s="301"/>
      <c r="G74" s="301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294">
        <v>1.0</v>
      </c>
      <c r="F76" s="295" t="s">
        <v>72</v>
      </c>
      <c r="G76" s="300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294">
        <v>1.0</v>
      </c>
      <c r="F77" s="295" t="s">
        <v>72</v>
      </c>
      <c r="G77" s="300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6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297">
        <v>1.0</v>
      </c>
      <c r="F78" s="298" t="s">
        <v>72</v>
      </c>
      <c r="G78" s="299">
        <v>1.0</v>
      </c>
      <c r="H78" s="117"/>
      <c r="I78" s="96" t="s">
        <v>121</v>
      </c>
      <c r="J78" s="97" t="s">
        <v>99</v>
      </c>
      <c r="K78" s="109"/>
      <c r="L78" s="118" t="str">
        <f>Lopes!MH59</f>
        <v>Uruguai</v>
      </c>
      <c r="M78" s="119">
        <f>VLOOKUP(L78,Lopes!$LM$59:$LU$62,2,FALSE)</f>
        <v>7</v>
      </c>
      <c r="N78" s="120">
        <f>VLOOKUP(L78,Lopes!$LM$59:$LU$62,3,FALSE)</f>
        <v>3</v>
      </c>
      <c r="O78" s="120">
        <f>VLOOKUP(L78,Lopes!$LM$59:$LU$62,4,FALSE)</f>
        <v>2</v>
      </c>
      <c r="P78" s="120">
        <f>VLOOKUP(L78,Lopes!$LM$59:$LU$62,5,FALSE)</f>
        <v>1</v>
      </c>
      <c r="Q78" s="120">
        <f>VLOOKUP(L78,Lopes!$LM$59:$LU$62,6,FALSE)</f>
        <v>0</v>
      </c>
      <c r="R78" s="120">
        <f>VLOOKUP(L78,Lopes!$LM$59:$LU$62,7,FALSE)</f>
        <v>5</v>
      </c>
      <c r="S78" s="120">
        <f>VLOOKUP(L78,Lopes!$LM$59:$LU$62,8,FALSE)</f>
        <v>2</v>
      </c>
      <c r="T78" s="121">
        <f>VLOOKUP(L78,Lopes!$LM$59:$LU$62,9,FALSE)</f>
        <v>3</v>
      </c>
      <c r="U78" s="53"/>
      <c r="V78" s="59" t="s">
        <v>78</v>
      </c>
      <c r="W78" s="122" t="str">
        <f t="shared" ref="W78:W79" si="73">IF(N78&lt;&gt;3,"",L78)</f>
        <v>Uruguai</v>
      </c>
      <c r="X78" s="236">
        <f>IF(AND(W78&lt;&gt;"",'Resultado Oficial'!W78&lt;&gt;"",'Resultado Oficial'!W79&lt;&gt;""),IF(W78='Resultado Oficial'!W78,5,IF(W78='Resultado Oficial'!W79,2,0)),"")</f>
        <v>0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0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294">
        <v>1.0</v>
      </c>
      <c r="F79" s="295" t="s">
        <v>72</v>
      </c>
      <c r="G79" s="296">
        <v>3.0</v>
      </c>
      <c r="H79" s="108"/>
      <c r="I79" s="96" t="s">
        <v>122</v>
      </c>
      <c r="J79" s="97" t="s">
        <v>94</v>
      </c>
      <c r="K79" s="109"/>
      <c r="L79" s="118" t="str">
        <f>Lopes!MH60</f>
        <v>Portugal</v>
      </c>
      <c r="M79" s="119">
        <f>VLOOKUP(L79,Lopes!$LM$59:$LU$62,2,FALSE)</f>
        <v>6</v>
      </c>
      <c r="N79" s="120">
        <f>VLOOKUP(L79,Lopes!$LM$59:$LU$62,3,FALSE)</f>
        <v>3</v>
      </c>
      <c r="O79" s="120">
        <f>VLOOKUP(L79,Lopes!$LM$59:$LU$62,4,FALSE)</f>
        <v>2</v>
      </c>
      <c r="P79" s="120">
        <f>VLOOKUP(L79,Lopes!$LM$59:$LU$62,5,FALSE)</f>
        <v>0</v>
      </c>
      <c r="Q79" s="120">
        <f>VLOOKUP(L79,Lopes!$LM$59:$LU$62,6,FALSE)</f>
        <v>1</v>
      </c>
      <c r="R79" s="120">
        <f>VLOOKUP(L79,Lopes!$LM$59:$LU$62,7,FALSE)</f>
        <v>4</v>
      </c>
      <c r="S79" s="120">
        <f>VLOOKUP(L79,Lopes!$LM$59:$LU$62,8,FALSE)</f>
        <v>3</v>
      </c>
      <c r="T79" s="121">
        <f>VLOOKUP(L79,Lopes!$LM$59:$LU$62,9,FALSE)</f>
        <v>1</v>
      </c>
      <c r="U79" s="53"/>
      <c r="V79" s="59" t="s">
        <v>81</v>
      </c>
      <c r="W79" s="122" t="str">
        <f t="shared" si="73"/>
        <v>Portugal</v>
      </c>
      <c r="X79" s="236">
        <f>IF(AND(W79&lt;&gt;"",'Resultado Oficial'!W78&lt;&gt;"",'Resultado Oficial'!W79&lt;&gt;""),IF(W79='Resultado Oficial'!W79,5,IF(W79='Resultado Oficial'!W78,2,0)),"")</f>
        <v>2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294">
        <v>1.0</v>
      </c>
      <c r="F80" s="295" t="s">
        <v>72</v>
      </c>
      <c r="G80" s="300">
        <v>1.0</v>
      </c>
      <c r="H80" s="108"/>
      <c r="I80" s="96" t="s">
        <v>122</v>
      </c>
      <c r="J80" s="97" t="s">
        <v>106</v>
      </c>
      <c r="K80" s="109"/>
      <c r="L80" s="118" t="str">
        <f>Lopes!MH61</f>
        <v>Gana</v>
      </c>
      <c r="M80" s="119">
        <f>VLOOKUP(L80,Lopes!$LM$59:$LU$62,2,FALSE)</f>
        <v>2</v>
      </c>
      <c r="N80" s="120">
        <f>VLOOKUP(L80,Lopes!$LM$59:$LU$62,3,FALSE)</f>
        <v>3</v>
      </c>
      <c r="O80" s="120">
        <f>VLOOKUP(L80,Lopes!$LM$59:$LU$62,4,FALSE)</f>
        <v>0</v>
      </c>
      <c r="P80" s="120">
        <f>VLOOKUP(L80,Lopes!$LM$59:$LU$62,5,FALSE)</f>
        <v>2</v>
      </c>
      <c r="Q80" s="120">
        <f>VLOOKUP(L80,Lopes!$LM$59:$LU$62,6,FALSE)</f>
        <v>1</v>
      </c>
      <c r="R80" s="120">
        <f>VLOOKUP(L80,Lopes!$LM$59:$LU$62,7,FALSE)</f>
        <v>2</v>
      </c>
      <c r="S80" s="120">
        <f>VLOOKUP(L80,Lopes!$LM$59:$LU$62,8,FALSE)</f>
        <v>3</v>
      </c>
      <c r="T80" s="121">
        <f>VLOOKUP(L80,Lopes!$LM$59:$LU$62,9,FALSE)</f>
        <v>-1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0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294">
        <v>0.0</v>
      </c>
      <c r="F81" s="295" t="s">
        <v>72</v>
      </c>
      <c r="G81" s="300">
        <v>2.0</v>
      </c>
      <c r="H81" s="108"/>
      <c r="I81" s="96" t="s">
        <v>119</v>
      </c>
      <c r="J81" s="97" t="s">
        <v>99</v>
      </c>
      <c r="K81" s="123"/>
      <c r="L81" s="124" t="str">
        <f>Lopes!MH62</f>
        <v>Coréia do Sul</v>
      </c>
      <c r="M81" s="125">
        <f>VLOOKUP(L81,Lopes!$LM$59:$LU$62,2,FALSE)</f>
        <v>2</v>
      </c>
      <c r="N81" s="126">
        <f>VLOOKUP(L81,Lopes!$LM$59:$LU$62,3,FALSE)</f>
        <v>3</v>
      </c>
      <c r="O81" s="126">
        <f>VLOOKUP(L81,Lopes!$LM$59:$LU$62,4,FALSE)</f>
        <v>0</v>
      </c>
      <c r="P81" s="126">
        <f>VLOOKUP(L81,Lopes!$LM$59:$LU$62,5,FALSE)</f>
        <v>1</v>
      </c>
      <c r="Q81" s="126">
        <f>VLOOKUP(L81,Lopes!$LM$59:$LU$62,6,FALSE)</f>
        <v>2</v>
      </c>
      <c r="R81" s="126">
        <f>VLOOKUP(L81,Lopes!$LM$59:$LU$62,7,FALSE)</f>
        <v>1</v>
      </c>
      <c r="S81" s="126">
        <f>VLOOKUP(L81,Lopes!$LM$59:$LU$62,8,FALSE)</f>
        <v>4</v>
      </c>
      <c r="T81" s="127">
        <f>VLOOKUP(L81,Lopes!$LM$59:$LU$62,9,FALSE)</f>
        <v>-3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2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302"/>
      <c r="E85" s="303">
        <v>3.0</v>
      </c>
      <c r="F85" s="298"/>
      <c r="G85" s="304">
        <v>1.0</v>
      </c>
      <c r="H85" s="305"/>
      <c r="I85" s="157" t="str">
        <f>IF(N31=3,L31,"2º do grupo B")</f>
        <v>Estados Unidos</v>
      </c>
      <c r="J85" s="159" t="s">
        <v>193</v>
      </c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306"/>
      <c r="E86" s="303">
        <v>2.0</v>
      </c>
      <c r="F86" s="298"/>
      <c r="G86" s="304">
        <v>1.0</v>
      </c>
      <c r="H86" s="307"/>
      <c r="I86" s="157" t="str">
        <f>IF(N47=3,L47,"2º do grupo D")</f>
        <v>Dinamarca</v>
      </c>
      <c r="J86" s="159" t="s">
        <v>194</v>
      </c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306"/>
      <c r="E87" s="303">
        <v>2.0</v>
      </c>
      <c r="F87" s="298"/>
      <c r="G87" s="304">
        <v>1.0</v>
      </c>
      <c r="H87" s="307"/>
      <c r="I87" s="157" t="str">
        <f>IF(N23=3,L23,"2º do grupo A")</f>
        <v>Senegal</v>
      </c>
      <c r="J87" s="159" t="s">
        <v>195</v>
      </c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306"/>
      <c r="E88" s="303">
        <v>2.0</v>
      </c>
      <c r="F88" s="298"/>
      <c r="G88" s="304">
        <v>1.0</v>
      </c>
      <c r="H88" s="307"/>
      <c r="I88" s="157" t="str">
        <f>IF(N39=3,L39,"2º do grupo C")</f>
        <v>Polônia</v>
      </c>
      <c r="J88" s="159" t="s">
        <v>196</v>
      </c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Alemanha</v>
      </c>
      <c r="D89" s="306"/>
      <c r="E89" s="303">
        <v>2.0</v>
      </c>
      <c r="F89" s="298"/>
      <c r="G89" s="304">
        <v>1.0</v>
      </c>
      <c r="H89" s="307"/>
      <c r="I89" s="157" t="str">
        <f>IF(N63=3,L63,"2º do grupo F")</f>
        <v>Croácia</v>
      </c>
      <c r="J89" s="159" t="s">
        <v>197</v>
      </c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308"/>
      <c r="E90" s="303">
        <v>2.0</v>
      </c>
      <c r="F90" s="298"/>
      <c r="G90" s="304">
        <v>0.0</v>
      </c>
      <c r="H90" s="309"/>
      <c r="I90" s="157" t="str">
        <f>IF(N79=3,L79,"2º do grupo H")</f>
        <v>Portugal</v>
      </c>
      <c r="J90" s="159" t="s">
        <v>198</v>
      </c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310"/>
      <c r="E91" s="303">
        <v>1.0</v>
      </c>
      <c r="F91" s="298"/>
      <c r="G91" s="311">
        <v>0.0</v>
      </c>
      <c r="H91" s="312"/>
      <c r="I91" s="157" t="str">
        <f>IF(N55=3,L55,"2º do grupo E")</f>
        <v>Espanha</v>
      </c>
      <c r="J91" s="159" t="s">
        <v>199</v>
      </c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Uruguai</v>
      </c>
      <c r="D92" s="310"/>
      <c r="E92" s="303">
        <v>1.0</v>
      </c>
      <c r="F92" s="298"/>
      <c r="G92" s="311">
        <v>0.0</v>
      </c>
      <c r="H92" s="312"/>
      <c r="I92" s="157" t="str">
        <f>IF(N71=3,L71,"2º do grupo G")</f>
        <v>Suiça</v>
      </c>
      <c r="J92" s="159" t="s">
        <v>200</v>
      </c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313"/>
      <c r="E93" s="313"/>
      <c r="F93" s="313"/>
      <c r="G93" s="313"/>
      <c r="H93" s="313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313"/>
      <c r="E94" s="313"/>
      <c r="F94" s="313"/>
      <c r="G94" s="313"/>
      <c r="H94" s="313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314"/>
      <c r="E95" s="303">
        <v>0.0</v>
      </c>
      <c r="F95" s="298"/>
      <c r="G95" s="304">
        <v>2.0</v>
      </c>
      <c r="H95" s="315"/>
      <c r="I95" s="157" t="str">
        <f>IF(OR(G86="",E86="",AND(G86=E86,OR(H86="",D86=""))),"Vencedor do 50",IF(G86=E86,IF(H86&gt;D86,I86,C86),IF(G86&gt;E86,I86,C86)))</f>
        <v>Argentina</v>
      </c>
      <c r="J95" s="159" t="s">
        <v>196</v>
      </c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Argentina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Alemanha</v>
      </c>
      <c r="D96" s="314"/>
      <c r="E96" s="303">
        <v>0.0</v>
      </c>
      <c r="F96" s="298"/>
      <c r="G96" s="304">
        <v>3.0</v>
      </c>
      <c r="H96" s="315"/>
      <c r="I96" s="157" t="str">
        <f>IF(OR(G90="",E90="",AND(G90=E90,OR(H90="",D90=""))),"Vencedor do 52",IF(G90=E90,IF(H90&gt;D90,I90,C90),IF(G90&gt;E90,I90,C90)))</f>
        <v>Brasil</v>
      </c>
      <c r="J96" s="159" t="s">
        <v>194</v>
      </c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314"/>
      <c r="E97" s="303">
        <v>0.0</v>
      </c>
      <c r="F97" s="298"/>
      <c r="G97" s="304">
        <v>1.0</v>
      </c>
      <c r="H97" s="315"/>
      <c r="I97" s="157" t="str">
        <f>IF(OR(G88="",E88="",AND(G88=E88,OR(H88="",D88=""))),"Vencedor do 54",IF(G88=E88,IF(H88&gt;D88,I88,C88),IF(G88&gt;E88,I88,C88)))</f>
        <v>França</v>
      </c>
      <c r="J97" s="159" t="s">
        <v>193</v>
      </c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314"/>
      <c r="E98" s="303">
        <v>2.0</v>
      </c>
      <c r="F98" s="298"/>
      <c r="G98" s="304">
        <v>0.0</v>
      </c>
      <c r="H98" s="315"/>
      <c r="I98" s="157" t="str">
        <f>IF(OR(G92="",E92="",AND(G92=E92,OR(H92="",D92=""))),"Vencedor do 56",IF(G92=E92,IF(H92&gt;D92,I92,C92),IF(G92&gt;E92,I92,C92)))</f>
        <v>Uruguai</v>
      </c>
      <c r="J98" s="159" t="s">
        <v>197</v>
      </c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313"/>
      <c r="E99" s="313"/>
      <c r="F99" s="313"/>
      <c r="G99" s="313"/>
      <c r="H99" s="313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313"/>
      <c r="E100" s="313"/>
      <c r="F100" s="313"/>
      <c r="G100" s="313"/>
      <c r="H100" s="313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314"/>
      <c r="E101" s="303">
        <v>1.0</v>
      </c>
      <c r="F101" s="298"/>
      <c r="G101" s="304">
        <v>0.0</v>
      </c>
      <c r="H101" s="315"/>
      <c r="I101" s="157" t="str">
        <f>IF(OR(G96="",E96="",AND(G96=E96,OR(H96="",D96=""))),"Vencedor do 58",IF(G96=E96,IF(H96&gt;D96,I96,C96),IF(G96&gt;E96,I96,C96)))</f>
        <v>Brasil</v>
      </c>
      <c r="J101" s="159" t="s">
        <v>201</v>
      </c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França</v>
      </c>
      <c r="D102" s="314"/>
      <c r="E102" s="303">
        <v>1.0</v>
      </c>
      <c r="F102" s="298"/>
      <c r="G102" s="304">
        <v>0.0</v>
      </c>
      <c r="H102" s="315"/>
      <c r="I102" s="157" t="str">
        <f>IF(OR(G98="",E98="",AND(G98=E98,OR(H98="",D98=""))),"Vencedor do 60",IF(G98=E98,IF(H98&gt;D98,I98,C98),IF(G98&gt;E98,I98,C98)))</f>
        <v>Bélgica</v>
      </c>
      <c r="J102" s="159" t="s">
        <v>195</v>
      </c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313"/>
      <c r="E103" s="313"/>
      <c r="F103" s="313"/>
      <c r="G103" s="313"/>
      <c r="H103" s="313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313"/>
      <c r="E104" s="313"/>
      <c r="F104" s="313"/>
      <c r="G104" s="313"/>
      <c r="H104" s="31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Brasil</v>
      </c>
      <c r="D105" s="314"/>
      <c r="E105" s="303">
        <v>4.0</v>
      </c>
      <c r="F105" s="298"/>
      <c r="G105" s="304">
        <v>2.0</v>
      </c>
      <c r="H105" s="315"/>
      <c r="I105" s="183" t="str">
        <f>IF(OR(G102="",E102="",AND(G102=E102,OR(H102="",D102=""))),"    ",IF(G102=E102,IF(H102&lt;D102,I102,C102),IF(G102&lt;E102,I102,C102)))</f>
        <v>Bélgica</v>
      </c>
      <c r="J105" s="159" t="s">
        <v>201</v>
      </c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313"/>
      <c r="E106" s="313"/>
      <c r="F106" s="313"/>
      <c r="G106" s="313"/>
      <c r="H106" s="31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94" t="s">
        <v>136</v>
      </c>
      <c r="B107" s="195"/>
      <c r="C107" s="196"/>
      <c r="D107" s="313"/>
      <c r="E107" s="313"/>
      <c r="F107" s="313"/>
      <c r="G107" s="313"/>
      <c r="H107" s="313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Argentina</v>
      </c>
      <c r="D108" s="316"/>
      <c r="E108" s="317">
        <v>1.0</v>
      </c>
      <c r="F108" s="318"/>
      <c r="G108" s="317">
        <v>0.0</v>
      </c>
      <c r="H108" s="319"/>
      <c r="I108" s="202" t="str">
        <f>IF(OR(G102="",E102="",AND(G102=E102,OR(H102="",D102=""))),"  ",IF(G102=E102,IF(H102&gt;D102,I102,C102),IF(G102&gt;E102,I102,C102)))</f>
        <v>França</v>
      </c>
      <c r="J108" s="253" t="s">
        <v>195</v>
      </c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5.5"/>
    <col customWidth="1" min="3" max="3" width="14.0"/>
    <col customWidth="1" min="4" max="4" width="2.5"/>
    <col customWidth="1" min="5" max="5" width="3.5"/>
    <col customWidth="1" min="6" max="6" width="2.75"/>
    <col customWidth="1" min="7" max="7" width="3.5"/>
    <col customWidth="1" min="8" max="8" width="2.5"/>
    <col customWidth="1" min="9" max="9" width="14.0"/>
    <col customWidth="1" min="10" max="10" width="10.5"/>
    <col customWidth="1" min="11" max="11" width="3.13"/>
    <col customWidth="1" min="12" max="12" width="14.13"/>
    <col customWidth="1" min="13" max="17" width="2.88"/>
    <col customWidth="1" min="18" max="20" width="3.25"/>
    <col customWidth="1" min="21" max="21" width="3.13"/>
    <col customWidth="1" min="22" max="22" width="12.25"/>
    <col customWidth="1" min="23" max="23" width="20.75"/>
    <col customWidth="1" min="24" max="25" width="9.13"/>
    <col customWidth="1" min="26" max="26" width="12.75"/>
    <col customWidth="1" min="27" max="346" width="9.13"/>
  </cols>
  <sheetData>
    <row r="1" ht="12.75" customHeight="1">
      <c r="A1" s="51"/>
      <c r="B1" s="51"/>
      <c r="C1" s="52"/>
      <c r="D1" s="53"/>
      <c r="E1" s="53"/>
      <c r="F1" s="53"/>
      <c r="G1" s="53"/>
      <c r="H1" s="53"/>
      <c r="I1" s="52"/>
      <c r="J1" s="54"/>
      <c r="K1" s="55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18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6"/>
      <c r="LN1" s="57" t="s">
        <v>48</v>
      </c>
      <c r="LO1" s="57"/>
      <c r="LP1" s="57"/>
      <c r="LQ1" s="57"/>
      <c r="LR1" s="57"/>
      <c r="LS1" s="57"/>
      <c r="LT1" s="57"/>
      <c r="LU1" s="57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</row>
    <row r="2" ht="12.75" customHeight="1">
      <c r="A2" s="51"/>
      <c r="B2" s="51"/>
      <c r="C2" s="52"/>
      <c r="D2" s="53"/>
      <c r="E2" s="53"/>
      <c r="F2" s="53"/>
      <c r="G2" s="53"/>
      <c r="H2" s="53"/>
      <c r="I2" s="52"/>
      <c r="J2" s="54"/>
      <c r="K2" s="5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218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69" t="s">
        <v>50</v>
      </c>
      <c r="LN2" s="70" t="s">
        <v>51</v>
      </c>
      <c r="LO2" s="71" t="s">
        <v>52</v>
      </c>
      <c r="LP2" s="71" t="s">
        <v>53</v>
      </c>
      <c r="LQ2" s="71" t="s">
        <v>54</v>
      </c>
      <c r="LR2" s="71" t="s">
        <v>55</v>
      </c>
      <c r="LS2" s="71" t="s">
        <v>56</v>
      </c>
      <c r="LT2" s="71" t="s">
        <v>57</v>
      </c>
      <c r="LU2" s="71" t="s">
        <v>58</v>
      </c>
      <c r="LV2" s="72"/>
      <c r="LW2" s="72"/>
      <c r="LX2" s="72"/>
      <c r="LY2" s="72"/>
      <c r="LZ2" s="72"/>
      <c r="MA2" s="72"/>
      <c r="MB2" s="72"/>
      <c r="MC2" s="72"/>
      <c r="MD2" s="72"/>
      <c r="ME2" s="72"/>
      <c r="MF2" s="72"/>
      <c r="MG2" s="72"/>
      <c r="MH2" s="72"/>
    </row>
    <row r="3" ht="12.75" customHeight="1">
      <c r="A3" s="50"/>
      <c r="B3" s="51"/>
      <c r="C3" s="52"/>
      <c r="D3" s="53"/>
      <c r="E3" s="53"/>
      <c r="F3" s="53"/>
      <c r="G3" s="53"/>
      <c r="H3" s="53"/>
      <c r="I3" s="52"/>
      <c r="J3" s="54"/>
      <c r="K3" s="55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218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6" t="s">
        <v>59</v>
      </c>
      <c r="LN3" s="70">
        <f>IF(OR(E20="",G20=""),0,IF(LO3=0,0,IF(E20&gt;G20,3,IF(E20=G20,1,0)))+IF(OR(E22="",G22=""),0,IF(E22&gt;G22,3,IF(E22=G22,1,0)))+IF(OR(G25="",E25=""),0,IF(G25&gt;E25,3,IF(G25=E25,1,0))))</f>
        <v>1</v>
      </c>
      <c r="LO3" s="71">
        <f>IF(AND(E20&lt;&gt;"",G20&lt;&gt;""),1,0)+IF(AND(E22&lt;&gt;"",G22&lt;&gt;""),1,0)+IF(AND(E25&lt;&gt;"",G25&lt;&gt;""),1,0)</f>
        <v>3</v>
      </c>
      <c r="LP3" s="71">
        <f>IF(OR(E20="",G20=""),0,IF(E20&gt;G20,1,0))+IF(OR(E22="",G22=""),0,IF(E22&gt;G22,1,0))+IF(OR(G25="",E25=""),0,IF(G25&gt;E25,1,0))</f>
        <v>0</v>
      </c>
      <c r="LQ3" s="71">
        <f>IF(OR(E20="",G20=""),0,IF(E20=G20,1,0))+IF(OR(E22="",G22=""),0,IF(E22=G22,1,0))+IF(OR(G25="",E25=""),0,IF(G25=E25,1,0))</f>
        <v>1</v>
      </c>
      <c r="LR3" s="71">
        <f>IF(OR(E20="",G20=""),0,IF(E20&lt;G20,1,0))+IF(OR(E22="",G22=""),0,IF(E22&lt;G22,1,0))+IF(OR(G25="",E25=""),0,IF(G25&lt;E25,1,0))</f>
        <v>2</v>
      </c>
      <c r="LS3" s="71">
        <f>E20+E22+G25</f>
        <v>1</v>
      </c>
      <c r="LT3" s="71">
        <f>G20+G22+E25</f>
        <v>5</v>
      </c>
      <c r="LU3" s="71">
        <f t="shared" ref="LU3:LU6" si="1">LS3-LT3</f>
        <v>-4</v>
      </c>
      <c r="LV3" s="70">
        <f t="shared" ref="LV3:LV6" si="2">LN3</f>
        <v>1</v>
      </c>
      <c r="LW3" s="70">
        <f t="shared" ref="LW3:LW6" si="3">LU3/10</f>
        <v>-0.4</v>
      </c>
      <c r="LX3" s="70">
        <f t="shared" ref="LX3:LX6" si="4">LS3/100</f>
        <v>0.01</v>
      </c>
      <c r="LY3" s="70">
        <f t="shared" ref="LY3:LY6" si="5">SUM(LV3:LX3)</f>
        <v>0.61</v>
      </c>
      <c r="LZ3" s="70">
        <f>IF(LY3=LY4,IF(E20&gt;G20,0.001,0),0)</f>
        <v>0</v>
      </c>
      <c r="MA3" s="70">
        <f>IF(LY3=LY5,IF(E22&gt;G22,0.001,0),0)</f>
        <v>0</v>
      </c>
      <c r="MB3" s="70">
        <f>IF(LY3=LY6,IF(G25&gt;E25,0.001,0),0)</f>
        <v>0</v>
      </c>
      <c r="MC3" s="70">
        <f t="shared" ref="MC3:MC6" si="6">SUM(LY3:MB3)</f>
        <v>0.61</v>
      </c>
      <c r="MD3" s="70">
        <f t="shared" ref="MD3:MD6" si="7">RANK(MC3,$MC$3:$MC$6,0)</f>
        <v>4</v>
      </c>
      <c r="ME3" s="70">
        <f>MD3</f>
        <v>4</v>
      </c>
      <c r="MF3" s="70">
        <v>1.0</v>
      </c>
      <c r="MG3" s="70">
        <f t="shared" ref="MG3:MG6" si="8">MATCH(MF3,$ME$3:$ME$6,0)</f>
        <v>4</v>
      </c>
      <c r="MH3" s="70" t="str">
        <f t="shared" ref="MH3:MH6" si="9">INDEX($LM$3:$LM$6,MG3)</f>
        <v>Holanda</v>
      </c>
    </row>
    <row r="4" ht="22.5" customHeight="1">
      <c r="A4" s="59" t="s">
        <v>164</v>
      </c>
      <c r="B4" s="60"/>
      <c r="C4" s="61"/>
      <c r="D4" s="62"/>
      <c r="E4" s="62"/>
      <c r="F4" s="62"/>
      <c r="G4" s="62"/>
      <c r="H4" s="62"/>
      <c r="I4" s="61"/>
      <c r="J4" s="63"/>
      <c r="K4" s="64"/>
      <c r="L4" s="219"/>
      <c r="M4" s="220"/>
      <c r="N4" s="220"/>
      <c r="O4" s="220"/>
      <c r="P4" s="220"/>
      <c r="Q4" s="220"/>
      <c r="R4" s="220"/>
      <c r="S4" s="220"/>
      <c r="T4" s="68"/>
      <c r="U4" s="53"/>
      <c r="V4" s="53"/>
      <c r="W4" s="53"/>
      <c r="X4" s="218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6" t="s">
        <v>60</v>
      </c>
      <c r="LN4" s="70">
        <f>IF(OR(G20="",E20=""),0,IF(LO4=0,0,IF(G20&gt;E20,3,IF(G20=E20,1,0)))+IF(OR(G23="",E23=""),0,IF(G23&gt;E23,3,IF(G23=E23,1,0)))+IF(OR(G24="",E24=""),0,IF(E24&gt;G24,3,IF(E24=G24,1,0))))</f>
        <v>1</v>
      </c>
      <c r="LO4" s="71">
        <f>IF(AND(E20&lt;&gt;"",G20&lt;&gt;""),1,0)+IF(AND(E23&lt;&gt;"",G23&lt;&gt;""),1,0)+IF(AND(E25&lt;&gt;"",G25&lt;&gt;""),1,0)</f>
        <v>3</v>
      </c>
      <c r="LP4" s="71">
        <f>IF(OR(G20="",E20=""),0,IF(G20&gt;E20,1,0))+IF(OR(G23="",E23=""),0,IF(G23&gt;E23,1,0))+IF(OR(E25="",G25=""),0,IF(E25&gt;G25,1,0))</f>
        <v>1</v>
      </c>
      <c r="LQ4" s="71">
        <f>IF(OR(G20="",E20=""),0,IF(G20=E20,1,0))+IF(OR(G23="",E23=""),0,IF(G23=E23,1,0))+IF(OR(E25="",G25=""),0,IF(E25=G25,1,0))</f>
        <v>1</v>
      </c>
      <c r="LR4" s="71">
        <f>IF(OR(G20="",E20=""),0,IF(G20&lt;E20,1,0))+IF(OR(G23="",E23=""),0,IF(G23&lt;E23,1,0))+IF(OR(E25="",G25=""),0,IF(E25&lt;G25,1,0))</f>
        <v>1</v>
      </c>
      <c r="LS4" s="71">
        <f>G20+G23+E25</f>
        <v>3</v>
      </c>
      <c r="LT4" s="71">
        <f>E20+E23+G25</f>
        <v>3</v>
      </c>
      <c r="LU4" s="71">
        <f t="shared" si="1"/>
        <v>0</v>
      </c>
      <c r="LV4" s="70">
        <f t="shared" si="2"/>
        <v>1</v>
      </c>
      <c r="LW4" s="70">
        <f t="shared" si="3"/>
        <v>0</v>
      </c>
      <c r="LX4" s="70">
        <f t="shared" si="4"/>
        <v>0.03</v>
      </c>
      <c r="LY4" s="70">
        <f t="shared" si="5"/>
        <v>1.03</v>
      </c>
      <c r="LZ4" s="70">
        <f>IF(LY4=LY3,IF(G20&gt;E20,0.001,0),0)</f>
        <v>0</v>
      </c>
      <c r="MA4" s="70">
        <f>IF(LY4=LY5,IF(E24&gt;G24,0.001,0),0)</f>
        <v>0</v>
      </c>
      <c r="MB4" s="70">
        <f>IF(LY4=LY6,IF(G23&gt;E23,0.001,0),0)</f>
        <v>0</v>
      </c>
      <c r="MC4" s="70">
        <f t="shared" si="6"/>
        <v>1.03</v>
      </c>
      <c r="MD4" s="70">
        <f t="shared" si="7"/>
        <v>3</v>
      </c>
      <c r="ME4" s="70">
        <f>IF(OR(AND(MD3=MD4,MD3=MD5,MD3=MD6),AND(MD4=MD3,MD4=MD5),AND(MD4=MD3,MD4=MD6),MD4=MD3),MD4+1,MD4)</f>
        <v>3</v>
      </c>
      <c r="MF4" s="70">
        <v>2.0</v>
      </c>
      <c r="MG4" s="70">
        <f t="shared" si="8"/>
        <v>3</v>
      </c>
      <c r="MH4" s="70" t="str">
        <f t="shared" si="9"/>
        <v>Senegal</v>
      </c>
    </row>
    <row r="5" ht="12.75" customHeight="1">
      <c r="A5" s="221" t="s">
        <v>165</v>
      </c>
      <c r="B5" s="51"/>
      <c r="C5" s="52"/>
      <c r="D5" s="53"/>
      <c r="E5" s="53"/>
      <c r="F5" s="53"/>
      <c r="G5" s="53"/>
      <c r="H5" s="53"/>
      <c r="I5" s="52"/>
      <c r="J5" s="54"/>
      <c r="K5" s="55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21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6" t="s">
        <v>61</v>
      </c>
      <c r="LN5" s="70">
        <f>IF(OR(E21="",G21=""),0,IF(LO5=0,0,IF(E21&gt;G21,3,IF(E21=G21,1,0)))+IF(OR(G22="",E22=""),0,IF(G22&gt;E22,3,IF(G22=E22,1,0)))+IF(OR(G24="",E24=""),0,IF(G24&gt;E24,3,IF(E24=G24,1,0))))</f>
        <v>6</v>
      </c>
      <c r="LO5" s="71">
        <f>IF(AND(E21&lt;&gt;"",G21&lt;&gt;""),1,0)+IF(AND(E22&lt;&gt;"",G22&lt;&gt;""),1,0)+IF(AND(E24&lt;&gt;"",G24&lt;&gt;""),1,0)</f>
        <v>3</v>
      </c>
      <c r="LP5" s="71">
        <f>IF(OR(E21="",G21=""),0,IF(E21&gt;G21,1,0))+IF(OR(G22="",E22=""),0,IF(G22&gt;E22,1,0))+IF(OR(G24="",E24=""),0,IF(G24&gt;E24,1,0))</f>
        <v>2</v>
      </c>
      <c r="LQ5" s="71">
        <f>IF(OR(E21="",G21=""),0,IF(E21=G21,1,0))+IF(OR(G22="",E22=""),0,IF(G22=E22,1,0))+IF(OR(G24="",E24=""),0,IF(G24=E24,1,0))</f>
        <v>0</v>
      </c>
      <c r="LR5" s="71">
        <f>IF(OR(E21="",G21=""),0,IF(E21&lt;G21,1,0))+IF(OR(G22="",E22=""),0,IF(G22&lt;E22,1,0))+IF(OR(G24="",E24=""),0,IF(G24&lt;E24,1,0))</f>
        <v>1</v>
      </c>
      <c r="LS5" s="71">
        <f>E21+G22+G24</f>
        <v>4</v>
      </c>
      <c r="LT5" s="71">
        <f>G21+E22+E24</f>
        <v>1</v>
      </c>
      <c r="LU5" s="71">
        <f t="shared" si="1"/>
        <v>3</v>
      </c>
      <c r="LV5" s="70">
        <f t="shared" si="2"/>
        <v>6</v>
      </c>
      <c r="LW5" s="70">
        <f t="shared" si="3"/>
        <v>0.3</v>
      </c>
      <c r="LX5" s="70">
        <f t="shared" si="4"/>
        <v>0.04</v>
      </c>
      <c r="LY5" s="70">
        <f t="shared" si="5"/>
        <v>6.34</v>
      </c>
      <c r="LZ5" s="70">
        <f>IF(LY5=LY3,IF(G22&gt;E22,0.001,0),0)</f>
        <v>0</v>
      </c>
      <c r="MA5" s="70">
        <f>IF(LY5=LY4,IF(G24&gt;E24,0.001,0),0)</f>
        <v>0</v>
      </c>
      <c r="MB5" s="70">
        <f>IF(LY5=LY6,IF(E21&gt;G21,0.001,0),0)</f>
        <v>0</v>
      </c>
      <c r="MC5" s="70">
        <f t="shared" si="6"/>
        <v>6.34</v>
      </c>
      <c r="MD5" s="70">
        <f t="shared" si="7"/>
        <v>2</v>
      </c>
      <c r="ME5" s="70">
        <f>IF(OR(AND(MD3=MD4,MD3=MD5,MD3=MD6),AND(MD5=MD3,MD5=MD4)),MD5+2,IF(OR(AND(MD5=MD4,MD5=MD6),MD5=MD3,MD5=MD4),MD5+1,MD5))</f>
        <v>2</v>
      </c>
      <c r="MF5" s="70">
        <v>3.0</v>
      </c>
      <c r="MG5" s="70">
        <f t="shared" si="8"/>
        <v>2</v>
      </c>
      <c r="MH5" s="70" t="str">
        <f t="shared" si="9"/>
        <v>Equador</v>
      </c>
    </row>
    <row r="6" ht="22.5" customHeight="1">
      <c r="A6" s="222" t="s">
        <v>166</v>
      </c>
      <c r="B6" s="223"/>
      <c r="C6" s="223"/>
      <c r="D6" s="263" t="s">
        <v>209</v>
      </c>
      <c r="E6" s="225"/>
      <c r="F6" s="225"/>
      <c r="G6" s="225"/>
      <c r="H6" s="225"/>
      <c r="I6" s="225"/>
      <c r="J6" s="225"/>
      <c r="K6" s="55"/>
      <c r="L6" s="226" t="str">
        <f>"Total de Pontos até " &amp; TEXT(NOW(),"dd/mm/aaaa")</f>
        <v>Total de Pontos até 24/04/Friday</v>
      </c>
      <c r="M6" s="66"/>
      <c r="N6" s="66"/>
      <c r="O6" s="66"/>
      <c r="P6" s="66"/>
      <c r="Q6" s="66"/>
      <c r="R6" s="66"/>
      <c r="S6" s="66"/>
      <c r="T6" s="227"/>
      <c r="U6" s="53"/>
      <c r="V6" s="53"/>
      <c r="W6" s="53"/>
      <c r="X6" s="218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6" t="s">
        <v>62</v>
      </c>
      <c r="LN6" s="70">
        <f>IF(OR(G21="",E21=""),0,IF(LO6=0,0,IF(G21&gt;E21,3,IF(G21=E21,1,0)))+IF(OR(E23="",G23=""),0,IF(E23&gt;G23,3,IF(E23=G23,1,0)))+IF(OR(E25="",G25=""),0,IF(E25&gt;G25,3,IF(E25=G25,1,0))))</f>
        <v>9</v>
      </c>
      <c r="LO6" s="71">
        <f>IF(AND(E21&lt;&gt;"",G21&lt;&gt;""),1,0)+IF(AND(E23&lt;&gt;"",G23&lt;&gt;""),1,0)+IF(AND(E25&lt;&gt;"",G25&lt;&gt;""),1,0)</f>
        <v>3</v>
      </c>
      <c r="LP6" s="71">
        <f>IF(OR(G21="",E21=""),0,IF(G21&gt;E21,1,0))+IF(OR(E23="",G23=""),0,IF(E23&gt;G23,1,0))+IF(OR(E25="",G25=""),0,IF(E25&gt;G25,1,0))</f>
        <v>3</v>
      </c>
      <c r="LQ6" s="71">
        <f>IF(OR(G21="",E21=""),0,IF(G21=E21,1,0))+IF(OR(E23="",G23=""),0,IF(E23=G23,1,0))+IF(OR(E25="",G25=""),0,IF(E25=G25,1,0))</f>
        <v>0</v>
      </c>
      <c r="LR6" s="71">
        <f>IF(OR(G21="",E21=""),0,IF(G21&lt;E21,1,0))+IF(OR(E23="",G23=""),0,IF(E23&lt;G23,1,0))+IF(OR(E25="",G25=""),0,IF(E25&lt;G25,1,0))</f>
        <v>0</v>
      </c>
      <c r="LS6" s="71">
        <f>G21+E23+E25</f>
        <v>5</v>
      </c>
      <c r="LT6" s="71">
        <f>E21+G23+G25</f>
        <v>0</v>
      </c>
      <c r="LU6" s="71">
        <f t="shared" si="1"/>
        <v>5</v>
      </c>
      <c r="LV6" s="70">
        <f t="shared" si="2"/>
        <v>9</v>
      </c>
      <c r="LW6" s="70">
        <f t="shared" si="3"/>
        <v>0.5</v>
      </c>
      <c r="LX6" s="70">
        <f t="shared" si="4"/>
        <v>0.05</v>
      </c>
      <c r="LY6" s="70">
        <f t="shared" si="5"/>
        <v>9.55</v>
      </c>
      <c r="LZ6" s="70">
        <f>IF(LY6=LY3,IF(E25&gt;G25,0.001,0),0)</f>
        <v>0</v>
      </c>
      <c r="MA6" s="70">
        <f>IF(LY6=LY4,IF(E23&gt;G23,0.001,0),0)</f>
        <v>0</v>
      </c>
      <c r="MB6" s="70">
        <f>IF(LY6=LY5,IF(G21&gt;E21,0.001,0),0)</f>
        <v>0</v>
      </c>
      <c r="MC6" s="70">
        <f t="shared" si="6"/>
        <v>9.55</v>
      </c>
      <c r="MD6" s="70">
        <f t="shared" si="7"/>
        <v>1</v>
      </c>
      <c r="ME6" s="70">
        <f>IF(AND(MD3=MD4,MD3=MD5,MD3=MD6),MD6+3,IF(OR(AND(MD6=MD5,MD6=MD4),AND(MD6=MD4,MD6=MD3)),MD6+2,IF(OR(MD6=MD5,MD6=MD4,MD6=MD3),MD6+1,MD6)))</f>
        <v>1</v>
      </c>
      <c r="MF6" s="70">
        <v>4.0</v>
      </c>
      <c r="MG6" s="70">
        <f t="shared" si="8"/>
        <v>1</v>
      </c>
      <c r="MH6" s="70" t="str">
        <f t="shared" si="9"/>
        <v>Catar</v>
      </c>
    </row>
    <row r="7" ht="22.5" customHeight="1">
      <c r="A7" s="222" t="s">
        <v>167</v>
      </c>
      <c r="B7" s="223"/>
      <c r="C7" s="223"/>
      <c r="D7" s="264" t="s">
        <v>209</v>
      </c>
      <c r="E7" s="225"/>
      <c r="F7" s="225"/>
      <c r="G7" s="225"/>
      <c r="H7" s="225"/>
      <c r="I7" s="225"/>
      <c r="J7" s="225"/>
      <c r="K7" s="55"/>
      <c r="L7" s="229">
        <f>SUM(Z18,X22:X23,X30:X31,X38:X39,X46:X47,X54:X55,X62:X63,X70:X71,X78:X79,L9:L14)</f>
        <v>209</v>
      </c>
      <c r="M7" s="230"/>
      <c r="N7" s="230"/>
      <c r="O7" s="230"/>
      <c r="P7" s="230"/>
      <c r="Q7" s="230"/>
      <c r="R7" s="230"/>
      <c r="S7" s="230"/>
      <c r="T7" s="230"/>
      <c r="U7" s="53"/>
      <c r="V7" s="53"/>
      <c r="W7" s="53"/>
      <c r="X7" s="218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6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</row>
    <row r="8" ht="12.75" customHeight="1">
      <c r="A8" s="51"/>
      <c r="B8" s="51"/>
      <c r="C8" s="52"/>
      <c r="D8" s="53"/>
      <c r="E8" s="53"/>
      <c r="F8" s="53"/>
      <c r="G8" s="53"/>
      <c r="H8" s="53"/>
      <c r="I8" s="52"/>
      <c r="J8" s="54"/>
      <c r="K8" s="55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18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6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</row>
    <row r="9" ht="22.5" customHeight="1">
      <c r="A9" s="232" t="s">
        <v>168</v>
      </c>
      <c r="B9" s="233"/>
      <c r="C9" s="233"/>
      <c r="D9" s="208" t="s">
        <v>210</v>
      </c>
      <c r="E9" s="66"/>
      <c r="F9" s="66"/>
      <c r="G9" s="66"/>
      <c r="H9" s="66"/>
      <c r="I9" s="66"/>
      <c r="J9" s="66"/>
      <c r="K9" s="55"/>
      <c r="L9" s="234">
        <f>(IF(OR(D9="",'Resultado Oficial'!D117=""),"",IF(D9='Resultado Oficial'!D117,40,0)))</f>
        <v>0</v>
      </c>
      <c r="M9" s="230"/>
      <c r="N9" s="230"/>
      <c r="O9" s="230"/>
      <c r="P9" s="230"/>
      <c r="Q9" s="230"/>
      <c r="R9" s="230"/>
      <c r="S9" s="230"/>
      <c r="T9" s="230"/>
      <c r="U9" s="53"/>
      <c r="V9" s="53"/>
      <c r="W9" s="53"/>
      <c r="X9" s="218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6"/>
      <c r="LN9" s="57" t="s">
        <v>63</v>
      </c>
      <c r="LO9" s="57"/>
      <c r="LP9" s="57"/>
      <c r="LQ9" s="57"/>
      <c r="LR9" s="57"/>
      <c r="LS9" s="57"/>
      <c r="LT9" s="57"/>
      <c r="LU9" s="57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</row>
    <row r="10" ht="12.75" customHeight="1">
      <c r="A10" s="51"/>
      <c r="B10" s="51"/>
      <c r="C10" s="52"/>
      <c r="D10" s="53"/>
      <c r="E10" s="53"/>
      <c r="F10" s="53"/>
      <c r="G10" s="53"/>
      <c r="H10" s="53"/>
      <c r="I10" s="52"/>
      <c r="J10" s="54"/>
      <c r="K10" s="55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218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69" t="s">
        <v>50</v>
      </c>
      <c r="LN10" s="70" t="s">
        <v>51</v>
      </c>
      <c r="LO10" s="71" t="s">
        <v>52</v>
      </c>
      <c r="LP10" s="71" t="s">
        <v>53</v>
      </c>
      <c r="LQ10" s="71" t="s">
        <v>54</v>
      </c>
      <c r="LR10" s="71" t="s">
        <v>55</v>
      </c>
      <c r="LS10" s="71" t="s">
        <v>56</v>
      </c>
      <c r="LT10" s="71" t="s">
        <v>57</v>
      </c>
      <c r="LU10" s="71" t="s">
        <v>58</v>
      </c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</row>
    <row r="11" ht="22.5" customHeight="1">
      <c r="A11" s="222" t="s">
        <v>137</v>
      </c>
      <c r="B11" s="223"/>
      <c r="C11" s="223"/>
      <c r="D11" s="208" t="s">
        <v>111</v>
      </c>
      <c r="E11" s="66"/>
      <c r="F11" s="66"/>
      <c r="G11" s="66"/>
      <c r="H11" s="66"/>
      <c r="I11" s="66"/>
      <c r="J11" s="66"/>
      <c r="K11" s="55"/>
      <c r="L11" s="234">
        <f>IF(OR(D11="",'Resultado Oficial'!D111=""),"",IF(D11='Resultado Oficial'!D111,40,IF(D11='Resultado Oficial'!D112,20,IF(D11='Resultado Oficial'!D113,20,IF(Mothci!D11='Resultado Oficial'!D114,20,0)))))</f>
        <v>0</v>
      </c>
      <c r="M11" s="230"/>
      <c r="N11" s="230"/>
      <c r="O11" s="230"/>
      <c r="P11" s="230"/>
      <c r="Q11" s="230"/>
      <c r="R11" s="230"/>
      <c r="S11" s="230"/>
      <c r="T11" s="230"/>
      <c r="U11" s="53"/>
      <c r="V11" s="53"/>
      <c r="W11" s="53"/>
      <c r="X11" s="218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6" t="s">
        <v>64</v>
      </c>
      <c r="LN11" s="70">
        <f>IF(OR(E28="",G28=""),0,IF(LO11=0,0,IF(E28&gt;G28,3,IF(E28=G28,1,0)))+IF(OR(E31="",G31=""),0,IF(E31&gt;G31,3,IF(E31=G31,1,0)))+IF(OR(G32="",E32=""),0,IF(G32&gt;E32,3,IF(G32=E32,1,0))))</f>
        <v>9</v>
      </c>
      <c r="LO11" s="71">
        <f>IF(AND(E28&lt;&gt;"",G28&lt;&gt;""),1,0)+IF(AND(E31&lt;&gt;"",G31&lt;&gt;""),1,0)+IF(AND(E32&lt;&gt;"",G32&lt;&gt;""),1,0)</f>
        <v>3</v>
      </c>
      <c r="LP11" s="71">
        <f>IF(OR(E28="",G28=""),0,IF(E28&gt;G28,1,0))+IF(OR(E31="",G31=""),0,IF(E31&gt;G31,1,0))+IF(OR(G32="",E32=""),0,IF(G32&gt;E32,1,0))</f>
        <v>3</v>
      </c>
      <c r="LQ11" s="71">
        <f>IF(OR(E28="",G28=""),0,IF(E28=G28,1,0))+IF(OR(E31="",G31=""),0,IF(E31=G31,1,0))+IF(OR(G32="",E32=""),0,IF(G32=E32,1,0))</f>
        <v>0</v>
      </c>
      <c r="LR11" s="71">
        <f>IF(OR(E28="",G28=""),0,IF(E28&lt;G28,1,0))+IF(OR(E31="",G31=""),0,IF(E31&lt;G31,1,0))+IF(OR(G32="",E32=""),0,IF(G32&lt;E32,1,0))</f>
        <v>0</v>
      </c>
      <c r="LS11" s="71">
        <f>E28+E31+G32</f>
        <v>4</v>
      </c>
      <c r="LT11" s="71">
        <f>G28+G31+E32</f>
        <v>0</v>
      </c>
      <c r="LU11" s="71">
        <f t="shared" ref="LU11:LU14" si="10">LS11-LT11</f>
        <v>4</v>
      </c>
      <c r="LV11" s="70">
        <f t="shared" ref="LV11:LV14" si="11">LN11</f>
        <v>9</v>
      </c>
      <c r="LW11" s="70">
        <f t="shared" ref="LW11:LW14" si="12">LU11/10</f>
        <v>0.4</v>
      </c>
      <c r="LX11" s="70">
        <f t="shared" ref="LX11:LX14" si="13">LS11/100</f>
        <v>0.04</v>
      </c>
      <c r="LY11" s="70">
        <f t="shared" ref="LY11:LY14" si="14">SUM(LV11:LX11)</f>
        <v>9.44</v>
      </c>
      <c r="LZ11" s="70">
        <f>IF(LY11=LY12,IF(E28&gt;G28,0.001,0),0)</f>
        <v>0</v>
      </c>
      <c r="MA11" s="70">
        <f>IF(LY11=LY13,IF(E31&gt;G31,0.001,0),0)</f>
        <v>0</v>
      </c>
      <c r="MB11" s="70">
        <f>IF(LY11=LY14,IF(G32&gt;E32,0.001,0),0)</f>
        <v>0</v>
      </c>
      <c r="MC11" s="70">
        <f t="shared" ref="MC11:MC14" si="15">SUM(LY11:MB11)</f>
        <v>9.44</v>
      </c>
      <c r="MD11" s="70">
        <f>RANK($MC$11,$MC$11:$MC$14,0)</f>
        <v>1</v>
      </c>
      <c r="ME11" s="70">
        <f>MD11</f>
        <v>1</v>
      </c>
      <c r="MF11" s="70">
        <v>1.0</v>
      </c>
      <c r="MG11" s="70">
        <f t="shared" ref="MG11:MG14" si="16">MATCH(MF11,$ME$11:$ME$14,0)</f>
        <v>1</v>
      </c>
      <c r="MH11" s="70" t="str">
        <f t="shared" ref="MH11:MH14" si="17">INDEX($LM$11:$LM$14,MG11)</f>
        <v>Inglaterra</v>
      </c>
    </row>
    <row r="12" ht="22.5" customHeight="1">
      <c r="A12" s="222" t="s">
        <v>138</v>
      </c>
      <c r="B12" s="223"/>
      <c r="C12" s="223"/>
      <c r="D12" s="208" t="s">
        <v>64</v>
      </c>
      <c r="E12" s="66"/>
      <c r="F12" s="66"/>
      <c r="G12" s="66"/>
      <c r="H12" s="66"/>
      <c r="I12" s="66"/>
      <c r="J12" s="66"/>
      <c r="K12" s="55"/>
      <c r="L12" s="234">
        <f>IF(OR(D12="",'Resultado Oficial'!D112=""),"",IF(D12='Resultado Oficial'!D112,35,IF(D12='Resultado Oficial'!D111,20,IF(D12='Resultado Oficial'!D113,20,IF(Mothci!D12='Resultado Oficial'!D114,20,0)))))</f>
        <v>0</v>
      </c>
      <c r="M12" s="230"/>
      <c r="N12" s="230"/>
      <c r="O12" s="230"/>
      <c r="P12" s="230"/>
      <c r="Q12" s="230"/>
      <c r="R12" s="230"/>
      <c r="S12" s="230"/>
      <c r="T12" s="230"/>
      <c r="U12" s="53"/>
      <c r="V12" s="53"/>
      <c r="W12" s="53"/>
      <c r="X12" s="21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6" t="s">
        <v>65</v>
      </c>
      <c r="LN12" s="70">
        <f>IF(OR(G28="",E28=""),0,IF(LO12=0,0,IF(G28&gt;E28,3,IF(G28=E28,1,0)))+IF(OR(G30="",E30=""),0,IF(G30&gt;E30,3,IF(G30=E30,1,0)))+IF(OR(G33="",E33=""),0,IF(E33&gt;G33,3,IF(E33=G33,1,0))))</f>
        <v>1</v>
      </c>
      <c r="LO12" s="71">
        <f>IF(AND(E28&lt;&gt;"",G28&lt;&gt;""),1,0)+IF(AND(E30&lt;&gt;"",G30&lt;&gt;""),1,0)+IF(AND(E33&lt;&gt;"",G33&lt;&gt;""),1,0)</f>
        <v>3</v>
      </c>
      <c r="LP12" s="71">
        <f>IF(OR(G28="",E28=""),0,IF(G28&gt;E28,1,0))+IF(OR(G30="",E30=""),0,IF(G30&gt;E30,1,0))+IF(OR(E33="",G33=""),0,IF(E33&gt;G33,1,0))</f>
        <v>0</v>
      </c>
      <c r="LQ12" s="71">
        <f>IF(OR(G28="",E28=""),0,IF(G28=E28,1,0))+IF(OR(G30="",E30=""),0,IF(G30=E30,1,0))+IF(OR(E33="",G33=""),0,IF(E33=G33,1,0))</f>
        <v>1</v>
      </c>
      <c r="LR12" s="71">
        <f>IF(OR(G28="",E28=""),0,IF(G28&lt;E28,1,0))+IF(OR(G30="",E30=""),0,IF(G30&lt;E30,1,0))+IF(OR(E33="",G33=""),0,IF(E33&lt;G33,1,0))</f>
        <v>2</v>
      </c>
      <c r="LS12" s="71">
        <f>G28+G30+E33</f>
        <v>0</v>
      </c>
      <c r="LT12" s="71">
        <f>E28+E30+G33</f>
        <v>3</v>
      </c>
      <c r="LU12" s="71">
        <f t="shared" si="10"/>
        <v>-3</v>
      </c>
      <c r="LV12" s="70">
        <f t="shared" si="11"/>
        <v>1</v>
      </c>
      <c r="LW12" s="70">
        <f t="shared" si="12"/>
        <v>-0.3</v>
      </c>
      <c r="LX12" s="70">
        <f t="shared" si="13"/>
        <v>0</v>
      </c>
      <c r="LY12" s="70">
        <f t="shared" si="14"/>
        <v>0.7</v>
      </c>
      <c r="LZ12" s="70">
        <f>IF(LY12=LY11,IF(G28&gt;E28,0.001,0),0)</f>
        <v>0</v>
      </c>
      <c r="MA12" s="70">
        <f>IF(LY12=LY13,IF(E33&gt;G33,0.001,0),0)</f>
        <v>0</v>
      </c>
      <c r="MB12" s="70">
        <f>IF(LY12=LY14,IF(G30&gt;E30,0.001,0),0)</f>
        <v>0</v>
      </c>
      <c r="MC12" s="70">
        <f t="shared" si="15"/>
        <v>0.7</v>
      </c>
      <c r="MD12" s="70">
        <f>RANK($MC$12,$MC$11:$MC$14,0)</f>
        <v>4</v>
      </c>
      <c r="ME12" s="70">
        <f>IF(OR(AND(MD11=MD12,MD11=MD13,MD11=MD14),AND(MD12=MD11,MD12=MD13),AND(MD12=MD11,MD12=MD14),MD12=MD11),MD12+1,MD12)</f>
        <v>4</v>
      </c>
      <c r="MF12" s="70">
        <v>2.0</v>
      </c>
      <c r="MG12" s="70">
        <f t="shared" si="16"/>
        <v>3</v>
      </c>
      <c r="MH12" s="70" t="str">
        <f t="shared" si="17"/>
        <v>Estados Unidos</v>
      </c>
    </row>
    <row r="13" ht="22.5" customHeight="1">
      <c r="A13" s="222" t="s">
        <v>139</v>
      </c>
      <c r="B13" s="223"/>
      <c r="C13" s="223"/>
      <c r="D13" s="208" t="s">
        <v>71</v>
      </c>
      <c r="E13" s="66"/>
      <c r="F13" s="66"/>
      <c r="G13" s="66"/>
      <c r="H13" s="66"/>
      <c r="I13" s="66"/>
      <c r="J13" s="66"/>
      <c r="K13" s="55"/>
      <c r="L13" s="234">
        <f>IF(OR(D13="",'Resultado Oficial'!D113=""),"",IF(D13='Resultado Oficial'!D113,30,IF(D13='Resultado Oficial'!D111,20,IF(D13='Resultado Oficial'!D112,20,IF(Mothci!D13='Resultado Oficial'!D114,20,0)))))</f>
        <v>20</v>
      </c>
      <c r="M13" s="230"/>
      <c r="N13" s="230"/>
      <c r="O13" s="230"/>
      <c r="P13" s="230"/>
      <c r="Q13" s="230"/>
      <c r="R13" s="230"/>
      <c r="S13" s="230"/>
      <c r="T13" s="230"/>
      <c r="U13" s="53"/>
      <c r="V13" s="53"/>
      <c r="W13" s="53"/>
      <c r="X13" s="21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6" t="s">
        <v>66</v>
      </c>
      <c r="LN13" s="70">
        <f>IF(OR(E29="",G29=""),0,IF(LO13=0,0,IF(E29&gt;G29,3,IF(E29=G29,1,0)))+IF(OR(G31="",E31=""),0,IF(G31&gt;E31,3,IF(G31=E31,1,0)))+IF(OR(G33="",E33=""),0,IF(G33&gt;E33,3,IF(E33=G33,1,0))))</f>
        <v>4</v>
      </c>
      <c r="LO13" s="71">
        <f>IF(AND(E29&lt;&gt;"",G29&lt;&gt;""),1,0)+IF(AND(E31&lt;&gt;"",G31&lt;&gt;""),1,0)+IF(AND(E33&lt;&gt;"",G33&lt;&gt;""),1,0)</f>
        <v>3</v>
      </c>
      <c r="LP13" s="71">
        <f>IF(OR(E29="",G29=""),0,IF(E29&gt;G29,1,0))+IF(OR(G31="",E31=""),0,IF(G31&gt;E31,1,0))+IF(OR(G33="",E33=""),0,IF(G33&gt;E33,1,0))</f>
        <v>1</v>
      </c>
      <c r="LQ13" s="71">
        <f>IF(OR(E29="",G29=""),0,IF(E29=G29,1,0))+IF(OR(G31="",E31=""),0,IF(G31=E31,1,0))+IF(OR(G33="",E33=""),0,IF(G33=E33,1,0))</f>
        <v>1</v>
      </c>
      <c r="LR13" s="71">
        <f>IF(OR(E29="",G29=""),0,IF(E29&lt;G29,1,0))+IF(OR(G31="",E31=""),0,IF(G31&lt;E31,1,0))+IF(OR(G33="",E33=""),0,IF(G33&lt;E33,1,0))</f>
        <v>1</v>
      </c>
      <c r="LS13" s="71">
        <f>E29+G31+G33</f>
        <v>2</v>
      </c>
      <c r="LT13" s="71">
        <f>G29+E31+E33</f>
        <v>2</v>
      </c>
      <c r="LU13" s="71">
        <f t="shared" si="10"/>
        <v>0</v>
      </c>
      <c r="LV13" s="70">
        <f t="shared" si="11"/>
        <v>4</v>
      </c>
      <c r="LW13" s="70">
        <f t="shared" si="12"/>
        <v>0</v>
      </c>
      <c r="LX13" s="70">
        <f t="shared" si="13"/>
        <v>0.02</v>
      </c>
      <c r="LY13" s="70">
        <f t="shared" si="14"/>
        <v>4.02</v>
      </c>
      <c r="LZ13" s="70">
        <f>IF(LY13=LY11,IF(G31&gt;E31,0.001,0),0)</f>
        <v>0</v>
      </c>
      <c r="MA13" s="70">
        <f>IF(LY13=LY12,IF(G33&gt;E33,0.001,0),0)</f>
        <v>0</v>
      </c>
      <c r="MB13" s="70">
        <f>IF(LY13=LY14,IF(E29&gt;G29,0.001,0),0)</f>
        <v>0</v>
      </c>
      <c r="MC13" s="70">
        <f t="shared" si="15"/>
        <v>4.02</v>
      </c>
      <c r="MD13" s="70">
        <f>RANK($MC$13,$MC$11:$MC$14,0)</f>
        <v>2</v>
      </c>
      <c r="ME13" s="70">
        <f>IF(OR(AND(MD11=MD12,MD11=MD13,MD11=MD14),AND(MD13=MD11,MD13=MD12)),MD13+2,IF(OR(AND(MD13=MD12,MD13=MD14),MD13=MD11,MD13=MD12),MD13+1,MD13))</f>
        <v>2</v>
      </c>
      <c r="MF13" s="70">
        <v>3.0</v>
      </c>
      <c r="MG13" s="70">
        <f t="shared" si="16"/>
        <v>4</v>
      </c>
      <c r="MH13" s="70" t="str">
        <f t="shared" si="17"/>
        <v>País de Gales</v>
      </c>
    </row>
    <row r="14" ht="22.5" customHeight="1">
      <c r="A14" s="222" t="s">
        <v>140</v>
      </c>
      <c r="B14" s="223"/>
      <c r="C14" s="223"/>
      <c r="D14" s="208" t="s">
        <v>181</v>
      </c>
      <c r="E14" s="66"/>
      <c r="F14" s="66"/>
      <c r="G14" s="66"/>
      <c r="H14" s="66"/>
      <c r="I14" s="66"/>
      <c r="J14" s="66"/>
      <c r="K14" s="55"/>
      <c r="L14" s="234">
        <f>IF(OR(D14="",'Resultado Oficial'!D114=""),"",IF(D14='Resultado Oficial'!D114,25,IF(D14='Resultado Oficial'!D111,20,IF(D14='Resultado Oficial'!D112,20,IF(Mothci!D14='Resultado Oficial'!D113,20,0)))))</f>
        <v>0</v>
      </c>
      <c r="M14" s="230"/>
      <c r="N14" s="230"/>
      <c r="O14" s="230"/>
      <c r="P14" s="230"/>
      <c r="Q14" s="230"/>
      <c r="R14" s="230"/>
      <c r="S14" s="230"/>
      <c r="T14" s="230"/>
      <c r="U14" s="53"/>
      <c r="V14" s="53"/>
      <c r="W14" s="53"/>
      <c r="X14" s="21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6" t="s">
        <v>67</v>
      </c>
      <c r="LN14" s="70">
        <f>IF(OR(G29="",E29=""),0,IF(LO14=0,0,IF(G29&gt;E29,3,IF(G29=E29,1,0)))+IF(OR(E30="",G30=""),0,IF(E30&gt;G30,3,IF(E30=G30,1,0)))+IF(OR(E32="",G32=""),0,IF(E32&gt;G32,3,IF(E32=G32,1,0))))</f>
        <v>2</v>
      </c>
      <c r="LO14" s="71">
        <f>IF(AND(E29&lt;&gt;"",G29&lt;&gt;""),1,0)+IF(AND(E30&lt;&gt;"",G30&lt;&gt;""),1,0)+IF(AND(E32&lt;&gt;"",G32&lt;&gt;""),1,0)</f>
        <v>3</v>
      </c>
      <c r="LP14" s="71">
        <f>IF(OR(G29="",E29=""),0,IF(G29&gt;E29,1,0))+IF(OR(E30="",G30=""),0,IF(E30&gt;G30,1,0))+IF(OR(E32="",G32=""),0,IF(E32&gt;G32,1,0))</f>
        <v>0</v>
      </c>
      <c r="LQ14" s="71">
        <f>IF(OR(G29="",E29=""),0,IF(G29=E29,1,0))+IF(OR(E30="",G30=""),0,IF(E30=G30,1,0))+IF(OR(E32="",G32=""),0,IF(E32=G32,1,0))</f>
        <v>2</v>
      </c>
      <c r="LR14" s="71">
        <f>IF(OR(G29="",E29=""),0,IF(G29&lt;E29,1,0))+IF(OR(E30="",G30=""),0,IF(E30&lt;G30,1,0))+IF(OR(E32="",G32=""),0,IF(E32&lt;G32,1,0))</f>
        <v>1</v>
      </c>
      <c r="LS14" s="71">
        <f>G29+E30+E32</f>
        <v>1</v>
      </c>
      <c r="LT14" s="71">
        <f>E29+G30+G32</f>
        <v>2</v>
      </c>
      <c r="LU14" s="71">
        <f t="shared" si="10"/>
        <v>-1</v>
      </c>
      <c r="LV14" s="70">
        <f t="shared" si="11"/>
        <v>2</v>
      </c>
      <c r="LW14" s="70">
        <f t="shared" si="12"/>
        <v>-0.1</v>
      </c>
      <c r="LX14" s="70">
        <f t="shared" si="13"/>
        <v>0.01</v>
      </c>
      <c r="LY14" s="70">
        <f t="shared" si="14"/>
        <v>1.91</v>
      </c>
      <c r="LZ14" s="70">
        <f>IF(LY14=LY11,IF(E32&gt;G32,0.001,0),0)</f>
        <v>0</v>
      </c>
      <c r="MA14" s="70">
        <f>IF(LY14=LY12,IF(E30&gt;G30,0.001,0),0)</f>
        <v>0</v>
      </c>
      <c r="MB14" s="70">
        <f>IF(LY14=LY13,IF(G29&gt;E29,0.001,0),0)</f>
        <v>0</v>
      </c>
      <c r="MC14" s="70">
        <f t="shared" si="15"/>
        <v>1.91</v>
      </c>
      <c r="MD14" s="70">
        <f>RANK($MC$14,$MC$11:$MC$14,0)</f>
        <v>3</v>
      </c>
      <c r="ME14" s="70">
        <f>IF(AND(MD11=MD12,MD11=MD13,MD11=MD14),MD14+3,IF(OR(AND(MD14=MD13,MD14=MD12),AND(MD14=MD12,MD14=MD11)),MD14+2,IF(OR(MD14=MD13,MD14=MD12,MD14=MD11),MD14+1,MD14)))</f>
        <v>3</v>
      </c>
      <c r="MF14" s="70">
        <v>4.0</v>
      </c>
      <c r="MG14" s="70">
        <f t="shared" si="16"/>
        <v>2</v>
      </c>
      <c r="MH14" s="70" t="str">
        <f t="shared" si="17"/>
        <v>Irã</v>
      </c>
    </row>
    <row r="15" ht="12.75" customHeight="1">
      <c r="A15" s="51"/>
      <c r="B15" s="51"/>
      <c r="C15" s="52"/>
      <c r="D15" s="53"/>
      <c r="E15" s="53"/>
      <c r="F15" s="53"/>
      <c r="G15" s="53"/>
      <c r="H15" s="53"/>
      <c r="I15" s="52"/>
      <c r="J15" s="54"/>
      <c r="K15" s="55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218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6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</row>
    <row r="16" ht="12.75" customHeight="1">
      <c r="A16" s="51"/>
      <c r="B16" s="51"/>
      <c r="C16" s="52"/>
      <c r="D16" s="53"/>
      <c r="E16" s="53"/>
      <c r="F16" s="53"/>
      <c r="G16" s="53"/>
      <c r="H16" s="53"/>
      <c r="I16" s="52"/>
      <c r="J16" s="54"/>
      <c r="K16" s="55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21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6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</row>
    <row r="17" ht="22.5" customHeight="1">
      <c r="A17" s="59" t="s">
        <v>68</v>
      </c>
      <c r="B17" s="60"/>
      <c r="C17" s="61"/>
      <c r="D17" s="62"/>
      <c r="E17" s="62"/>
      <c r="F17" s="62"/>
      <c r="G17" s="62"/>
      <c r="H17" s="62"/>
      <c r="I17" s="61"/>
      <c r="J17" s="63"/>
      <c r="K17" s="64"/>
      <c r="L17" s="219"/>
      <c r="M17" s="220"/>
      <c r="N17" s="220"/>
      <c r="O17" s="220"/>
      <c r="P17" s="220"/>
      <c r="Q17" s="220"/>
      <c r="R17" s="220"/>
      <c r="S17" s="220"/>
      <c r="T17" s="68"/>
      <c r="U17" s="53"/>
      <c r="V17" s="53"/>
      <c r="W17" s="53"/>
      <c r="X17" s="218"/>
      <c r="Y17" s="53"/>
      <c r="Z17" s="235" t="s">
        <v>169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6"/>
      <c r="LN17" s="57" t="s">
        <v>69</v>
      </c>
      <c r="LO17" s="57"/>
      <c r="LP17" s="57"/>
      <c r="LQ17" s="57"/>
      <c r="LR17" s="57"/>
      <c r="LS17" s="57"/>
      <c r="LT17" s="57"/>
      <c r="LU17" s="57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</row>
    <row r="18" ht="12.75" customHeight="1">
      <c r="A18" s="51"/>
      <c r="B18" s="51"/>
      <c r="C18" s="52"/>
      <c r="D18" s="53"/>
      <c r="E18" s="53"/>
      <c r="F18" s="53"/>
      <c r="G18" s="53"/>
      <c r="H18" s="53"/>
      <c r="I18" s="52"/>
      <c r="J18" s="54"/>
      <c r="K18" s="73"/>
      <c r="L18" s="74"/>
      <c r="M18" s="53"/>
      <c r="N18" s="53"/>
      <c r="O18" s="53"/>
      <c r="P18" s="53"/>
      <c r="Q18" s="53"/>
      <c r="R18" s="53"/>
      <c r="S18" s="53"/>
      <c r="T18" s="53"/>
      <c r="U18" s="52"/>
      <c r="V18" s="53"/>
      <c r="W18" s="53"/>
      <c r="X18" s="218"/>
      <c r="Y18" s="53"/>
      <c r="Z18" s="236">
        <f>SUM(Z20:Z81)</f>
        <v>137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69" t="s">
        <v>50</v>
      </c>
      <c r="LN18" s="70" t="s">
        <v>51</v>
      </c>
      <c r="LO18" s="71" t="s">
        <v>52</v>
      </c>
      <c r="LP18" s="71" t="s">
        <v>53</v>
      </c>
      <c r="LQ18" s="71" t="s">
        <v>54</v>
      </c>
      <c r="LR18" s="71" t="s">
        <v>55</v>
      </c>
      <c r="LS18" s="71" t="s">
        <v>56</v>
      </c>
      <c r="LT18" s="71" t="s">
        <v>57</v>
      </c>
      <c r="LU18" s="71" t="s">
        <v>58</v>
      </c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</row>
    <row r="19" ht="12.75" customHeight="1">
      <c r="A19" s="75" t="s">
        <v>70</v>
      </c>
      <c r="B19" s="76"/>
      <c r="C19" s="76"/>
      <c r="D19" s="77"/>
      <c r="E19" s="78"/>
      <c r="F19" s="79"/>
      <c r="G19" s="79"/>
      <c r="H19" s="77"/>
      <c r="I19" s="80"/>
      <c r="J19" s="81"/>
      <c r="K19" s="82"/>
      <c r="L19" s="83"/>
      <c r="M19" s="84"/>
      <c r="N19" s="84"/>
      <c r="O19" s="84"/>
      <c r="P19" s="84"/>
      <c r="Q19" s="85"/>
      <c r="R19" s="86"/>
      <c r="S19" s="86"/>
      <c r="T19" s="87"/>
      <c r="U19" s="52"/>
      <c r="V19" s="53"/>
      <c r="W19" s="53"/>
      <c r="X19" s="218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6" t="s">
        <v>71</v>
      </c>
      <c r="LN19" s="70">
        <f>IF(OR(E36="",G36=""),0,IF(LO19=0,0,IF(E36&gt;G36,3,IF(E36=G36,1,0)))+IF(OR(E39="",G39=""),0,IF(E39&gt;G39,3,IF(E39=G39,1,0)))+IF(OR(G40="",E40=""),0,IF(G40&gt;E40,3,IF(G40=E40,1,0))))</f>
        <v>7</v>
      </c>
      <c r="LO19" s="71">
        <f>IF(AND(E36&lt;&gt;"",G36&lt;&gt;""),1,0)+IF(AND(E39&lt;&gt;"",G39&lt;&gt;""),1,0)+IF(AND(E40&lt;&gt;"",G40&lt;&gt;""),1,0)</f>
        <v>3</v>
      </c>
      <c r="LP19" s="71">
        <f>IF(OR(E36="",G36=""),0,IF(E36&gt;G36,1,0))+IF(OR(E39="",G39=""),0,IF(E39&gt;G39,1,0))+IF(OR(G40="",E40=""),0,IF(G40&gt;E40,1,0))</f>
        <v>2</v>
      </c>
      <c r="LQ19" s="71">
        <f>IF(OR(E36="",G36=""),0,IF(E36=G36,1,0))+IF(OR(E39="",G39=""),0,IF(E39=G39,1,0))+IF(OR(G40="",E40=""),0,IF(G40=E40,1,0))</f>
        <v>1</v>
      </c>
      <c r="LR19" s="71">
        <f>IF(OR(E36="",G36=""),0,IF(E36&lt;G36,1,0))+IF(OR(E39="",G39=""),0,IF(E39&lt;G39,1,0))+IF(OR(G40="",E40=""),0,IF(G40&lt;E40,1,0))</f>
        <v>0</v>
      </c>
      <c r="LS19" s="71">
        <f>E36+E39+G40</f>
        <v>4</v>
      </c>
      <c r="LT19" s="71">
        <f>G36+G39+E40</f>
        <v>1</v>
      </c>
      <c r="LU19" s="71">
        <f t="shared" ref="LU19:LU22" si="18">LS19-LT19</f>
        <v>3</v>
      </c>
      <c r="LV19" s="70">
        <f t="shared" ref="LV19:LV22" si="19">LN19</f>
        <v>7</v>
      </c>
      <c r="LW19" s="70">
        <f t="shared" ref="LW19:LW22" si="20">LU19/10</f>
        <v>0.3</v>
      </c>
      <c r="LX19" s="70">
        <f t="shared" ref="LX19:LX22" si="21">LS19/100</f>
        <v>0.04</v>
      </c>
      <c r="LY19" s="70">
        <f t="shared" ref="LY19:LY22" si="22">SUM(LV19:LX19)</f>
        <v>7.34</v>
      </c>
      <c r="LZ19" s="70">
        <f>IF(LY19=LY20,IF(E36&gt;G36,0.001,0),0)</f>
        <v>0</v>
      </c>
      <c r="MA19" s="70">
        <f>IF(LY19=LY21,IF(E39&gt;G39,0.001,0),0)</f>
        <v>0</v>
      </c>
      <c r="MB19" s="70">
        <f>IF(LY19=LY22,IF(G40&gt;E40,0.001,0),0)</f>
        <v>0</v>
      </c>
      <c r="MC19" s="70">
        <f t="shared" ref="MC19:MC22" si="23">SUM(LY19:MB19)</f>
        <v>7.34</v>
      </c>
      <c r="MD19" s="70">
        <f>RANK($MC$19,$MC$19:$MC$22,0)</f>
        <v>1</v>
      </c>
      <c r="ME19" s="70">
        <f>MD19</f>
        <v>1</v>
      </c>
      <c r="MF19" s="70">
        <v>1.0</v>
      </c>
      <c r="MG19" s="70">
        <f t="shared" ref="MG19:MG22" si="24">MATCH(MF19,$ME$19:$ME$22,0)</f>
        <v>1</v>
      </c>
      <c r="MH19" s="70" t="str">
        <f t="shared" ref="MH19:MH22" si="25">INDEX($LM$19:$LM$22,MG19)</f>
        <v>Argentina</v>
      </c>
    </row>
    <row r="20" ht="12.75" customHeight="1">
      <c r="A20" s="88">
        <v>44885.0</v>
      </c>
      <c r="B20" s="89">
        <v>0.5416666666666666</v>
      </c>
      <c r="C20" s="90" t="s">
        <v>59</v>
      </c>
      <c r="D20" s="91"/>
      <c r="E20" s="237">
        <v>1.0</v>
      </c>
      <c r="F20" s="93" t="s">
        <v>72</v>
      </c>
      <c r="G20" s="238">
        <v>1.0</v>
      </c>
      <c r="H20" s="95"/>
      <c r="I20" s="96" t="s">
        <v>60</v>
      </c>
      <c r="J20" s="97" t="s">
        <v>73</v>
      </c>
      <c r="K20" s="98"/>
      <c r="L20" s="99" t="s">
        <v>74</v>
      </c>
      <c r="M20" s="100"/>
      <c r="N20" s="100"/>
      <c r="O20" s="100"/>
      <c r="P20" s="100"/>
      <c r="Q20" s="100"/>
      <c r="R20" s="100"/>
      <c r="S20" s="100"/>
      <c r="T20" s="101"/>
      <c r="U20" s="52"/>
      <c r="V20" s="53"/>
      <c r="W20" s="53"/>
      <c r="X20" s="218"/>
      <c r="Y20" s="53"/>
      <c r="Z20" s="236">
        <f>IF(OR(E20="",G20="",'Resultado Oficial'!E20="",'Resultado Oficial'!G20=""),"",
IF(AND(E20='Resultado Oficial'!E20,G20='Resultado Oficial'!G20),10,
IF(AND(E20=G20,'Resultado Oficial'!E20='Resultado Oficial'!G20,ABS((E20-'Resultado Oficial'!E20))=1),6,
IF(AND(E20&gt;G20,'Resultado Oficial'!E20&gt;'Resultado Oficial'!G20,((E20-'Resultado Oficial'!E20)=(G20-'Resultado Oficial'!G20))),6,
IF(AND(E20&lt;G20,'Resultado Oficial'!E20&lt;'Resultado Oficial'!G20,(('Resultado Oficial'!E20-E20)=('Resultado Oficial'!G20-G20))),6,
IF(AND(E20&gt;G20,'Resultado Oficial'!E20&gt;'Resultado Oficial'!G20),3,
IF(AND(E20=G20,'Resultado Oficial'!E20='Resultado Oficial'!G20),3,
IF(AND(E20&lt;G20,'Resultado Oficial'!E20&lt;'Resultado Oficial'!G20),3,0))))))))</f>
        <v>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6" t="s">
        <v>75</v>
      </c>
      <c r="LN20" s="70">
        <f>IF(OR(G36="",E36=""),0,IF(LO20=0,0,IF(G36&gt;E36,3,IF(G36=E36,1,0)))+IF(OR(G38="",E38=""),0,IF(G38&gt;E38,3,IF(G38=E38,1,0)))+IF(OR(G41="",E41=""),0,IF(E41&gt;G41,3,IF(E41=G41,1,0))))</f>
        <v>0</v>
      </c>
      <c r="LO20" s="71">
        <f>IF(AND(E36&lt;&gt;"",G36&lt;&gt;""),1,0)+IF(AND(E38&lt;&gt;"",G38&lt;&gt;""),1,0)+IF(AND(E41&lt;&gt;"",G41&lt;&gt;""),1,0)</f>
        <v>3</v>
      </c>
      <c r="LP20" s="71">
        <f>IF(OR(G36="",E36=""),0,IF(G36&gt;E36,1,0))+IF(OR(G38="",E38=""),0,IF(G38&gt;E38,1,0))+IF(OR(E41="",G41=""),0,IF(E41&gt;G41,1,0))</f>
        <v>0</v>
      </c>
      <c r="LQ20" s="71">
        <f>IF(OR(G36="",E36=""),0,IF(G36=E36,1,0))+IF(OR(G38="",E38=""),0,IF(G38=E38,1,0))+IF(OR(E41="",G41=""),0,IF(E41=G41,1,0))</f>
        <v>0</v>
      </c>
      <c r="LR20" s="71">
        <f>IF(OR(G36="",E36=""),0,IF(G36&lt;E36,1,0))+IF(OR(G38="",E38=""),0,IF(G38&lt;E38,1,0))+IF(OR(E41="",G41=""),0,IF(E41&lt;G41,1,0))</f>
        <v>3</v>
      </c>
      <c r="LS20" s="71">
        <f>G36+G38+E41</f>
        <v>1</v>
      </c>
      <c r="LT20" s="71">
        <f>E36+E38+G41</f>
        <v>6</v>
      </c>
      <c r="LU20" s="71">
        <f t="shared" si="18"/>
        <v>-5</v>
      </c>
      <c r="LV20" s="70">
        <f t="shared" si="19"/>
        <v>0</v>
      </c>
      <c r="LW20" s="70">
        <f t="shared" si="20"/>
        <v>-0.5</v>
      </c>
      <c r="LX20" s="70">
        <f t="shared" si="21"/>
        <v>0.01</v>
      </c>
      <c r="LY20" s="70">
        <f t="shared" si="22"/>
        <v>-0.49</v>
      </c>
      <c r="LZ20" s="70">
        <f>IF(LY20=LY19,IF(G36&gt;E36,0.001,0),0)</f>
        <v>0</v>
      </c>
      <c r="MA20" s="70">
        <f>IF(LY20=LY21,IF(E41&gt;G41,0.001,0),0)</f>
        <v>0</v>
      </c>
      <c r="MB20" s="70">
        <f>IF(LY20=LY22,IF(G38&gt;E38,0.001,0),0)</f>
        <v>0</v>
      </c>
      <c r="MC20" s="70">
        <f t="shared" si="23"/>
        <v>-0.49</v>
      </c>
      <c r="MD20" s="70">
        <f>RANK($MC$20,$MC$19:$MC$22,0)</f>
        <v>4</v>
      </c>
      <c r="ME20" s="70">
        <f>IF(OR(AND(MD19=MD20,MD19=MD21,MD19=MD22),AND(MD20=MD19,MD20=MD21),AND(MD20=MD19,MD20=MD22),MD20=MD19),MD20+1,MD20)</f>
        <v>4</v>
      </c>
      <c r="MF20" s="70">
        <v>2.0</v>
      </c>
      <c r="MG20" s="70">
        <f t="shared" si="24"/>
        <v>4</v>
      </c>
      <c r="MH20" s="70" t="str">
        <f t="shared" si="25"/>
        <v>Polônia</v>
      </c>
    </row>
    <row r="21" ht="12.75" customHeight="1">
      <c r="A21" s="102">
        <v>44886.0</v>
      </c>
      <c r="B21" s="103">
        <v>0.5416666666666666</v>
      </c>
      <c r="C21" s="90" t="s">
        <v>61</v>
      </c>
      <c r="D21" s="104"/>
      <c r="E21" s="105">
        <v>0.0</v>
      </c>
      <c r="F21" s="106" t="s">
        <v>72</v>
      </c>
      <c r="G21" s="107">
        <v>1.0</v>
      </c>
      <c r="H21" s="108"/>
      <c r="I21" s="96" t="s">
        <v>62</v>
      </c>
      <c r="J21" s="97" t="s">
        <v>76</v>
      </c>
      <c r="K21" s="109"/>
      <c r="L21" s="110"/>
      <c r="M21" s="111" t="s">
        <v>51</v>
      </c>
      <c r="N21" s="111" t="s">
        <v>52</v>
      </c>
      <c r="O21" s="111" t="s">
        <v>53</v>
      </c>
      <c r="P21" s="111" t="s">
        <v>54</v>
      </c>
      <c r="Q21" s="111" t="s">
        <v>55</v>
      </c>
      <c r="R21" s="111" t="s">
        <v>56</v>
      </c>
      <c r="S21" s="111" t="s">
        <v>57</v>
      </c>
      <c r="T21" s="112" t="s">
        <v>58</v>
      </c>
      <c r="U21" s="52"/>
      <c r="V21" s="50" t="str">
        <f>A19</f>
        <v>Primeira fase            GRUPO A</v>
      </c>
      <c r="W21" s="50"/>
      <c r="X21" s="218" t="s">
        <v>145</v>
      </c>
      <c r="Y21" s="53"/>
      <c r="Z21" s="236">
        <f>IF(OR(E21="",G21="",'Resultado Oficial'!E21="",'Resultado Oficial'!G21=""),"",
IF(AND(E21='Resultado Oficial'!E21,G21='Resultado Oficial'!G21),10,
IF(AND(E21=G21,'Resultado Oficial'!E21='Resultado Oficial'!G21,ABS((E21-'Resultado Oficial'!E21))=1),6,
IF(AND(E21&gt;G21,'Resultado Oficial'!E21&gt;'Resultado Oficial'!G21,((E21-'Resultado Oficial'!E21)=(G21-'Resultado Oficial'!G21))),6,
IF(AND(E21&lt;G21,'Resultado Oficial'!E21&lt;'Resultado Oficial'!G21,(('Resultado Oficial'!E21-E21)=('Resultado Oficial'!G21-G21))),6,
IF(AND(E21&gt;G21,'Resultado Oficial'!E21&gt;'Resultado Oficial'!G21),3,
IF(AND(E21=G21,'Resultado Oficial'!E21='Resultado Oficial'!G21),3,
IF(AND(E21&lt;G21,'Resultado Oficial'!E21&lt;'Resultado Oficial'!G21),3,0))))))))</f>
        <v>3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6" t="s">
        <v>77</v>
      </c>
      <c r="LN21" s="70">
        <f>IF(OR(E37="",G37=""),0,IF(LO21=0,0,IF(E37&gt;G37,3,IF(E37=G37,1,0)))+IF(OR(G39="",E39=""),0,IF(G39&gt;E39,3,IF(G39=E39,1,0)))+IF(OR(G41="",E41=""),0,IF(G41&gt;E41,3,IF(E41=G41,1,0))))</f>
        <v>3</v>
      </c>
      <c r="LO21" s="71">
        <f>IF(AND(E37&lt;&gt;"",G37&lt;&gt;""),1,0)+IF(AND(E39&lt;&gt;"",G39&lt;&gt;""),1,0)+IF(AND(E41&lt;&gt;"",G41&lt;&gt;""),1,0)</f>
        <v>3</v>
      </c>
      <c r="LP21" s="71">
        <f>IF(OR(E37="",G37=""),0,IF(E37&gt;G37,1,0))+IF(OR(G39="",E39=""),0,IF(G39&gt;E39,1,0))+IF(OR(G41="",E41=""),0,IF(G41&gt;E41,1,0))</f>
        <v>1</v>
      </c>
      <c r="LQ21" s="71">
        <f>IF(OR(E37="",G37=""),0,IF(E37=G37,1,0))+IF(OR(G39="",E39=""),0,IF(G39=E39,1,0))+IF(OR(G41="",E41=""),0,IF(G41=E41,1,0))</f>
        <v>0</v>
      </c>
      <c r="LR21" s="71">
        <f>IF(OR(E37="",G37=""),0,IF(E37&lt;G37,1,0))+IF(OR(G39="",E39=""),0,IF(G39&lt;E39,1,0))+IF(OR(G41="",E41=""),0,IF(G41&lt;E41,1,0))</f>
        <v>2</v>
      </c>
      <c r="LS21" s="71">
        <f>E37+G39+G41</f>
        <v>2</v>
      </c>
      <c r="LT21" s="71">
        <f>G37+E39+E41</f>
        <v>3</v>
      </c>
      <c r="LU21" s="71">
        <f t="shared" si="18"/>
        <v>-1</v>
      </c>
      <c r="LV21" s="70">
        <f t="shared" si="19"/>
        <v>3</v>
      </c>
      <c r="LW21" s="70">
        <f t="shared" si="20"/>
        <v>-0.1</v>
      </c>
      <c r="LX21" s="70">
        <f t="shared" si="21"/>
        <v>0.02</v>
      </c>
      <c r="LY21" s="70">
        <f t="shared" si="22"/>
        <v>2.92</v>
      </c>
      <c r="LZ21" s="70">
        <f>IF(LY21=LY19,IF(G39&gt;E39,0.001,0),0)</f>
        <v>0</v>
      </c>
      <c r="MA21" s="70">
        <f>IF(LY21=LY20,IF(G41&gt;E41,0.001,0),0)</f>
        <v>0</v>
      </c>
      <c r="MB21" s="70">
        <f>IF(LY21=LY22,IF(E37&gt;G37,0.001,0),0)</f>
        <v>0</v>
      </c>
      <c r="MC21" s="70">
        <f t="shared" si="23"/>
        <v>2.92</v>
      </c>
      <c r="MD21" s="70">
        <f>RANK($MC$21,$MC$19:$MC$22,0)</f>
        <v>3</v>
      </c>
      <c r="ME21" s="70">
        <f>IF(OR(AND(MD19=MD20,MD19=MD21,MD19=MD22),AND(MD21=MD19,MD21=MD20)),MD21+2,IF(OR(AND(MD21=MD20,MD21=MD22),MD21=MD19,MD21=MD20),MD21+1,MD21))</f>
        <v>3</v>
      </c>
      <c r="MF21" s="70">
        <v>3.0</v>
      </c>
      <c r="MG21" s="70">
        <f t="shared" si="24"/>
        <v>3</v>
      </c>
      <c r="MH21" s="70" t="str">
        <f t="shared" si="25"/>
        <v>México</v>
      </c>
    </row>
    <row r="22" ht="12.75" customHeight="1">
      <c r="A22" s="102">
        <v>44890.0</v>
      </c>
      <c r="B22" s="103">
        <v>0.4166666666666667</v>
      </c>
      <c r="C22" s="90" t="s">
        <v>59</v>
      </c>
      <c r="D22" s="113"/>
      <c r="E22" s="114">
        <v>0.0</v>
      </c>
      <c r="F22" s="115" t="s">
        <v>72</v>
      </c>
      <c r="G22" s="116">
        <v>2.0</v>
      </c>
      <c r="H22" s="117"/>
      <c r="I22" s="96" t="s">
        <v>61</v>
      </c>
      <c r="J22" s="97" t="s">
        <v>76</v>
      </c>
      <c r="K22" s="109"/>
      <c r="L22" s="118" t="str">
        <f>Mothci!MH3</f>
        <v>Holanda</v>
      </c>
      <c r="M22" s="119">
        <f>VLOOKUP(L22,Mothci!$LM$3:$LU$6,2,FALSE)</f>
        <v>9</v>
      </c>
      <c r="N22" s="120">
        <f>VLOOKUP(L22,Mothci!$LM$3:$LU$6,3,FALSE)</f>
        <v>3</v>
      </c>
      <c r="O22" s="120">
        <f>VLOOKUP(L22,Mothci!$LM$3:$LU$6,4,FALSE)</f>
        <v>3</v>
      </c>
      <c r="P22" s="120">
        <f>VLOOKUP(L22,Mothci!$LM$3:$LU$6,5,FALSE)</f>
        <v>0</v>
      </c>
      <c r="Q22" s="120">
        <f>VLOOKUP(L22,Mothci!$LM$3:$LU$6,6,FALSE)</f>
        <v>0</v>
      </c>
      <c r="R22" s="120">
        <f>VLOOKUP(L22,Mothci!$LM$3:$LU$6,7,FALSE)</f>
        <v>5</v>
      </c>
      <c r="S22" s="120">
        <f>VLOOKUP(L22,Mothci!$LM$3:$LU$6,8,FALSE)</f>
        <v>0</v>
      </c>
      <c r="T22" s="121">
        <f>VLOOKUP(L22,Mothci!$LM$3:$LU$6,9,FALSE)</f>
        <v>5</v>
      </c>
      <c r="U22" s="52"/>
      <c r="V22" s="59" t="s">
        <v>78</v>
      </c>
      <c r="W22" s="122" t="str">
        <f t="shared" ref="W22:W23" si="26">IF(N22&lt;&gt;3,"",L22)</f>
        <v>Holanda</v>
      </c>
      <c r="X22" s="236">
        <f>IF(AND(W22&lt;&gt;"",'Resultado Oficial'!W22&lt;&gt;"",'Resultado Oficial'!W23&lt;&gt;""),IF(W22='Resultado Oficial'!W22,5,IF(W22='Resultado Oficial'!W23,2,0)),"")</f>
        <v>5</v>
      </c>
      <c r="Y22" s="53"/>
      <c r="Z22" s="236">
        <f>IF(OR(E22="",G22="",'Resultado Oficial'!E22="",'Resultado Oficial'!G22=""),"",
IF(AND(E22='Resultado Oficial'!E22,G22='Resultado Oficial'!G22),10,
IF(AND(E22=G22,'Resultado Oficial'!E22='Resultado Oficial'!G22,ABS((E22-'Resultado Oficial'!E22))=1),6,
IF(AND(E22&gt;G22,'Resultado Oficial'!E22&gt;'Resultado Oficial'!G22,((E22-'Resultado Oficial'!E22)=(G22-'Resultado Oficial'!G22))),6,
IF(AND(E22&lt;G22,'Resultado Oficial'!E22&lt;'Resultado Oficial'!G22,(('Resultado Oficial'!E22-E22)=('Resultado Oficial'!G22-G22))),6,
IF(AND(E22&gt;G22,'Resultado Oficial'!E22&gt;'Resultado Oficial'!G22),3,
IF(AND(E22=G22,'Resultado Oficial'!E22='Resultado Oficial'!G22),3,
IF(AND(E22&lt;G22,'Resultado Oficial'!E22&lt;'Resultado Oficial'!G22),3,0))))))))</f>
        <v>6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6" t="s">
        <v>79</v>
      </c>
      <c r="LN22" s="70">
        <f>IF(OR(G37="",E37=""),0,IF(LO22=0,0,IF(G37&gt;E37,3,IF(G37=E37,1,0)))+IF(OR(E38="",G38=""),0,IF(E38&gt;G38,3,IF(E38=G38,1,0)))+IF(OR(E40="",G40=""),0,IF(E40&gt;G40,3,IF(E40=G40,1,0))))</f>
        <v>7</v>
      </c>
      <c r="LO22" s="71">
        <f>IF(AND(E37&lt;&gt;"",G37&lt;&gt;""),1,0)+IF(AND(E38&lt;&gt;"",G38&lt;&gt;""),1,0)+IF(AND(E40&lt;&gt;"",G40&lt;&gt;""),1,0)</f>
        <v>3</v>
      </c>
      <c r="LP22" s="71">
        <f>IF(OR(G37="",E37=""),0,IF(G37&gt;E37,1,0))+IF(OR(E38="",G8=""),0,IF(E38&gt;G38,1,0))+IF(OR(E40="",G40=""),0,IF(E40&gt;G40,1,0))</f>
        <v>1</v>
      </c>
      <c r="LQ22" s="71">
        <f>IF(OR(G37="",E37=""),0,IF(G37=E37,1,0))+IF(OR(E38="",G38=""),0,IF(E38=G38,1,0))+IF(OR(E40="",G40=""),0,IF(E40=G40,1,0))</f>
        <v>1</v>
      </c>
      <c r="LR22" s="71">
        <f>IF(OR(G37="",E37=""),0,IF(G37&lt;E37,1,0))+IF(OR(E38="",G38=""),0,IF(E38&lt;G38,1,0))+IF(OR(E40="",G40=""),0,IF(E40&lt;G40,1,0))</f>
        <v>0</v>
      </c>
      <c r="LS22" s="71">
        <f>G37+E38+E40</f>
        <v>4</v>
      </c>
      <c r="LT22" s="71">
        <f>E37+G38+G40</f>
        <v>1</v>
      </c>
      <c r="LU22" s="71">
        <f t="shared" si="18"/>
        <v>3</v>
      </c>
      <c r="LV22" s="70">
        <f t="shared" si="19"/>
        <v>7</v>
      </c>
      <c r="LW22" s="70">
        <f t="shared" si="20"/>
        <v>0.3</v>
      </c>
      <c r="LX22" s="70">
        <f t="shared" si="21"/>
        <v>0.04</v>
      </c>
      <c r="LY22" s="70">
        <f t="shared" si="22"/>
        <v>7.34</v>
      </c>
      <c r="LZ22" s="70">
        <f>IF(LY22=LY19,IF(E40&gt;G40,0.001,0),0)</f>
        <v>0</v>
      </c>
      <c r="MA22" s="70">
        <f>IF(LY22=LY20,IF(E38&gt;G38,0.001,0),0)</f>
        <v>0</v>
      </c>
      <c r="MB22" s="70">
        <f>IF(LY22=LY21,IF(G37&gt;E37,0.001,0),0)</f>
        <v>0</v>
      </c>
      <c r="MC22" s="70">
        <f t="shared" si="23"/>
        <v>7.34</v>
      </c>
      <c r="MD22" s="70">
        <f>RANK($MC$22,$MC$19:$MC$22,0)</f>
        <v>1</v>
      </c>
      <c r="ME22" s="70">
        <f>IF(AND(MD19=MD20,MD19=MD21,MD19=MD22),MD22+3,IF(OR(AND(MD22=MD21,MD22=MD20),AND(MD22=MD20,MD22=MD19)),MD22+2,IF(OR(MD22=MD21,MD22=MD20,MD22=MD19),MD22+1,MD22)))</f>
        <v>2</v>
      </c>
      <c r="MF22" s="70">
        <v>4.0</v>
      </c>
      <c r="MG22" s="70">
        <f t="shared" si="24"/>
        <v>2</v>
      </c>
      <c r="MH22" s="70" t="str">
        <f t="shared" si="25"/>
        <v>Arábia Saudita</v>
      </c>
    </row>
    <row r="23" ht="12.75" customHeight="1">
      <c r="A23" s="102">
        <v>44890.0</v>
      </c>
      <c r="B23" s="103">
        <v>0.5416666666666666</v>
      </c>
      <c r="C23" s="90" t="s">
        <v>62</v>
      </c>
      <c r="D23" s="104"/>
      <c r="E23" s="105">
        <v>2.0</v>
      </c>
      <c r="F23" s="106" t="s">
        <v>72</v>
      </c>
      <c r="G23" s="107">
        <v>0.0</v>
      </c>
      <c r="H23" s="108"/>
      <c r="I23" s="96" t="s">
        <v>60</v>
      </c>
      <c r="J23" s="97" t="s">
        <v>80</v>
      </c>
      <c r="K23" s="109"/>
      <c r="L23" s="118" t="str">
        <f>Mothci!MH4</f>
        <v>Senegal</v>
      </c>
      <c r="M23" s="119">
        <f>VLOOKUP(L23,Mothci!$LM$3:$LU$6,2,FALSE)</f>
        <v>6</v>
      </c>
      <c r="N23" s="120">
        <f>VLOOKUP(L23,Mothci!$LM$3:$LU$6,3,FALSE)</f>
        <v>3</v>
      </c>
      <c r="O23" s="120">
        <f>VLOOKUP(L23,Mothci!$LM$3:$LU$6,4,FALSE)</f>
        <v>2</v>
      </c>
      <c r="P23" s="120">
        <f>VLOOKUP(L23,Mothci!$LM$3:$LU$6,5,FALSE)</f>
        <v>0</v>
      </c>
      <c r="Q23" s="120">
        <f>VLOOKUP(L23,Mothci!$LM$3:$LU$6,6,FALSE)</f>
        <v>1</v>
      </c>
      <c r="R23" s="120">
        <f>VLOOKUP(L23,Mothci!$LM$3:$LU$6,7,FALSE)</f>
        <v>4</v>
      </c>
      <c r="S23" s="120">
        <f>VLOOKUP(L23,Mothci!$LM$3:$LU$6,8,FALSE)</f>
        <v>1</v>
      </c>
      <c r="T23" s="121">
        <f>VLOOKUP(L23,Mothci!$LM$3:$LU$6,9,FALSE)</f>
        <v>3</v>
      </c>
      <c r="U23" s="52"/>
      <c r="V23" s="59" t="s">
        <v>81</v>
      </c>
      <c r="W23" s="122" t="str">
        <f t="shared" si="26"/>
        <v>Senegal</v>
      </c>
      <c r="X23" s="236">
        <f>IF(AND(W23&lt;&gt;"",'Resultado Oficial'!W22&lt;&gt;"",'Resultado Oficial'!W23&lt;&gt;""),IF(W23='Resultado Oficial'!W23,5,IF(W23='Resultado Oficial'!W22,2,0)),"")</f>
        <v>5</v>
      </c>
      <c r="Y23" s="53"/>
      <c r="Z23" s="236">
        <f>IF(OR(E23="",G23="",'Resultado Oficial'!E23="",'Resultado Oficial'!G23=""),"",
IF(AND(E23='Resultado Oficial'!E23,G23='Resultado Oficial'!G23),10,
IF(AND(E23=G23,'Resultado Oficial'!E23='Resultado Oficial'!G23,ABS((E23-'Resultado Oficial'!E23))=1),6,
IF(AND(E23&gt;G23,'Resultado Oficial'!E23&gt;'Resultado Oficial'!G23,((E23-'Resultado Oficial'!E23)=(G23-'Resultado Oficial'!G23))),6,
IF(AND(E23&lt;G23,'Resultado Oficial'!E23&lt;'Resultado Oficial'!G23,(('Resultado Oficial'!E23-E23)=('Resultado Oficial'!G23-G23))),6,
IF(AND(E23&gt;G23,'Resultado Oficial'!E23&gt;'Resultado Oficial'!G23),3,
IF(AND(E23=G23,'Resultado Oficial'!E23='Resultado Oficial'!G23),3,
IF(AND(E23&lt;G23,'Resultado Oficial'!E23&lt;'Resultado Oficial'!G23),3,0))))))))</f>
        <v>0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6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</row>
    <row r="24" ht="12.75" customHeight="1">
      <c r="A24" s="102">
        <v>44894.0</v>
      </c>
      <c r="B24" s="103">
        <v>0.5</v>
      </c>
      <c r="C24" s="90" t="s">
        <v>60</v>
      </c>
      <c r="D24" s="104"/>
      <c r="E24" s="105">
        <v>0.0</v>
      </c>
      <c r="F24" s="106" t="s">
        <v>72</v>
      </c>
      <c r="G24" s="107">
        <v>2.0</v>
      </c>
      <c r="H24" s="108"/>
      <c r="I24" s="96" t="s">
        <v>61</v>
      </c>
      <c r="J24" s="97" t="s">
        <v>80</v>
      </c>
      <c r="K24" s="109"/>
      <c r="L24" s="118" t="str">
        <f>Mothci!MH5</f>
        <v>Equador</v>
      </c>
      <c r="M24" s="119">
        <f>VLOOKUP(L24,Mothci!$LM$3:$LU$6,2,FALSE)</f>
        <v>1</v>
      </c>
      <c r="N24" s="120">
        <f>VLOOKUP(L24,Mothci!$LM$3:$LU$6,3,FALSE)</f>
        <v>3</v>
      </c>
      <c r="O24" s="120">
        <f>VLOOKUP(L24,Mothci!$LM$3:$LU$6,4,FALSE)</f>
        <v>1</v>
      </c>
      <c r="P24" s="120">
        <f>VLOOKUP(L24,Mothci!$LM$3:$LU$6,5,FALSE)</f>
        <v>1</v>
      </c>
      <c r="Q24" s="120">
        <f>VLOOKUP(L24,Mothci!$LM$3:$LU$6,6,FALSE)</f>
        <v>1</v>
      </c>
      <c r="R24" s="120">
        <f>VLOOKUP(L24,Mothci!$LM$3:$LU$6,7,FALSE)</f>
        <v>3</v>
      </c>
      <c r="S24" s="120">
        <f>VLOOKUP(L24,Mothci!$LM$3:$LU$6,8,FALSE)</f>
        <v>3</v>
      </c>
      <c r="T24" s="121">
        <f>VLOOKUP(L24,Mothci!$LM$3:$LU$6,9,FALSE)</f>
        <v>0</v>
      </c>
      <c r="U24" s="52"/>
      <c r="V24" s="53"/>
      <c r="W24" s="53"/>
      <c r="X24" s="218"/>
      <c r="Y24" s="53"/>
      <c r="Z24" s="236">
        <f>IF(OR(E24="",G24="",'Resultado Oficial'!E24="",'Resultado Oficial'!G24=""),"",
IF(AND(E24='Resultado Oficial'!E24,G24='Resultado Oficial'!G24),10,
IF(AND(E24=G24,'Resultado Oficial'!E24='Resultado Oficial'!G24,ABS((E24-'Resultado Oficial'!E24))=1),6,
IF(AND(E24&gt;G24,'Resultado Oficial'!E24&gt;'Resultado Oficial'!G24,((E24-'Resultado Oficial'!E24)=(G24-'Resultado Oficial'!G24))),6,
IF(AND(E24&lt;G24,'Resultado Oficial'!E24&lt;'Resultado Oficial'!G24,(('Resultado Oficial'!E24-E24)=('Resultado Oficial'!G24-G24))),6,
IF(AND(E24&gt;G24,'Resultado Oficial'!E24&gt;'Resultado Oficial'!G24),3,
IF(AND(E24=G24,'Resultado Oficial'!E24='Resultado Oficial'!G24),3,
IF(AND(E24&lt;G24,'Resultado Oficial'!E24&lt;'Resultado Oficial'!G24),3,0))))))))</f>
        <v>3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6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</row>
    <row r="25" ht="12.75" customHeight="1">
      <c r="A25" s="102">
        <v>44894.0</v>
      </c>
      <c r="B25" s="103">
        <v>0.5</v>
      </c>
      <c r="C25" s="90" t="s">
        <v>62</v>
      </c>
      <c r="D25" s="104"/>
      <c r="E25" s="105">
        <v>2.0</v>
      </c>
      <c r="F25" s="106" t="s">
        <v>72</v>
      </c>
      <c r="G25" s="107">
        <v>0.0</v>
      </c>
      <c r="H25" s="108"/>
      <c r="I25" s="96" t="s">
        <v>82</v>
      </c>
      <c r="J25" s="97" t="s">
        <v>73</v>
      </c>
      <c r="K25" s="123"/>
      <c r="L25" s="124" t="str">
        <f>Mothci!MH6</f>
        <v>Catar</v>
      </c>
      <c r="M25" s="125">
        <f>VLOOKUP(L25,Mothci!$LM$3:$LU$6,2,FALSE)</f>
        <v>1</v>
      </c>
      <c r="N25" s="126">
        <f>VLOOKUP(L25,Mothci!$LM$3:$LU$6,3,FALSE)</f>
        <v>3</v>
      </c>
      <c r="O25" s="126">
        <f>VLOOKUP(L25,Mothci!$LM$3:$LU$6,4,FALSE)</f>
        <v>0</v>
      </c>
      <c r="P25" s="126">
        <f>VLOOKUP(L25,Mothci!$LM$3:$LU$6,5,FALSE)</f>
        <v>1</v>
      </c>
      <c r="Q25" s="126">
        <f>VLOOKUP(L25,Mothci!$LM$3:$LU$6,6,FALSE)</f>
        <v>2</v>
      </c>
      <c r="R25" s="126">
        <f>VLOOKUP(L25,Mothci!$LM$3:$LU$6,7,FALSE)</f>
        <v>1</v>
      </c>
      <c r="S25" s="126">
        <f>VLOOKUP(L25,Mothci!$LM$3:$LU$6,8,FALSE)</f>
        <v>5</v>
      </c>
      <c r="T25" s="127">
        <f>VLOOKUP(L25,Mothci!$LM$3:$LU$6,9,FALSE)</f>
        <v>-4</v>
      </c>
      <c r="U25" s="52"/>
      <c r="V25" s="53"/>
      <c r="W25" s="53"/>
      <c r="X25" s="218"/>
      <c r="Y25" s="53"/>
      <c r="Z25" s="236">
        <f>IF(OR(E25="",G25="",'Resultado Oficial'!E25="",'Resultado Oficial'!G25=""),"",
IF(AND(E25='Resultado Oficial'!E25,G25='Resultado Oficial'!G25),10,
IF(AND(E25=G25,'Resultado Oficial'!E25='Resultado Oficial'!G25,ABS((E25-'Resultado Oficial'!E25))=1),6,
IF(AND(E25&gt;G25,'Resultado Oficial'!E25&gt;'Resultado Oficial'!G25,((E25-'Resultado Oficial'!E25)=(G25-'Resultado Oficial'!G25))),6,
IF(AND(E25&lt;G25,'Resultado Oficial'!E25&lt;'Resultado Oficial'!G25,(('Resultado Oficial'!E25-E25)=('Resultado Oficial'!G25-G25))),6,
IF(AND(E25&gt;G25,'Resultado Oficial'!E25&gt;'Resultado Oficial'!G25),3,
IF(AND(E25=G25,'Resultado Oficial'!E25='Resultado Oficial'!G25),3,
IF(AND(E25&lt;G25,'Resultado Oficial'!E25&lt;'Resultado Oficial'!G25),3,0))))))))</f>
        <v>10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6"/>
      <c r="LN25" s="57" t="s">
        <v>83</v>
      </c>
      <c r="LO25" s="57"/>
      <c r="LP25" s="57"/>
      <c r="LQ25" s="57"/>
      <c r="LR25" s="57"/>
      <c r="LS25" s="57"/>
      <c r="LT25" s="57"/>
      <c r="LU25" s="57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</row>
    <row r="26" ht="15.75" customHeight="1">
      <c r="A26" s="128"/>
      <c r="B26" s="129"/>
      <c r="C26" s="130"/>
      <c r="D26" s="131"/>
      <c r="E26" s="132"/>
      <c r="F26" s="132"/>
      <c r="G26" s="132"/>
      <c r="H26" s="132"/>
      <c r="I26" s="133"/>
      <c r="J26" s="54"/>
      <c r="K26" s="55"/>
      <c r="L26" s="131"/>
      <c r="M26" s="134"/>
      <c r="N26" s="134"/>
      <c r="O26" s="134"/>
      <c r="P26" s="134"/>
      <c r="Q26" s="134"/>
      <c r="R26" s="134"/>
      <c r="S26" s="134"/>
      <c r="T26" s="134"/>
      <c r="U26" s="53"/>
      <c r="V26" s="53"/>
      <c r="W26" s="53"/>
      <c r="X26" s="218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69" t="s">
        <v>50</v>
      </c>
      <c r="LN26" s="70" t="s">
        <v>51</v>
      </c>
      <c r="LO26" s="71" t="s">
        <v>52</v>
      </c>
      <c r="LP26" s="71" t="s">
        <v>53</v>
      </c>
      <c r="LQ26" s="71" t="s">
        <v>54</v>
      </c>
      <c r="LR26" s="71" t="s">
        <v>55</v>
      </c>
      <c r="LS26" s="71" t="s">
        <v>56</v>
      </c>
      <c r="LT26" s="71" t="s">
        <v>57</v>
      </c>
      <c r="LU26" s="71" t="s">
        <v>58</v>
      </c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</row>
    <row r="27" ht="12.75" customHeight="1">
      <c r="A27" s="135" t="s">
        <v>84</v>
      </c>
      <c r="B27" s="136"/>
      <c r="C27" s="136"/>
      <c r="D27" s="85"/>
      <c r="E27" s="137"/>
      <c r="F27" s="138"/>
      <c r="G27" s="138"/>
      <c r="H27" s="85"/>
      <c r="I27" s="139"/>
      <c r="J27" s="140"/>
      <c r="K27" s="82"/>
      <c r="L27" s="83"/>
      <c r="M27" s="84"/>
      <c r="N27" s="84"/>
      <c r="O27" s="84"/>
      <c r="P27" s="84"/>
      <c r="Q27" s="85"/>
      <c r="R27" s="86"/>
      <c r="S27" s="86"/>
      <c r="T27" s="87"/>
      <c r="U27" s="53"/>
      <c r="V27" s="53"/>
      <c r="W27" s="53"/>
      <c r="X27" s="21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6" t="s">
        <v>85</v>
      </c>
      <c r="LN27" s="70">
        <f>IF(OR(E45="",G45=""),0,IF(LO27=0,0,IF(E45&gt;G45,3,IF(E45=G45,1,0)))+IF(OR(E47="",G47=""),0,IF(E47&gt;G47,3,IF(E47=G47,1,0)))+IF(OR(G49="",E49=""),0,IF(G49&gt;E49,3,IF(G49=E49,1,0))))</f>
        <v>7</v>
      </c>
      <c r="LO27" s="71">
        <f>IF(AND(E45&lt;&gt;"",G45&lt;&gt;""),1,0)+IF(AND(E47&lt;&gt;"",G47&lt;&gt;""),1,0)+IF(AND(E49&lt;&gt;"",G49&lt;&gt;""),1,0)</f>
        <v>3</v>
      </c>
      <c r="LP27" s="71">
        <f>IF(OR(E45="",G45=""),0,IF(E45&gt;G45,1,0))+IF(OR(E47="",G47=""),0,IF(E47&gt;G47,1,0))+IF(OR(G49="",E49=""),0,IF(G49&gt;E49,1,0))</f>
        <v>2</v>
      </c>
      <c r="LQ27" s="71">
        <f>IF(OR(E45="",G45=""),0,IF(E45=G45,1,0))+IF(OR(E47="",G47=""),0,IF(E47=G47,1,0))+IF(OR(G49="",E49=""),0,IF(G49=E49,1,0))</f>
        <v>1</v>
      </c>
      <c r="LR27" s="71">
        <f>IF(OR(E45="",G45=""),0,IF(E45&lt;G45,1,0))+IF(OR(E47="",G47=""),0,IF(E47&lt;G47,1,0))+IF(OR(G49="",E49=""),0,IF(G49&lt;E49,1,0))</f>
        <v>0</v>
      </c>
      <c r="LS27" s="71">
        <f>E45+E47+G49</f>
        <v>4</v>
      </c>
      <c r="LT27" s="71">
        <f>G45+G47+E49</f>
        <v>0</v>
      </c>
      <c r="LU27" s="71">
        <f t="shared" ref="LU27:LU30" si="27">LS27-LT27</f>
        <v>4</v>
      </c>
      <c r="LV27" s="70">
        <f t="shared" ref="LV27:LV30" si="28">LN27</f>
        <v>7</v>
      </c>
      <c r="LW27" s="70">
        <f t="shared" ref="LW27:LW30" si="29">LU27/10</f>
        <v>0.4</v>
      </c>
      <c r="LX27" s="70">
        <f t="shared" ref="LX27:LX30" si="30">LS27/100</f>
        <v>0.04</v>
      </c>
      <c r="LY27" s="70">
        <f t="shared" ref="LY27:LY30" si="31">SUM(LV27:LX27)</f>
        <v>7.44</v>
      </c>
      <c r="LZ27" s="70">
        <f>IF(LY27=LY28,IF(E45&gt;G45,0.001,0),0)</f>
        <v>0</v>
      </c>
      <c r="MA27" s="70">
        <f>IF(LY27=LY29,IF(E47&gt;G47,0.001,0),0)</f>
        <v>0</v>
      </c>
      <c r="MB27" s="70">
        <f>IF(LY27=LY30,IF(G49&gt;E49,0.001,0),0)</f>
        <v>0</v>
      </c>
      <c r="MC27" s="70">
        <f t="shared" ref="MC27:MC30" si="32">SUM(LY27:MB27)</f>
        <v>7.44</v>
      </c>
      <c r="MD27" s="70">
        <f>RANK($MC$27,$MC$27:$MC$30,0)</f>
        <v>1</v>
      </c>
      <c r="ME27" s="70">
        <f>MD27</f>
        <v>1</v>
      </c>
      <c r="MF27" s="70">
        <v>1.0</v>
      </c>
      <c r="MG27" s="70">
        <f t="shared" ref="MG27:MG30" si="33">MATCH(MF27,$ME$27:$ME$30,0)</f>
        <v>1</v>
      </c>
      <c r="MH27" s="70" t="str">
        <f t="shared" ref="MH27:MH30" si="34">INDEX($LM$27:$LM$30,MG27)</f>
        <v>França</v>
      </c>
    </row>
    <row r="28" ht="12.75" customHeight="1">
      <c r="A28" s="102">
        <v>44886.0</v>
      </c>
      <c r="B28" s="103">
        <v>0.4166666666666667</v>
      </c>
      <c r="C28" s="90" t="s">
        <v>64</v>
      </c>
      <c r="D28" s="113"/>
      <c r="E28" s="105">
        <v>2.0</v>
      </c>
      <c r="F28" s="106" t="s">
        <v>72</v>
      </c>
      <c r="G28" s="107">
        <v>0.0</v>
      </c>
      <c r="H28" s="108"/>
      <c r="I28" s="96" t="s">
        <v>65</v>
      </c>
      <c r="J28" s="97" t="s">
        <v>80</v>
      </c>
      <c r="K28" s="98"/>
      <c r="L28" s="99" t="s">
        <v>86</v>
      </c>
      <c r="M28" s="100"/>
      <c r="N28" s="100"/>
      <c r="O28" s="100"/>
      <c r="P28" s="100"/>
      <c r="Q28" s="100"/>
      <c r="R28" s="100"/>
      <c r="S28" s="100"/>
      <c r="T28" s="101"/>
      <c r="U28" s="53"/>
      <c r="V28" s="53"/>
      <c r="W28" s="53"/>
      <c r="X28" s="218"/>
      <c r="Y28" s="53"/>
      <c r="Z28" s="236">
        <f>IF(OR(E28="",G28="",'Resultado Oficial'!E28="",'Resultado Oficial'!G28=""),"",
IF(AND(E28='Resultado Oficial'!E28,G28='Resultado Oficial'!G28),10,
IF(AND(E28=G28,'Resultado Oficial'!E28='Resultado Oficial'!G28,ABS((E28-'Resultado Oficial'!E28))=1),6,
IF(AND(E28&gt;G28,'Resultado Oficial'!E28&gt;'Resultado Oficial'!G28,((E28-'Resultado Oficial'!E28)=(G28-'Resultado Oficial'!G28))),6,
IF(AND(E28&lt;G28,'Resultado Oficial'!E28&lt;'Resultado Oficial'!G28,(('Resultado Oficial'!E28-E28)=('Resultado Oficial'!G28-G28))),6,
IF(AND(E28&gt;G28,'Resultado Oficial'!E28&gt;'Resultado Oficial'!G28),3,
IF(AND(E28=G28,'Resultado Oficial'!E28='Resultado Oficial'!G28),3,
IF(AND(E28&lt;G28,'Resultado Oficial'!E28&lt;'Resultado Oficial'!G28),3,0))))))))</f>
        <v>3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6" t="s">
        <v>87</v>
      </c>
      <c r="LN28" s="70">
        <f>IF(OR(G45="",E45=""),0,IF(LO28=0,0,IF(G45&gt;E45,3,IF(G45=E45,1,0)))+IF(OR(G46="",E46=""),0,IF(G46&gt;E46,3,IF(G46=E46,1,0)))+IF(OR(G48="",E48=""),0,IF(E48&gt;G48,3,IF(E48=G48,1,0))))</f>
        <v>3</v>
      </c>
      <c r="LO28" s="71">
        <f>IF(AND(E45&lt;&gt;"",G45&lt;&gt;""),1,0)+IF(AND(E46&lt;&gt;"",G46&lt;&gt;""),1,0)+IF(AND(E48&lt;&gt;"",G48&lt;&gt;""),1,0)</f>
        <v>3</v>
      </c>
      <c r="LP28" s="71">
        <f>IF(OR(G45="",E45=""),0,IF(G45&gt;E45,1,0))+IF(OR(G46="",E46=""),0,IF(G46&gt;E46,1,0))+IF(OR(E48="",G48=""),0,IF(E48&gt;G48,1,0))</f>
        <v>1</v>
      </c>
      <c r="LQ28" s="71">
        <f>IF(OR(G45="",E45=""),0,IF(G45=E45,1,0))+IF(OR(G46="",E46=""),0,IF(G46=E46,1,0))+IF(OR(E48="",G48=""),0,IF(E48=G48,1,0))</f>
        <v>0</v>
      </c>
      <c r="LR28" s="71">
        <f>IF(OR(G45="",E45=""),0,IF(G45&lt;E45,1,0))+IF(OR(G46="",E46=""),0,IF(G46&lt;E46,1,0))+IF(OR(E48="",G48=""),0,IF(E48&lt;G48,1,0))</f>
        <v>2</v>
      </c>
      <c r="LS28" s="71">
        <f>G45+G46+E48</f>
        <v>1</v>
      </c>
      <c r="LT28" s="71">
        <f>E45+E46+G48</f>
        <v>3</v>
      </c>
      <c r="LU28" s="71">
        <f t="shared" si="27"/>
        <v>-2</v>
      </c>
      <c r="LV28" s="70">
        <f t="shared" si="28"/>
        <v>3</v>
      </c>
      <c r="LW28" s="70">
        <f t="shared" si="29"/>
        <v>-0.2</v>
      </c>
      <c r="LX28" s="70">
        <f t="shared" si="30"/>
        <v>0.01</v>
      </c>
      <c r="LY28" s="70">
        <f t="shared" si="31"/>
        <v>2.81</v>
      </c>
      <c r="LZ28" s="70">
        <f>IF(LY28=LY27,IF(G45&gt;E45,0.001,0),0)</f>
        <v>0</v>
      </c>
      <c r="MA28" s="70">
        <f>IF(LY28=LY29,IF(E48&gt;G48,0.001,0),0)</f>
        <v>0</v>
      </c>
      <c r="MB28" s="70">
        <f>IF(LY28=LY30,IF(G46&gt;E46,0.001,0),0)</f>
        <v>0</v>
      </c>
      <c r="MC28" s="70">
        <f t="shared" si="32"/>
        <v>2.81</v>
      </c>
      <c r="MD28" s="70">
        <f>RANK($MC$28,$MC$27:$MC$30,0)</f>
        <v>3</v>
      </c>
      <c r="ME28" s="70">
        <f>IF(OR(AND(MD27=MD28,MD27=MD29,MD27=MD30),AND(MD28=MD27,MD28=MD29),AND(MD28=MD27,MD28=MD30),MD28=MD27),MD28+1,MD28)</f>
        <v>3</v>
      </c>
      <c r="MF28" s="70">
        <v>2.0</v>
      </c>
      <c r="MG28" s="70">
        <f t="shared" si="33"/>
        <v>3</v>
      </c>
      <c r="MH28" s="70" t="str">
        <f t="shared" si="34"/>
        <v>Dinamarca</v>
      </c>
    </row>
    <row r="29" ht="12.75" customHeight="1">
      <c r="A29" s="102">
        <v>44886.0</v>
      </c>
      <c r="B29" s="103">
        <v>0.6666666666666666</v>
      </c>
      <c r="C29" s="90" t="s">
        <v>66</v>
      </c>
      <c r="D29" s="104"/>
      <c r="E29" s="105">
        <v>1.0</v>
      </c>
      <c r="F29" s="106" t="s">
        <v>72</v>
      </c>
      <c r="G29" s="107">
        <v>1.0</v>
      </c>
      <c r="H29" s="108"/>
      <c r="I29" s="96" t="s">
        <v>67</v>
      </c>
      <c r="J29" s="97" t="s">
        <v>88</v>
      </c>
      <c r="K29" s="109"/>
      <c r="L29" s="110"/>
      <c r="M29" s="111" t="s">
        <v>51</v>
      </c>
      <c r="N29" s="111" t="s">
        <v>52</v>
      </c>
      <c r="O29" s="111" t="s">
        <v>53</v>
      </c>
      <c r="P29" s="111" t="s">
        <v>54</v>
      </c>
      <c r="Q29" s="111" t="s">
        <v>55</v>
      </c>
      <c r="R29" s="111" t="s">
        <v>56</v>
      </c>
      <c r="S29" s="111" t="s">
        <v>57</v>
      </c>
      <c r="T29" s="112" t="s">
        <v>58</v>
      </c>
      <c r="U29" s="53"/>
      <c r="V29" s="50" t="str">
        <f>A27</f>
        <v>Primeira fase          GRUPO B</v>
      </c>
      <c r="W29" s="50"/>
      <c r="X29" s="218" t="s">
        <v>145</v>
      </c>
      <c r="Y29" s="53"/>
      <c r="Z29" s="236">
        <f>IF(OR(E29="",G29="",'Resultado Oficial'!E29="",'Resultado Oficial'!G29=""),"",
IF(AND(E29='Resultado Oficial'!E29,G29='Resultado Oficial'!G29),10,
IF(AND(E29=G29,'Resultado Oficial'!E29='Resultado Oficial'!G29,ABS((E29-'Resultado Oficial'!E29))=1),6,
IF(AND(E29&gt;G29,'Resultado Oficial'!E29&gt;'Resultado Oficial'!G29,((E29-'Resultado Oficial'!E29)=(G29-'Resultado Oficial'!G29))),6,
IF(AND(E29&lt;G29,'Resultado Oficial'!E29&lt;'Resultado Oficial'!G29,(('Resultado Oficial'!E29-E29)=('Resultado Oficial'!G29-G29))),6,
IF(AND(E29&gt;G29,'Resultado Oficial'!E29&gt;'Resultado Oficial'!G29),3,
IF(AND(E29=G29,'Resultado Oficial'!E29='Resultado Oficial'!G29),3,
IF(AND(E29&lt;G29,'Resultado Oficial'!E29&lt;'Resultado Oficial'!G29),3,0))))))))</f>
        <v>10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6" t="s">
        <v>89</v>
      </c>
      <c r="LN29" s="70">
        <f>IF(OR(E44="",G44=""),0,IF(LO29=0,0,IF(E44&gt;G44,3,IF(E44=G44,1,0)))+IF(OR(G47="",E47=""),0,IF(G47&gt;E47,3,IF(G47=E47,1,0)))+IF(OR(G48="",E48=""),0,IF(G48&gt;E48,3,IF(E48=G48,1,0))))</f>
        <v>7</v>
      </c>
      <c r="LO29" s="71">
        <f>IF(AND(E44&lt;&gt;"",G44&lt;&gt;""),1,0)+IF(AND(E47&lt;&gt;"",G47&lt;&gt;""),1,0)+IF(AND(E48&lt;&gt;"",G48&lt;&gt;""),1,0)</f>
        <v>3</v>
      </c>
      <c r="LP29" s="71">
        <f>IF(OR(E44="",G44=""),0,IF(E44&gt;G44,1,0))+IF(OR(G47="",E47=""),0,IF(G47&gt;E47,1,0))+IF(OR(G48="",E48=""),0,IF(G48&gt;E48,1,0))</f>
        <v>2</v>
      </c>
      <c r="LQ29" s="71">
        <f>IF(OR(E44="",G44=""),0,IF(E44=G44,1,0))+IF(OR(G47="",E47=""),0,IF(G47=E47,1,0))+IF(OR(G48="",E48=""),0,IF(G48=E48,1,0))</f>
        <v>1</v>
      </c>
      <c r="LR29" s="71">
        <f>IF(OR(E44="",G44=""),0,IF(E44&lt;G44,1,0))+IF(OR(G47="",E47=""),0,IF(G47&lt;E47,1,0))+IF(OR(G48="",E48=""),0,IF(G48&lt;E48,1,0))</f>
        <v>0</v>
      </c>
      <c r="LS29" s="71">
        <f>E44+G47+G48</f>
        <v>3</v>
      </c>
      <c r="LT29" s="71">
        <f>G44+E47+E48</f>
        <v>0</v>
      </c>
      <c r="LU29" s="71">
        <f t="shared" si="27"/>
        <v>3</v>
      </c>
      <c r="LV29" s="70">
        <f t="shared" si="28"/>
        <v>7</v>
      </c>
      <c r="LW29" s="70">
        <f t="shared" si="29"/>
        <v>0.3</v>
      </c>
      <c r="LX29" s="70">
        <f t="shared" si="30"/>
        <v>0.03</v>
      </c>
      <c r="LY29" s="70">
        <f t="shared" si="31"/>
        <v>7.33</v>
      </c>
      <c r="LZ29" s="70">
        <f>IF(LY29=LY27,IF(G47&gt;E47,0.001,0),0)</f>
        <v>0</v>
      </c>
      <c r="MA29" s="70">
        <f>IF(LY29=LY28,IF(G48&gt;E48,0.001,0),0)</f>
        <v>0</v>
      </c>
      <c r="MB29" s="70">
        <f>IF(LY29=LY30,IF(E44&gt;G44,0.001,0),0)</f>
        <v>0</v>
      </c>
      <c r="MC29" s="70">
        <f t="shared" si="32"/>
        <v>7.33</v>
      </c>
      <c r="MD29" s="70">
        <f>RANK($MC$29,$MC$27:$MC$30,0)</f>
        <v>2</v>
      </c>
      <c r="ME29" s="70">
        <f>IF(OR(AND(MD27=MD28,MD27=MD29,MD27=MD30),AND(MD29=MD27,MD29=MD28)),MD29+2,IF(OR(AND(MD29=MD28,MD29=MD30),MD29=MD27,MD29=MD28),MD29+1,MD29))</f>
        <v>2</v>
      </c>
      <c r="MF29" s="70">
        <v>3.0</v>
      </c>
      <c r="MG29" s="70">
        <f t="shared" si="33"/>
        <v>2</v>
      </c>
      <c r="MH29" s="70" t="str">
        <f t="shared" si="34"/>
        <v>Austrália</v>
      </c>
    </row>
    <row r="30" ht="12.75" customHeight="1">
      <c r="A30" s="102">
        <v>44890.0</v>
      </c>
      <c r="B30" s="103">
        <v>0.2916666666666667</v>
      </c>
      <c r="C30" s="90" t="s">
        <v>67</v>
      </c>
      <c r="D30" s="113"/>
      <c r="E30" s="114">
        <v>0.0</v>
      </c>
      <c r="F30" s="115" t="s">
        <v>72</v>
      </c>
      <c r="G30" s="116">
        <v>0.0</v>
      </c>
      <c r="H30" s="117"/>
      <c r="I30" s="96" t="s">
        <v>65</v>
      </c>
      <c r="J30" s="97" t="s">
        <v>88</v>
      </c>
      <c r="K30" s="109"/>
      <c r="L30" s="118" t="str">
        <f>Mothci!MH11</f>
        <v>Inglaterra</v>
      </c>
      <c r="M30" s="119">
        <f>VLOOKUP(L30,Mothci!$LM$11:$LU$14,2,FALSE)</f>
        <v>9</v>
      </c>
      <c r="N30" s="120">
        <f>VLOOKUP(L30,Mothci!$LM$11:$LU$14,3,FALSE)</f>
        <v>3</v>
      </c>
      <c r="O30" s="120">
        <f>VLOOKUP(L30,Mothci!$LM$11:$LU$14,4,FALSE)</f>
        <v>3</v>
      </c>
      <c r="P30" s="120">
        <f>VLOOKUP(L30,Mothci!$LM$11:$LU$14,5,FALSE)</f>
        <v>0</v>
      </c>
      <c r="Q30" s="120">
        <f>VLOOKUP(L30,Mothci!$LM$11:$LU$14,6,FALSE)</f>
        <v>0</v>
      </c>
      <c r="R30" s="120">
        <f>VLOOKUP(L30,Mothci!$LM$11:$LU$14,7,FALSE)</f>
        <v>4</v>
      </c>
      <c r="S30" s="120">
        <f>VLOOKUP(L30,Mothci!$LM$11:$LU$14,8,FALSE)</f>
        <v>0</v>
      </c>
      <c r="T30" s="121">
        <f>VLOOKUP(L30,Mothci!$LM$11:$LU$14,9,FALSE)</f>
        <v>4</v>
      </c>
      <c r="U30" s="53"/>
      <c r="V30" s="59" t="s">
        <v>78</v>
      </c>
      <c r="W30" s="122" t="str">
        <f t="shared" ref="W30:W31" si="35">IF(N30&lt;&gt;3,"",L30)</f>
        <v>Inglaterra</v>
      </c>
      <c r="X30" s="236">
        <f>IF(AND(W30&lt;&gt;"",'Resultado Oficial'!W30&lt;&gt;"",'Resultado Oficial'!W31&lt;&gt;""),IF(W30='Resultado Oficial'!W30,5,IF(W30='Resultado Oficial'!W31,2,0)),"")</f>
        <v>5</v>
      </c>
      <c r="Y30" s="53"/>
      <c r="Z30" s="236">
        <f>IF(OR(E30="",G30="",'Resultado Oficial'!E30="",'Resultado Oficial'!G30=""),"",
IF(AND(E30='Resultado Oficial'!E30,G30='Resultado Oficial'!G30),10,
IF(AND(E30=G30,'Resultado Oficial'!E30='Resultado Oficial'!G30,ABS((E30-'Resultado Oficial'!E30))=1),6,
IF(AND(E30&gt;G30,'Resultado Oficial'!E30&gt;'Resultado Oficial'!G30,((E30-'Resultado Oficial'!E30)=(G30-'Resultado Oficial'!G30))),6,
IF(AND(E30&lt;G30,'Resultado Oficial'!E30&lt;'Resultado Oficial'!G30,(('Resultado Oficial'!E30-E30)=('Resultado Oficial'!G30-G30))),6,
IF(AND(E30&gt;G30,'Resultado Oficial'!E30&gt;'Resultado Oficial'!G30),3,
IF(AND(E30=G30,'Resultado Oficial'!E30='Resultado Oficial'!G30),3,
IF(AND(E30&lt;G30,'Resultado Oficial'!E30&lt;'Resultado Oficial'!G30),3,0))))))))</f>
        <v>0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6" t="s">
        <v>90</v>
      </c>
      <c r="LN30" s="70">
        <f>IF(OR(G44="",E44=""),0,IF(LO30=0,0,IF(G44&gt;E44,3,IF(G46=E46,1,0)))+IF(OR(E46="",G46=""),0,IF(E46&gt;G46,3,IF(E46=G46,1,0)))+IF(OR(E49="",G49=""),0,IF(E49&gt;G49,3,IF(E49=G49,1,0))))</f>
        <v>0</v>
      </c>
      <c r="LO30" s="71">
        <f>IF(AND(E44&lt;&gt;"",G44&lt;&gt;""),1,0)+IF(AND(E46&lt;&gt;"",G46&lt;&gt;""),1,0)+IF(AND(E49&lt;&gt;"",G49&lt;&gt;""),1,0)</f>
        <v>3</v>
      </c>
      <c r="LP30" s="71">
        <f>IF(OR(G44="",E44=""),0,IF(G44&gt;E44,1,0))+IF(OR(E46="",G46=""),0,IF(E46&gt;G46,1,0))+IF(OR(E49="",G49=""),0,IF(E49&gt;G49,1,0))</f>
        <v>0</v>
      </c>
      <c r="LQ30" s="71">
        <f>IF(OR(G44="",E44=""),0,IF(G44=E44,1,0))+IF(OR(E46="",G46=""),0,IF(E46=G46,1,0))+IF(OR(E49="",G49=""),0,IF(E49=G49,1,0))</f>
        <v>0</v>
      </c>
      <c r="LR30" s="71">
        <f>IF(OR(G44="",E44=""),0,IF(G44&lt;E44,1,0))+IF(OR(E46="",G46=""),0,IF(E46&lt;G46,1,0))+IF(OR(E49="",G49=""),0,IF(E49&lt;G49,1,0))</f>
        <v>3</v>
      </c>
      <c r="LS30" s="71">
        <f>G44+E46+E49</f>
        <v>0</v>
      </c>
      <c r="LT30" s="71">
        <f>E44+G46+G49</f>
        <v>5</v>
      </c>
      <c r="LU30" s="71">
        <f t="shared" si="27"/>
        <v>-5</v>
      </c>
      <c r="LV30" s="70">
        <f t="shared" si="28"/>
        <v>0</v>
      </c>
      <c r="LW30" s="70">
        <f t="shared" si="29"/>
        <v>-0.5</v>
      </c>
      <c r="LX30" s="70">
        <f t="shared" si="30"/>
        <v>0</v>
      </c>
      <c r="LY30" s="70">
        <f t="shared" si="31"/>
        <v>-0.5</v>
      </c>
      <c r="LZ30" s="70">
        <f>IF(LY30=LY27,IF(E49&gt;G49,0.001,0),0)</f>
        <v>0</v>
      </c>
      <c r="MA30" s="70">
        <f>IF(LY30=LY28,IF(E46&gt;G46,0.001,0),0)</f>
        <v>0</v>
      </c>
      <c r="MB30" s="70">
        <f>IF(LY30=LY29,IF(G44&gt;E44,0.001,0),0)</f>
        <v>0</v>
      </c>
      <c r="MC30" s="70">
        <f t="shared" si="32"/>
        <v>-0.5</v>
      </c>
      <c r="MD30" s="70">
        <f>RANK($MC$30,$MC$27:$MC$30,0)</f>
        <v>4</v>
      </c>
      <c r="ME30" s="70">
        <f>IF(AND(MD27=MD28,MD27=MD29,MD27=MD30),MD30+3,IF(OR(AND(MD30=MD29,MD30=MD28),AND(MD30=MD28,MD30=MD27)),MD30+2,IF(OR(MD30=MD29,MD30=MD28,MD30=MD27),MD30+1,MD30)))</f>
        <v>4</v>
      </c>
      <c r="MF30" s="70">
        <v>4.0</v>
      </c>
      <c r="MG30" s="70">
        <f t="shared" si="33"/>
        <v>4</v>
      </c>
      <c r="MH30" s="70" t="str">
        <f t="shared" si="34"/>
        <v>Tunísia</v>
      </c>
    </row>
    <row r="31" ht="12.75" customHeight="1">
      <c r="A31" s="102">
        <v>44890.0</v>
      </c>
      <c r="B31" s="103">
        <v>0.6666666666666666</v>
      </c>
      <c r="C31" s="90" t="s">
        <v>64</v>
      </c>
      <c r="D31" s="104"/>
      <c r="E31" s="105">
        <v>1.0</v>
      </c>
      <c r="F31" s="106" t="s">
        <v>72</v>
      </c>
      <c r="G31" s="107">
        <v>0.0</v>
      </c>
      <c r="H31" s="108"/>
      <c r="I31" s="96" t="s">
        <v>66</v>
      </c>
      <c r="J31" s="97" t="s">
        <v>73</v>
      </c>
      <c r="K31" s="109"/>
      <c r="L31" s="118" t="str">
        <f>Mothci!MH12</f>
        <v>Estados Unidos</v>
      </c>
      <c r="M31" s="119">
        <f>VLOOKUP(L31,Mothci!$LM$11:$LU$14,2,FALSE)</f>
        <v>4</v>
      </c>
      <c r="N31" s="120">
        <f>VLOOKUP(L31,Mothci!$LM$11:$LU$14,3,FALSE)</f>
        <v>3</v>
      </c>
      <c r="O31" s="120">
        <f>VLOOKUP(L31,Mothci!$LM$11:$LU$14,4,FALSE)</f>
        <v>1</v>
      </c>
      <c r="P31" s="120">
        <f>VLOOKUP(L31,Mothci!$LM$11:$LU$14,5,FALSE)</f>
        <v>1</v>
      </c>
      <c r="Q31" s="120">
        <f>VLOOKUP(L31,Mothci!$LM$11:$LU$14,6,FALSE)</f>
        <v>1</v>
      </c>
      <c r="R31" s="120">
        <f>VLOOKUP(L31,Mothci!$LM$11:$LU$14,7,FALSE)</f>
        <v>2</v>
      </c>
      <c r="S31" s="120">
        <f>VLOOKUP(L31,Mothci!$LM$11:$LU$14,8,FALSE)</f>
        <v>2</v>
      </c>
      <c r="T31" s="121">
        <f>VLOOKUP(L31,Mothci!$LM$11:$LU$14,9,FALSE)</f>
        <v>0</v>
      </c>
      <c r="U31" s="53"/>
      <c r="V31" s="59" t="s">
        <v>81</v>
      </c>
      <c r="W31" s="122" t="str">
        <f t="shared" si="35"/>
        <v>Estados Unidos</v>
      </c>
      <c r="X31" s="236">
        <f>IF(AND(W31&lt;&gt;"",'Resultado Oficial'!W30&lt;&gt;"",'Resultado Oficial'!W31&lt;&gt;""),IF(W31='Resultado Oficial'!W31,5,IF(W31='Resultado Oficial'!W30,2,0)),"")</f>
        <v>5</v>
      </c>
      <c r="Y31" s="53"/>
      <c r="Z31" s="236">
        <f>IF(OR(E31="",G31="",'Resultado Oficial'!E31="",'Resultado Oficial'!G31=""),"",
IF(AND(E31='Resultado Oficial'!E31,G31='Resultado Oficial'!G31),10,
IF(AND(E31=G31,'Resultado Oficial'!E31='Resultado Oficial'!G31,ABS((E31-'Resultado Oficial'!E31))=1),6,
IF(AND(E31&gt;G31,'Resultado Oficial'!E31&gt;'Resultado Oficial'!G31,((E31-'Resultado Oficial'!E31)=(G31-'Resultado Oficial'!G31))),6,
IF(AND(E31&lt;G31,'Resultado Oficial'!E31&lt;'Resultado Oficial'!G31,(('Resultado Oficial'!E31-E31)=('Resultado Oficial'!G31-G31))),6,
IF(AND(E31&gt;G31,'Resultado Oficial'!E31&gt;'Resultado Oficial'!G31),3,
IF(AND(E31=G31,'Resultado Oficial'!E31='Resultado Oficial'!G31),3,
IF(AND(E31&lt;G31,'Resultado Oficial'!E31&lt;'Resultado Oficial'!G31),3,0))))))))</f>
        <v>0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6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</row>
    <row r="32" ht="12.75" customHeight="1">
      <c r="A32" s="102">
        <v>44894.0</v>
      </c>
      <c r="B32" s="103">
        <v>0.6666666666666666</v>
      </c>
      <c r="C32" s="90" t="s">
        <v>67</v>
      </c>
      <c r="D32" s="104"/>
      <c r="E32" s="105">
        <v>0.0</v>
      </c>
      <c r="F32" s="106" t="s">
        <v>72</v>
      </c>
      <c r="G32" s="107">
        <v>1.0</v>
      </c>
      <c r="H32" s="108"/>
      <c r="I32" s="96" t="s">
        <v>64</v>
      </c>
      <c r="J32" s="97" t="s">
        <v>88</v>
      </c>
      <c r="K32" s="109"/>
      <c r="L32" s="118" t="str">
        <f>Mothci!MH13</f>
        <v>País de Gales</v>
      </c>
      <c r="M32" s="119">
        <f>VLOOKUP(L32,Mothci!$LM$11:$LU$14,2,FALSE)</f>
        <v>2</v>
      </c>
      <c r="N32" s="120">
        <f>VLOOKUP(L32,Mothci!$LM$11:$LU$14,3,FALSE)</f>
        <v>3</v>
      </c>
      <c r="O32" s="120">
        <f>VLOOKUP(L32,Mothci!$LM$11:$LU$14,4,FALSE)</f>
        <v>0</v>
      </c>
      <c r="P32" s="120">
        <f>VLOOKUP(L32,Mothci!$LM$11:$LU$14,5,FALSE)</f>
        <v>2</v>
      </c>
      <c r="Q32" s="120">
        <f>VLOOKUP(L32,Mothci!$LM$11:$LU$14,6,FALSE)</f>
        <v>1</v>
      </c>
      <c r="R32" s="120">
        <f>VLOOKUP(L32,Mothci!$LM$11:$LU$14,7,FALSE)</f>
        <v>1</v>
      </c>
      <c r="S32" s="120">
        <f>VLOOKUP(L32,Mothci!$LM$11:$LU$14,8,FALSE)</f>
        <v>2</v>
      </c>
      <c r="T32" s="121">
        <f>VLOOKUP(L32,Mothci!$LM$11:$LU$14,9,FALSE)</f>
        <v>-1</v>
      </c>
      <c r="U32" s="53"/>
      <c r="V32" s="53"/>
      <c r="W32" s="53"/>
      <c r="X32" s="218"/>
      <c r="Y32" s="53"/>
      <c r="Z32" s="236">
        <f>IF(OR(E32="",G32="",'Resultado Oficial'!E32="",'Resultado Oficial'!G32=""),"",
IF(AND(E32='Resultado Oficial'!E32,G32='Resultado Oficial'!G32),10,
IF(AND(E32=G32,'Resultado Oficial'!E32='Resultado Oficial'!G32,ABS((E32-'Resultado Oficial'!E32))=1),6,
IF(AND(E32&gt;G32,'Resultado Oficial'!E32&gt;'Resultado Oficial'!G32,((E32-'Resultado Oficial'!E32)=(G32-'Resultado Oficial'!G32))),6,
IF(AND(E32&lt;G32,'Resultado Oficial'!E32&lt;'Resultado Oficial'!G32,(('Resultado Oficial'!E32-E32)=('Resultado Oficial'!G32-G32))),6,
IF(AND(E32&gt;G32,'Resultado Oficial'!E32&gt;'Resultado Oficial'!G32),3,
IF(AND(E32=G32,'Resultado Oficial'!E32='Resultado Oficial'!G32),3,
IF(AND(E32&lt;G32,'Resultado Oficial'!E32&lt;'Resultado Oficial'!G32),3,0))))))))</f>
        <v>3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6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</row>
    <row r="33" ht="12.75" customHeight="1">
      <c r="A33" s="102">
        <v>44894.0</v>
      </c>
      <c r="B33" s="103">
        <v>0.6666666666666666</v>
      </c>
      <c r="C33" s="90" t="s">
        <v>65</v>
      </c>
      <c r="D33" s="104"/>
      <c r="E33" s="105">
        <v>0.0</v>
      </c>
      <c r="F33" s="106" t="s">
        <v>72</v>
      </c>
      <c r="G33" s="107">
        <v>1.0</v>
      </c>
      <c r="H33" s="108"/>
      <c r="I33" s="96" t="s">
        <v>66</v>
      </c>
      <c r="J33" s="97" t="s">
        <v>76</v>
      </c>
      <c r="K33" s="123"/>
      <c r="L33" s="124" t="str">
        <f>Mothci!MH14</f>
        <v>Irã</v>
      </c>
      <c r="M33" s="125">
        <f>VLOOKUP(L33,Mothci!$LM$11:$LU$14,2,FALSE)</f>
        <v>1</v>
      </c>
      <c r="N33" s="126">
        <f>VLOOKUP(L33,Mothci!$LM$11:$LU$14,3,FALSE)</f>
        <v>3</v>
      </c>
      <c r="O33" s="126">
        <f>VLOOKUP(L33,Mothci!$LM$11:$LU$14,4,FALSE)</f>
        <v>0</v>
      </c>
      <c r="P33" s="126">
        <f>VLOOKUP(L33,Mothci!$LM$11:$LU$14,5,FALSE)</f>
        <v>1</v>
      </c>
      <c r="Q33" s="126">
        <f>VLOOKUP(L33,Mothci!$LM$11:$LU$14,6,FALSE)</f>
        <v>2</v>
      </c>
      <c r="R33" s="126">
        <f>VLOOKUP(L33,Mothci!$LM$11:$LU$14,7,FALSE)</f>
        <v>0</v>
      </c>
      <c r="S33" s="126">
        <f>VLOOKUP(L33,Mothci!$LM$11:$LU$14,8,FALSE)</f>
        <v>3</v>
      </c>
      <c r="T33" s="127">
        <f>VLOOKUP(L33,Mothci!$LM$11:$LU$14,9,FALSE)</f>
        <v>-3</v>
      </c>
      <c r="U33" s="53"/>
      <c r="V33" s="53"/>
      <c r="W33" s="53"/>
      <c r="X33" s="218"/>
      <c r="Y33" s="53"/>
      <c r="Z33" s="236">
        <f>IF(OR(E33="",G33="",'Resultado Oficial'!E33="",'Resultado Oficial'!G33=""),"",
IF(AND(E33='Resultado Oficial'!E33,G33='Resultado Oficial'!G33),10,
IF(AND(E33=G33,'Resultado Oficial'!E33='Resultado Oficial'!G33,ABS((E33-'Resultado Oficial'!E33))=1),6,
IF(AND(E33&gt;G33,'Resultado Oficial'!E33&gt;'Resultado Oficial'!G33,((E33-'Resultado Oficial'!E33)=(G33-'Resultado Oficial'!G33))),6,
IF(AND(E33&lt;G33,'Resultado Oficial'!E33&lt;'Resultado Oficial'!G33,(('Resultado Oficial'!E33-E33)=('Resultado Oficial'!G33-G33))),6,
IF(AND(E33&gt;G33,'Resultado Oficial'!E33&gt;'Resultado Oficial'!G33),3,
IF(AND(E33=G33,'Resultado Oficial'!E33='Resultado Oficial'!G33),3,
IF(AND(E33&lt;G33,'Resultado Oficial'!E33&lt;'Resultado Oficial'!G33),3,0))))))))</f>
        <v>10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6"/>
      <c r="LN33" s="57" t="s">
        <v>91</v>
      </c>
      <c r="LO33" s="57"/>
      <c r="LP33" s="57"/>
      <c r="LQ33" s="57"/>
      <c r="LR33" s="57"/>
      <c r="LS33" s="57"/>
      <c r="LT33" s="57"/>
      <c r="LU33" s="57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</row>
    <row r="34" ht="12.75" customHeight="1">
      <c r="A34" s="128"/>
      <c r="B34" s="129"/>
      <c r="C34" s="143"/>
      <c r="D34" s="53"/>
      <c r="E34" s="144"/>
      <c r="F34" s="144"/>
      <c r="G34" s="144"/>
      <c r="H34" s="144"/>
      <c r="I34" s="52"/>
      <c r="J34" s="54"/>
      <c r="K34" s="55"/>
      <c r="L34" s="131"/>
      <c r="M34" s="134"/>
      <c r="N34" s="134"/>
      <c r="O34" s="134"/>
      <c r="P34" s="134"/>
      <c r="Q34" s="134"/>
      <c r="R34" s="134"/>
      <c r="S34" s="134"/>
      <c r="T34" s="134"/>
      <c r="U34" s="53"/>
      <c r="V34" s="53"/>
      <c r="W34" s="53"/>
      <c r="X34" s="218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69" t="s">
        <v>50</v>
      </c>
      <c r="LN34" s="70" t="s">
        <v>51</v>
      </c>
      <c r="LO34" s="71" t="s">
        <v>52</v>
      </c>
      <c r="LP34" s="71" t="s">
        <v>53</v>
      </c>
      <c r="LQ34" s="71">
        <f>IF(OR(E51="",G51=""),0,IF(E51=G51,1,0))+IF(OR(E53="",G53=""),0,IF(E53=G53,1,0))+IF(OR(G55="",E55=""),0,IF(G55=E55,1,0))</f>
        <v>1</v>
      </c>
      <c r="LR34" s="71" t="s">
        <v>55</v>
      </c>
      <c r="LS34" s="71" t="s">
        <v>56</v>
      </c>
      <c r="LT34" s="71" t="s">
        <v>57</v>
      </c>
      <c r="LU34" s="71" t="s">
        <v>58</v>
      </c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</row>
    <row r="35" ht="12.75" customHeight="1">
      <c r="A35" s="135" t="s">
        <v>92</v>
      </c>
      <c r="B35" s="136"/>
      <c r="C35" s="136"/>
      <c r="D35" s="85"/>
      <c r="E35" s="137"/>
      <c r="F35" s="138"/>
      <c r="G35" s="138"/>
      <c r="H35" s="85"/>
      <c r="I35" s="139"/>
      <c r="J35" s="140"/>
      <c r="K35" s="82"/>
      <c r="L35" s="83"/>
      <c r="M35" s="84"/>
      <c r="N35" s="84"/>
      <c r="O35" s="84"/>
      <c r="P35" s="84"/>
      <c r="Q35" s="85"/>
      <c r="R35" s="86"/>
      <c r="S35" s="86"/>
      <c r="T35" s="87"/>
      <c r="U35" s="53"/>
      <c r="V35" s="53"/>
      <c r="W35" s="53"/>
      <c r="X35" s="21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6" t="s">
        <v>93</v>
      </c>
      <c r="LN35" s="70">
        <f>IF(OR(E53="",G53=""),0,IF(LO35=0,0,IF(E53&gt;G53,3,IF(E53=G53,1,0)))+IF(OR(E55="",G55=""),0,IF(E55&gt;G55,3,IF(E55=G55,1,0)))+IF(OR(G56="",E56=""),0,IF(G56&gt;E56,3,IF(G56=E56,1,0))))</f>
        <v>5</v>
      </c>
      <c r="LO35" s="71">
        <f>IF(AND(E53&lt;&gt;"",G53&lt;&gt;""),1,0)+IF(AND(E55&lt;&gt;"",G55&lt;&gt;""),1,0)+IF(AND(E56&lt;&gt;"",G56&lt;&gt;""),1,0)</f>
        <v>3</v>
      </c>
      <c r="LP35" s="71">
        <f>IF(OR(E53="",G53=""),0,IF(E53&gt;G53,1,0))+IF(OR(E55="",G55=""),0,IF(E55&gt;G55,1,0))+IF(OR(G56="",E56=""),0,IF(G56&gt;E56,1,0))</f>
        <v>1</v>
      </c>
      <c r="LQ35" s="71">
        <f>IF(OR(E53="",G53=""),0,IF(E53=G53,1,0))+IF(OR(E55="",G55=""),0,IF(E55=G55,1,0))+IF(OR(G56="",E56=""),0,IF(G56=E56,1,0))</f>
        <v>2</v>
      </c>
      <c r="LR35" s="71">
        <f>IF(OR(E53="",G53=""),0,IF(E53&lt;G53,1,0))+IF(OR(E55="",G55=""),0,IF(E55&lt;G55,1,0))+IF(OR(G56="",E56=""),0,IF(G56&lt;E56,1,0))</f>
        <v>0</v>
      </c>
      <c r="LS35" s="71">
        <f>E53+E55+G56</f>
        <v>3</v>
      </c>
      <c r="LT35" s="71">
        <f>G53+G55+E56</f>
        <v>1</v>
      </c>
      <c r="LU35" s="71">
        <f t="shared" ref="LU35:LU38" si="36">LS35-LT35</f>
        <v>2</v>
      </c>
      <c r="LV35" s="70">
        <f t="shared" ref="LV35:LV38" si="37">LN35</f>
        <v>5</v>
      </c>
      <c r="LW35" s="70">
        <f t="shared" ref="LW35:LW38" si="38">LU35/10</f>
        <v>0.2</v>
      </c>
      <c r="LX35" s="70">
        <f t="shared" ref="LX35:LX38" si="39">LS35/100</f>
        <v>0.03</v>
      </c>
      <c r="LY35" s="70">
        <f t="shared" ref="LY35:LY38" si="40">SUM(LV35:LX35)</f>
        <v>5.23</v>
      </c>
      <c r="LZ35" s="70">
        <f>IF(LY35=LY36,IF(E53&gt;G53,0.001,0),0)</f>
        <v>0</v>
      </c>
      <c r="MA35" s="70">
        <f>IF(LY35=LY37,IF(E55&gt;G55,0.001,0),0)</f>
        <v>0</v>
      </c>
      <c r="MB35" s="70">
        <f>IF(LY35=LY38,IF(G56&gt;E56,0.001,0),0)</f>
        <v>0</v>
      </c>
      <c r="MC35" s="70">
        <f t="shared" ref="MC35:MC38" si="41">SUM(LY35:MB35)</f>
        <v>5.23</v>
      </c>
      <c r="MD35" s="70">
        <f>RANK($MC$35,$MC$35:$MC$38,0)</f>
        <v>2</v>
      </c>
      <c r="ME35" s="70">
        <f>MD35</f>
        <v>2</v>
      </c>
      <c r="MF35" s="70">
        <v>1.0</v>
      </c>
      <c r="MG35" s="70">
        <f t="shared" ref="MG35:MG38" si="42">MATCH(MF35,$ME$35:$ME$38,0)</f>
        <v>3</v>
      </c>
      <c r="MH35" s="70" t="str">
        <f t="shared" ref="MH35:MH38" si="43">INDEX($LM$35:$LM$38,MG35)</f>
        <v>Alemanha</v>
      </c>
    </row>
    <row r="36" ht="12.75" customHeight="1">
      <c r="A36" s="102">
        <v>44887.0</v>
      </c>
      <c r="B36" s="103">
        <v>0.2916666666666667</v>
      </c>
      <c r="C36" s="90" t="s">
        <v>71</v>
      </c>
      <c r="D36" s="113"/>
      <c r="E36" s="105">
        <v>2.0</v>
      </c>
      <c r="F36" s="106" t="s">
        <v>72</v>
      </c>
      <c r="G36" s="107">
        <v>0.0</v>
      </c>
      <c r="H36" s="108"/>
      <c r="I36" s="96" t="s">
        <v>75</v>
      </c>
      <c r="J36" s="97" t="s">
        <v>94</v>
      </c>
      <c r="K36" s="98"/>
      <c r="L36" s="99" t="s">
        <v>95</v>
      </c>
      <c r="M36" s="100"/>
      <c r="N36" s="100"/>
      <c r="O36" s="100"/>
      <c r="P36" s="100"/>
      <c r="Q36" s="100"/>
      <c r="R36" s="100"/>
      <c r="S36" s="100"/>
      <c r="T36" s="101"/>
      <c r="U36" s="53"/>
      <c r="V36" s="53"/>
      <c r="W36" s="53"/>
      <c r="X36" s="218"/>
      <c r="Y36" s="53"/>
      <c r="Z36" s="236">
        <f>IF(OR(E36="",G36="",'Resultado Oficial'!E36="",'Resultado Oficial'!G36=""),"",
IF(AND(E36='Resultado Oficial'!E36,G36='Resultado Oficial'!G36),10,
IF(AND(E36=G36,'Resultado Oficial'!E36='Resultado Oficial'!G36,ABS((E36-'Resultado Oficial'!E36))=1),6,
IF(AND(E36&gt;G36,'Resultado Oficial'!E36&gt;'Resultado Oficial'!G36,((E36-'Resultado Oficial'!E36)=(G36-'Resultado Oficial'!G36))),6,
IF(AND(E36&lt;G36,'Resultado Oficial'!E36&lt;'Resultado Oficial'!G36,(('Resultado Oficial'!E36-E36)=('Resultado Oficial'!G36-G36))),6,
IF(AND(E36&gt;G36,'Resultado Oficial'!E36&gt;'Resultado Oficial'!G36),3,
IF(AND(E36=G36,'Resultado Oficial'!E36='Resultado Oficial'!G36),3,
IF(AND(E36&lt;G36,'Resultado Oficial'!E36&lt;'Resultado Oficial'!G36),3,0))))))))</f>
        <v>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6" t="s">
        <v>96</v>
      </c>
      <c r="LN36" s="70">
        <f>IF(OR(G53="",E53=""),0,IF(LO36=0,0,IF(G53&gt;E53,3,IF(G53=E53,1,0)))+IF(OR(G54="",E54=""),0,IF(G54&gt;E54,3,IF(G54=E54,1,0)))+IF(OR(G57="",E57=""),0,IF(E57&gt;G57,3,IF(E57=G57,1,0))))</f>
        <v>1</v>
      </c>
      <c r="LO36" s="71">
        <f>IF(AND(E53&lt;&gt;"",G53&lt;&gt;""),1,0)+IF(AND(E54&lt;&gt;"",G54&lt;&gt;""),1,0)+IF(AND(E57&lt;&gt;"",G57&lt;&gt;""),1,0)</f>
        <v>3</v>
      </c>
      <c r="LP36" s="71">
        <f>IF(OR(G53="",E53=""),0,IF(G53&gt;E53,1,0))+IF(OR(G54="",E54=""),0,IF(G54&gt;E54,1,0))+IF(OR(E57="",G57=""),0,IF(E57&gt;G57,1,0))</f>
        <v>0</v>
      </c>
      <c r="LQ36" s="71">
        <f>IF(OR(G53="",E53=""),0,IF(G53=E53,1,0))+IF(OR(G54="",E54=""),0,IF(G54=E54,1,0))+IF(OR(E57="",G57=""),0,IF(E57=G57,1,0))</f>
        <v>1</v>
      </c>
      <c r="LR36" s="71">
        <f>IF(OR(G53="",E53=""),0,IF(G53&lt;E53,1,0))+IF(OR(G54="",E54=""),0,IF(G54&lt;E54,1,0))+IF(OR(E57="",G57=""),0,IF(E57&lt;G57,1,0))</f>
        <v>2</v>
      </c>
      <c r="LS36" s="71">
        <f>G53+G54+E57</f>
        <v>1</v>
      </c>
      <c r="LT36" s="71">
        <f>E53+E54+G57</f>
        <v>5</v>
      </c>
      <c r="LU36" s="71">
        <f t="shared" si="36"/>
        <v>-4</v>
      </c>
      <c r="LV36" s="70">
        <f t="shared" si="37"/>
        <v>1</v>
      </c>
      <c r="LW36" s="70">
        <f t="shared" si="38"/>
        <v>-0.4</v>
      </c>
      <c r="LX36" s="70">
        <f t="shared" si="39"/>
        <v>0.01</v>
      </c>
      <c r="LY36" s="70">
        <f t="shared" si="40"/>
        <v>0.61</v>
      </c>
      <c r="LZ36" s="70">
        <f>IF(LY36=LY35,IF(G53&gt;E53,0.001,0),0)</f>
        <v>0</v>
      </c>
      <c r="MA36" s="70">
        <f>IF(LY36=LY37,IF(E57&gt;G57,0.001,0),0)</f>
        <v>0</v>
      </c>
      <c r="MB36" s="70">
        <f>IF(LY36=LY38,IF(G54&gt;E54,0.001,0),0)</f>
        <v>0</v>
      </c>
      <c r="MC36" s="70">
        <f t="shared" si="41"/>
        <v>0.61</v>
      </c>
      <c r="MD36" s="70">
        <f>RANK($MC$36,$MC$35:$MC$38,0)</f>
        <v>4</v>
      </c>
      <c r="ME36" s="70">
        <f>IF(OR(AND(MD35=MD36,MD35=MD37,MD35=MD38),AND(MD36=MD35,MD36=MD37),AND(MD36=MD35,MD36=MD38),MD36=MD35),MD36+1,MD36)</f>
        <v>4</v>
      </c>
      <c r="MF36" s="70">
        <v>2.0</v>
      </c>
      <c r="MG36" s="70">
        <f t="shared" si="42"/>
        <v>1</v>
      </c>
      <c r="MH36" s="70" t="str">
        <f t="shared" si="43"/>
        <v>Espanha</v>
      </c>
    </row>
    <row r="37" ht="12.75" customHeight="1">
      <c r="A37" s="102">
        <v>44887.0</v>
      </c>
      <c r="B37" s="103">
        <v>0.5416666666666666</v>
      </c>
      <c r="C37" s="90" t="s">
        <v>77</v>
      </c>
      <c r="D37" s="104"/>
      <c r="E37" s="105">
        <v>0.0</v>
      </c>
      <c r="F37" s="106" t="s">
        <v>72</v>
      </c>
      <c r="G37" s="107">
        <v>1.0</v>
      </c>
      <c r="H37" s="108"/>
      <c r="I37" s="96" t="s">
        <v>79</v>
      </c>
      <c r="J37" s="97" t="s">
        <v>97</v>
      </c>
      <c r="K37" s="109"/>
      <c r="L37" s="110"/>
      <c r="M37" s="111" t="s">
        <v>51</v>
      </c>
      <c r="N37" s="111" t="s">
        <v>52</v>
      </c>
      <c r="O37" s="111" t="s">
        <v>53</v>
      </c>
      <c r="P37" s="111" t="s">
        <v>54</v>
      </c>
      <c r="Q37" s="111" t="s">
        <v>55</v>
      </c>
      <c r="R37" s="111" t="s">
        <v>56</v>
      </c>
      <c r="S37" s="111" t="s">
        <v>57</v>
      </c>
      <c r="T37" s="112" t="s">
        <v>58</v>
      </c>
      <c r="U37" s="53"/>
      <c r="V37" s="50" t="str">
        <f>A35</f>
        <v>Primeira fase          GRUPO C</v>
      </c>
      <c r="W37" s="50"/>
      <c r="X37" s="218" t="s">
        <v>145</v>
      </c>
      <c r="Y37" s="53"/>
      <c r="Z37" s="236">
        <f>IF(OR(E37="",G37="",'Resultado Oficial'!E37="",'Resultado Oficial'!G37=""),"",
IF(AND(E37='Resultado Oficial'!E37,G37='Resultado Oficial'!G37),10,
IF(AND(E37=G37,'Resultado Oficial'!E37='Resultado Oficial'!G37,ABS((E37-'Resultado Oficial'!E37))=1),6,
IF(AND(E37&gt;G37,'Resultado Oficial'!E37&gt;'Resultado Oficial'!G37,((E37-'Resultado Oficial'!E37)=(G37-'Resultado Oficial'!G37))),6,
IF(AND(E37&lt;G37,'Resultado Oficial'!E37&lt;'Resultado Oficial'!G37,(('Resultado Oficial'!E37-E37)=('Resultado Oficial'!G37-G37))),6,
IF(AND(E37&gt;G37,'Resultado Oficial'!E37&gt;'Resultado Oficial'!G37),3,
IF(AND(E37=G37,'Resultado Oficial'!E37='Resultado Oficial'!G37),3,
IF(AND(E37&lt;G37,'Resultado Oficial'!E37&lt;'Resultado Oficial'!G37),3,0))))))))</f>
        <v>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6" t="s">
        <v>98</v>
      </c>
      <c r="LN37" s="70">
        <f>IF(OR(E52="",G52=""),0,IF(LO37=0,0,IF(E52&gt;G52,3,IF(E52=G52,1,0)))+IF(OR(G55="",E55=""),0,IF(G55&gt;E55,3,IF(G55=E55,1,0)))+IF(OR(G57="",E57=""),0,IF(G57&gt;E57,3,IF(E57=G57,1,0))))</f>
        <v>7</v>
      </c>
      <c r="LO37" s="71">
        <f>IF(AND(E52&lt;&gt;"",G52&lt;&gt;""),1,0)+IF(AND(E55&lt;&gt;"",G55&lt;&gt;""),1,0)+IF(AND(E57&lt;&gt;"",G57&lt;&gt;""),1,0)</f>
        <v>3</v>
      </c>
      <c r="LP37" s="71">
        <f>IF(OR(E52="",G52=""),0,IF(E52&gt;G52,1,0))+IF(OR(G55="",E55=""),0,IF(G55&gt;E55,1,0))+IF(OR(G57="",E57=""),0,IF(G57&gt;E57,1,0))</f>
        <v>2</v>
      </c>
      <c r="LQ37" s="71">
        <f>IF(OR(E52="",G52=""),0,IF(E52=G52,1,0))+IF(OR(G55="",E55=""),0,IF(G55=E55,1,0))+IF(OR(G57="",E57=""),0,IF(G57=E57,1,0))</f>
        <v>1</v>
      </c>
      <c r="LR37" s="71">
        <f>IF(OR(E52="",G52=""),0,IF(E52&lt;G52,1,0))+IF(OR(G55="",E55=""),0,IF(G55&lt;E55,1,0))+IF(OR(G57="",E57=""),0,IF(G57&lt;E57,1,0))</f>
        <v>0</v>
      </c>
      <c r="LS37" s="71">
        <f>E52+G55+G57</f>
        <v>4</v>
      </c>
      <c r="LT37" s="71">
        <f>G52+E55+E57</f>
        <v>0</v>
      </c>
      <c r="LU37" s="71">
        <f t="shared" si="36"/>
        <v>4</v>
      </c>
      <c r="LV37" s="70">
        <f t="shared" si="37"/>
        <v>7</v>
      </c>
      <c r="LW37" s="70">
        <f t="shared" si="38"/>
        <v>0.4</v>
      </c>
      <c r="LX37" s="70">
        <f t="shared" si="39"/>
        <v>0.04</v>
      </c>
      <c r="LY37" s="70">
        <f t="shared" si="40"/>
        <v>7.44</v>
      </c>
      <c r="LZ37" s="70">
        <f>IF(LY37=LY35,IF(G55&gt;E55,0.001,0),0)</f>
        <v>0</v>
      </c>
      <c r="MA37" s="70">
        <f>IF(LY37=LY36,IF(G57&gt;E57,0.001,0),0)</f>
        <v>0</v>
      </c>
      <c r="MB37" s="70">
        <f>IF(LY37=LY38,IF(E52&gt;G52,0.001,0),0)</f>
        <v>0</v>
      </c>
      <c r="MC37" s="70">
        <f t="shared" si="41"/>
        <v>7.44</v>
      </c>
      <c r="MD37" s="70">
        <f>RANK($MC$37,$MC$35:$MC$38,0)</f>
        <v>1</v>
      </c>
      <c r="ME37" s="70">
        <f>IF(OR(AND(MD35=MD36,MD35=MD37,MD35=MD38),AND(MD37=MD35,MD37=MD36)),MD37+2,IF(OR(AND(MD37=MD36,MD37=MD38),MD37=MD35,MD37=MD36),MD37+1,MD37))</f>
        <v>1</v>
      </c>
      <c r="MF37" s="70">
        <v>3.0</v>
      </c>
      <c r="MG37" s="70">
        <f t="shared" si="42"/>
        <v>4</v>
      </c>
      <c r="MH37" s="70" t="str">
        <f t="shared" si="43"/>
        <v>Japão</v>
      </c>
    </row>
    <row r="38" ht="12.75" customHeight="1">
      <c r="A38" s="102">
        <v>44891.0</v>
      </c>
      <c r="B38" s="103">
        <v>0.4166666666666667</v>
      </c>
      <c r="C38" s="90" t="s">
        <v>79</v>
      </c>
      <c r="D38" s="113"/>
      <c r="E38" s="114">
        <v>2.0</v>
      </c>
      <c r="F38" s="115" t="s">
        <v>72</v>
      </c>
      <c r="G38" s="116">
        <v>0.0</v>
      </c>
      <c r="H38" s="117"/>
      <c r="I38" s="96" t="s">
        <v>75</v>
      </c>
      <c r="J38" s="97" t="s">
        <v>99</v>
      </c>
      <c r="K38" s="109"/>
      <c r="L38" s="118" t="str">
        <f>Mothci!MH19</f>
        <v>Argentina</v>
      </c>
      <c r="M38" s="119">
        <f>VLOOKUP(L38,Mothci!$LM$19:$LU$22,2,FALSE)</f>
        <v>7</v>
      </c>
      <c r="N38" s="120">
        <f>VLOOKUP(L38,Mothci!$LM$19:$LU$22,3,FALSE)</f>
        <v>3</v>
      </c>
      <c r="O38" s="120">
        <f>VLOOKUP(L38,Mothci!$LM$19:$LU$22,4,FALSE)</f>
        <v>2</v>
      </c>
      <c r="P38" s="120">
        <f>VLOOKUP(L38,Mothci!$LM$19:$LU$22,5,FALSE)</f>
        <v>1</v>
      </c>
      <c r="Q38" s="120">
        <f>VLOOKUP(L38,Mothci!$LM$19:$LU$22,6,FALSE)</f>
        <v>0</v>
      </c>
      <c r="R38" s="120">
        <f>VLOOKUP(L38,Mothci!$LM$19:$LU$22,7,FALSE)</f>
        <v>4</v>
      </c>
      <c r="S38" s="120">
        <f>VLOOKUP(L38,Mothci!$LM$19:$LU$22,8,FALSE)</f>
        <v>1</v>
      </c>
      <c r="T38" s="121">
        <f>VLOOKUP(L38,Mothci!$LM$19:$LU$22,9,FALSE)</f>
        <v>3</v>
      </c>
      <c r="U38" s="53"/>
      <c r="V38" s="59" t="s">
        <v>78</v>
      </c>
      <c r="W38" s="122" t="str">
        <f t="shared" ref="W38:W39" si="44">IF(N38&lt;&gt;3,"",L38)</f>
        <v>Argentina</v>
      </c>
      <c r="X38" s="236">
        <f>IF(AND(W38&lt;&gt;"",'Resultado Oficial'!W38&lt;&gt;"",'Resultado Oficial'!W39&lt;&gt;""),IF(W38='Resultado Oficial'!W38,5,IF(W38='Resultado Oficial'!W39,2,0)),"")</f>
        <v>5</v>
      </c>
      <c r="Y38" s="53"/>
      <c r="Z38" s="236">
        <f>IF(OR(E38="",G38="",'Resultado Oficial'!E38="",'Resultado Oficial'!G38=""),"",
IF(AND(E38='Resultado Oficial'!E38,G38='Resultado Oficial'!G38),10,
IF(AND(E38=G38,'Resultado Oficial'!E38='Resultado Oficial'!G38,ABS((E38-'Resultado Oficial'!E38))=1),6,
IF(AND(E38&gt;G38,'Resultado Oficial'!E38&gt;'Resultado Oficial'!G38,((E38-'Resultado Oficial'!E38)=(G38-'Resultado Oficial'!G38))),6,
IF(AND(E38&lt;G38,'Resultado Oficial'!E38&lt;'Resultado Oficial'!G38,(('Resultado Oficial'!E38-E38)=('Resultado Oficial'!G38-G38))),6,
IF(AND(E38&gt;G38,'Resultado Oficial'!E38&gt;'Resultado Oficial'!G38),3,
IF(AND(E38=G38,'Resultado Oficial'!E38='Resultado Oficial'!G38),3,
IF(AND(E38&lt;G38,'Resultado Oficial'!E38&lt;'Resultado Oficial'!G38),3,0))))))))</f>
        <v>10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6" t="s">
        <v>100</v>
      </c>
      <c r="LN38" s="70">
        <f>IF(OR(G52="",E52=""),0,IF(LO38=0,0,IF(G52&gt;E52,3,IF(G54=E54,1,0)))+IF(OR(E54="",G54=""),0,IF(E54&gt;G54,3,IF(E54=G54,1,0)))+IF(OR(E56="",G56=""),0,IF(E56&gt;G56,3,IF(E56=G56,1,0))))</f>
        <v>3</v>
      </c>
      <c r="LO38" s="71">
        <f>IF(AND(E52&lt;&gt;"",G52&lt;&gt;""),1,0)+IF(AND(E54&lt;&gt;"",G54&lt;&gt;""),1,0)+IF(AND(E56&lt;&gt;"",G56&lt;&gt;""),1,0)</f>
        <v>3</v>
      </c>
      <c r="LP38" s="71">
        <f>IF(OR(G52="",E52=""),0,IF(G52&gt;E52,1,0))+IF(OR(E54="",G54=""),0,IF(E54&gt;G54,1,0))+IF(OR(E56="",G56=""),0,IF(E56&gt;G56,1,0))</f>
        <v>0</v>
      </c>
      <c r="LQ38" s="71">
        <f>IF(OR(G52="",E52=""),0,IF(G52=E52,1,0))+IF(OR(E54="",G54=""),0,IF(E54=G54,1,0))+IF(OR(E56="",G56=""),0,IF(E56=G56,1,0))</f>
        <v>2</v>
      </c>
      <c r="LR38" s="71">
        <f>IF(OR(G52="",E52=""),0,IF(G52&lt;E52,1,0))+IF(OR(E54="",G54=""),0,IF(E54&lt;G54,1,0))+IF(OR(E56="",G56=""),0,IF(E56&lt;G56,1,0))</f>
        <v>1</v>
      </c>
      <c r="LS38" s="71">
        <f>G52+E54+E56</f>
        <v>2</v>
      </c>
      <c r="LT38" s="71">
        <f>E52+G54+G56</f>
        <v>4</v>
      </c>
      <c r="LU38" s="71">
        <f t="shared" si="36"/>
        <v>-2</v>
      </c>
      <c r="LV38" s="70">
        <f t="shared" si="37"/>
        <v>3</v>
      </c>
      <c r="LW38" s="70">
        <f t="shared" si="38"/>
        <v>-0.2</v>
      </c>
      <c r="LX38" s="70">
        <f t="shared" si="39"/>
        <v>0.02</v>
      </c>
      <c r="LY38" s="70">
        <f t="shared" si="40"/>
        <v>2.82</v>
      </c>
      <c r="LZ38" s="70">
        <f>IF(LY38=LY35,IF(E56&gt;G56,0.001,0),0)</f>
        <v>0</v>
      </c>
      <c r="MA38" s="70">
        <f>IF(LY38=LY36,IF(E54&gt;G54,0.001,0),0)</f>
        <v>0</v>
      </c>
      <c r="MB38" s="70">
        <f>IF(LY38=LY37,IF(G52&gt;E52,0.001,0),0)</f>
        <v>0</v>
      </c>
      <c r="MC38" s="70">
        <f t="shared" si="41"/>
        <v>2.82</v>
      </c>
      <c r="MD38" s="70">
        <f>RANK($MC$38,$MC$35:$MC$38,0)</f>
        <v>3</v>
      </c>
      <c r="ME38" s="70">
        <f>IF(AND(MD35=MD36,MD35=MD37,MD35=MD38),MD38+3,IF(OR(AND(MD38=MD37,MD38=MD36),AND(MD38=MD36,MD38=MD35)),MD38+2,IF(OR(MD38=MD37,MD38=MD36,MD38=MD35),MD38+1,MD38)))</f>
        <v>3</v>
      </c>
      <c r="MF38" s="70">
        <v>4.0</v>
      </c>
      <c r="MG38" s="70">
        <f t="shared" si="42"/>
        <v>2</v>
      </c>
      <c r="MH38" s="70" t="str">
        <f t="shared" si="43"/>
        <v>Costa Rica</v>
      </c>
    </row>
    <row r="39" ht="12.75" customHeight="1">
      <c r="A39" s="102">
        <v>44891.0</v>
      </c>
      <c r="B39" s="103">
        <v>0.6666666666666666</v>
      </c>
      <c r="C39" s="90" t="s">
        <v>71</v>
      </c>
      <c r="D39" s="104"/>
      <c r="E39" s="105">
        <v>1.0</v>
      </c>
      <c r="F39" s="106" t="s">
        <v>72</v>
      </c>
      <c r="G39" s="107">
        <v>0.0</v>
      </c>
      <c r="H39" s="108"/>
      <c r="I39" s="96" t="s">
        <v>77</v>
      </c>
      <c r="J39" s="97" t="s">
        <v>94</v>
      </c>
      <c r="K39" s="109"/>
      <c r="L39" s="118" t="str">
        <f>Mothci!MH20</f>
        <v>Polônia</v>
      </c>
      <c r="M39" s="119">
        <f>VLOOKUP(L39,Mothci!$LM$19:$LU$22,2,FALSE)</f>
        <v>7</v>
      </c>
      <c r="N39" s="120">
        <f>VLOOKUP(L39,Mothci!$LM$19:$LU$22,3,FALSE)</f>
        <v>3</v>
      </c>
      <c r="O39" s="120">
        <f>VLOOKUP(L39,Mothci!$LM$19:$LU$22,4,FALSE)</f>
        <v>1</v>
      </c>
      <c r="P39" s="120">
        <f>VLOOKUP(L39,Mothci!$LM$19:$LU$22,5,FALSE)</f>
        <v>1</v>
      </c>
      <c r="Q39" s="120">
        <f>VLOOKUP(L39,Mothci!$LM$19:$LU$22,6,FALSE)</f>
        <v>0</v>
      </c>
      <c r="R39" s="120">
        <f>VLOOKUP(L39,Mothci!$LM$19:$LU$22,7,FALSE)</f>
        <v>4</v>
      </c>
      <c r="S39" s="120">
        <f>VLOOKUP(L39,Mothci!$LM$19:$LU$22,8,FALSE)</f>
        <v>1</v>
      </c>
      <c r="T39" s="121">
        <f>VLOOKUP(L39,Mothci!$LM$19:$LU$22,9,FALSE)</f>
        <v>3</v>
      </c>
      <c r="U39" s="53"/>
      <c r="V39" s="59" t="s">
        <v>81</v>
      </c>
      <c r="W39" s="122" t="str">
        <f t="shared" si="44"/>
        <v>Polônia</v>
      </c>
      <c r="X39" s="236">
        <f>IF(AND(W39&lt;&gt;"",'Resultado Oficial'!W38&lt;&gt;"",'Resultado Oficial'!W39&lt;&gt;""),IF(W39='Resultado Oficial'!W39,5,IF(W39='Resultado Oficial'!W38,2,0)),"")</f>
        <v>5</v>
      </c>
      <c r="Y39" s="53"/>
      <c r="Z39" s="236">
        <f>IF(OR(E39="",G39="",'Resultado Oficial'!E39="",'Resultado Oficial'!G39=""),"",
IF(AND(E39='Resultado Oficial'!E39,G39='Resultado Oficial'!G39),10,
IF(AND(E39=G39,'Resultado Oficial'!E39='Resultado Oficial'!G39,ABS((E39-'Resultado Oficial'!E39))=1),6,
IF(AND(E39&gt;G39,'Resultado Oficial'!E39&gt;'Resultado Oficial'!G39,((E39-'Resultado Oficial'!E39)=(G39-'Resultado Oficial'!G39))),6,
IF(AND(E39&lt;G39,'Resultado Oficial'!E39&lt;'Resultado Oficial'!G39,(('Resultado Oficial'!E39-E39)=('Resultado Oficial'!G39-G39))),6,
IF(AND(E39&gt;G39,'Resultado Oficial'!E39&gt;'Resultado Oficial'!G39),3,
IF(AND(E39=G39,'Resultado Oficial'!E39='Resultado Oficial'!G39),3,
IF(AND(E39&lt;G39,'Resultado Oficial'!E39&lt;'Resultado Oficial'!G39),3,0))))))))</f>
        <v>3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6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</row>
    <row r="40" ht="12.75" customHeight="1">
      <c r="A40" s="102">
        <v>44895.0</v>
      </c>
      <c r="B40" s="103">
        <v>0.6666666666666666</v>
      </c>
      <c r="C40" s="90" t="s">
        <v>79</v>
      </c>
      <c r="D40" s="104"/>
      <c r="E40" s="105">
        <v>1.0</v>
      </c>
      <c r="F40" s="106" t="s">
        <v>72</v>
      </c>
      <c r="G40" s="107">
        <v>1.0</v>
      </c>
      <c r="H40" s="108"/>
      <c r="I40" s="96" t="s">
        <v>71</v>
      </c>
      <c r="J40" s="97" t="s">
        <v>97</v>
      </c>
      <c r="K40" s="109"/>
      <c r="L40" s="118" t="str">
        <f>Mothci!MH21</f>
        <v>México</v>
      </c>
      <c r="M40" s="119">
        <f>VLOOKUP(L40,Mothci!$LM$19:$LU$22,2,FALSE)</f>
        <v>3</v>
      </c>
      <c r="N40" s="120">
        <f>VLOOKUP(L40,Mothci!$LM$19:$LU$22,3,FALSE)</f>
        <v>3</v>
      </c>
      <c r="O40" s="120">
        <f>VLOOKUP(L40,Mothci!$LM$19:$LU$22,4,FALSE)</f>
        <v>1</v>
      </c>
      <c r="P40" s="120">
        <f>VLOOKUP(L40,Mothci!$LM$19:$LU$22,5,FALSE)</f>
        <v>0</v>
      </c>
      <c r="Q40" s="120">
        <f>VLOOKUP(L40,Mothci!$LM$19:$LU$22,6,FALSE)</f>
        <v>2</v>
      </c>
      <c r="R40" s="120">
        <f>VLOOKUP(L40,Mothci!$LM$19:$LU$22,7,FALSE)</f>
        <v>2</v>
      </c>
      <c r="S40" s="120">
        <f>VLOOKUP(L40,Mothci!$LM$19:$LU$22,8,FALSE)</f>
        <v>3</v>
      </c>
      <c r="T40" s="121">
        <f>VLOOKUP(L40,Mothci!$LM$19:$LU$22,9,FALSE)</f>
        <v>-1</v>
      </c>
      <c r="U40" s="53"/>
      <c r="V40" s="53"/>
      <c r="W40" s="53"/>
      <c r="X40" s="218"/>
      <c r="Y40" s="53"/>
      <c r="Z40" s="236">
        <f>IF(OR(E40="",G40="",'Resultado Oficial'!E40="",'Resultado Oficial'!G40=""),"",
IF(AND(E40='Resultado Oficial'!E40,G40='Resultado Oficial'!G40),10,
IF(AND(E40=G40,'Resultado Oficial'!E40='Resultado Oficial'!G40,ABS((E40-'Resultado Oficial'!E40))=1),6,
IF(AND(E40&gt;G40,'Resultado Oficial'!E40&gt;'Resultado Oficial'!G40,((E40-'Resultado Oficial'!E40)=(G40-'Resultado Oficial'!G40))),6,
IF(AND(E40&lt;G40,'Resultado Oficial'!E40&lt;'Resultado Oficial'!G40,(('Resultado Oficial'!E40-E40)=('Resultado Oficial'!G40-G40))),6,
IF(AND(E40&gt;G40,'Resultado Oficial'!E40&gt;'Resultado Oficial'!G40),3,
IF(AND(E40=G40,'Resultado Oficial'!E40='Resultado Oficial'!G40),3,
IF(AND(E40&lt;G40,'Resultado Oficial'!E40&lt;'Resultado Oficial'!G40),3,0))))))))</f>
        <v>0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6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</row>
    <row r="41" ht="12.75" customHeight="1">
      <c r="A41" s="102">
        <v>44895.0</v>
      </c>
      <c r="B41" s="103">
        <v>0.6666666666666666</v>
      </c>
      <c r="C41" s="90" t="s">
        <v>75</v>
      </c>
      <c r="D41" s="104"/>
      <c r="E41" s="105">
        <v>1.0</v>
      </c>
      <c r="F41" s="106" t="s">
        <v>72</v>
      </c>
      <c r="G41" s="107">
        <v>2.0</v>
      </c>
      <c r="H41" s="108"/>
      <c r="I41" s="96" t="s">
        <v>77</v>
      </c>
      <c r="J41" s="97" t="s">
        <v>94</v>
      </c>
      <c r="K41" s="123"/>
      <c r="L41" s="124" t="str">
        <f>Mothci!MH22</f>
        <v>Arábia Saudita</v>
      </c>
      <c r="M41" s="125">
        <f>VLOOKUP(L41,Mothci!$LM$19:$LU$22,2,FALSE)</f>
        <v>0</v>
      </c>
      <c r="N41" s="126">
        <f>VLOOKUP(L41,Mothci!$LM$19:$LU$22,3,FALSE)</f>
        <v>3</v>
      </c>
      <c r="O41" s="126">
        <f>VLOOKUP(L41,Mothci!$LM$19:$LU$22,4,FALSE)</f>
        <v>0</v>
      </c>
      <c r="P41" s="126">
        <f>VLOOKUP(L41,Mothci!$LM$19:$LU$22,5,FALSE)</f>
        <v>0</v>
      </c>
      <c r="Q41" s="126">
        <f>VLOOKUP(L41,Mothci!$LM$19:$LU$22,6,FALSE)</f>
        <v>3</v>
      </c>
      <c r="R41" s="126">
        <f>VLOOKUP(L41,Mothci!$LM$19:$LU$22,7,FALSE)</f>
        <v>1</v>
      </c>
      <c r="S41" s="126">
        <f>VLOOKUP(L41,Mothci!$LM$19:$LU$22,8,FALSE)</f>
        <v>6</v>
      </c>
      <c r="T41" s="127">
        <f>VLOOKUP(L41,Mothci!$LM$19:$LU$22,9,FALSE)</f>
        <v>-5</v>
      </c>
      <c r="U41" s="53"/>
      <c r="V41" s="53"/>
      <c r="W41" s="53"/>
      <c r="X41" s="218"/>
      <c r="Y41" s="53"/>
      <c r="Z41" s="236">
        <f>IF(OR(E41="",G41="",'Resultado Oficial'!E41="",'Resultado Oficial'!G41=""),"",
IF(AND(E41='Resultado Oficial'!E41,G41='Resultado Oficial'!G41),10,
IF(AND(E41=G41,'Resultado Oficial'!E41='Resultado Oficial'!G41,ABS((E41-'Resultado Oficial'!E41))=1),6,
IF(AND(E41&gt;G41,'Resultado Oficial'!E41&gt;'Resultado Oficial'!G41,((E41-'Resultado Oficial'!E41)=(G41-'Resultado Oficial'!G41))),6,
IF(AND(E41&lt;G41,'Resultado Oficial'!E41&lt;'Resultado Oficial'!G41,(('Resultado Oficial'!E41-E41)=('Resultado Oficial'!G41-G41))),6,
IF(AND(E41&gt;G41,'Resultado Oficial'!E41&gt;'Resultado Oficial'!G41),3,
IF(AND(E41=G41,'Resultado Oficial'!E41='Resultado Oficial'!G41),3,
IF(AND(E41&lt;G41,'Resultado Oficial'!E41&lt;'Resultado Oficial'!G41),3,0))))))))</f>
        <v>10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6"/>
      <c r="LN41" s="57" t="s">
        <v>101</v>
      </c>
      <c r="LO41" s="57"/>
      <c r="LP41" s="57"/>
      <c r="LQ41" s="57"/>
      <c r="LR41" s="57"/>
      <c r="LS41" s="57"/>
      <c r="LT41" s="57"/>
      <c r="LU41" s="57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</row>
    <row r="42" ht="12.75" customHeight="1">
      <c r="A42" s="128"/>
      <c r="B42" s="129"/>
      <c r="C42" s="143"/>
      <c r="D42" s="53"/>
      <c r="E42" s="144"/>
      <c r="F42" s="144"/>
      <c r="G42" s="144"/>
      <c r="H42" s="144"/>
      <c r="I42" s="52"/>
      <c r="J42" s="54"/>
      <c r="K42" s="55"/>
      <c r="L42" s="131"/>
      <c r="M42" s="134"/>
      <c r="N42" s="134"/>
      <c r="O42" s="134"/>
      <c r="P42" s="134"/>
      <c r="Q42" s="134"/>
      <c r="R42" s="134"/>
      <c r="S42" s="134"/>
      <c r="T42" s="134"/>
      <c r="U42" s="53"/>
      <c r="V42" s="53"/>
      <c r="W42" s="53"/>
      <c r="X42" s="218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69" t="s">
        <v>50</v>
      </c>
      <c r="LN42" s="70" t="s">
        <v>51</v>
      </c>
      <c r="LO42" s="71" t="s">
        <v>52</v>
      </c>
      <c r="LP42" s="71" t="s">
        <v>53</v>
      </c>
      <c r="LQ42" s="71">
        <f>IF(OR(E59="",G59=""),0,IF(E59=G59,1,0))+IF(OR(E61="",G61=""),0,IF(E61=G61,1,0))+IF(OR(G63="",E63=""),0,IF(G63=E63,1,0))</f>
        <v>0</v>
      </c>
      <c r="LR42" s="71" t="s">
        <v>55</v>
      </c>
      <c r="LS42" s="71" t="s">
        <v>56</v>
      </c>
      <c r="LT42" s="71" t="s">
        <v>57</v>
      </c>
      <c r="LU42" s="71" t="s">
        <v>58</v>
      </c>
      <c r="LV42" s="72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</row>
    <row r="43" ht="12.75" customHeight="1">
      <c r="A43" s="135" t="s">
        <v>102</v>
      </c>
      <c r="B43" s="136"/>
      <c r="C43" s="136"/>
      <c r="D43" s="85"/>
      <c r="E43" s="137"/>
      <c r="F43" s="138"/>
      <c r="G43" s="138"/>
      <c r="H43" s="85"/>
      <c r="I43" s="139"/>
      <c r="J43" s="140"/>
      <c r="K43" s="82"/>
      <c r="L43" s="83"/>
      <c r="M43" s="84"/>
      <c r="N43" s="84"/>
      <c r="O43" s="84"/>
      <c r="P43" s="84"/>
      <c r="Q43" s="85"/>
      <c r="R43" s="86"/>
      <c r="S43" s="86"/>
      <c r="T43" s="87"/>
      <c r="U43" s="53"/>
      <c r="V43" s="53"/>
      <c r="W43" s="53"/>
      <c r="X43" s="21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6" t="s">
        <v>103</v>
      </c>
      <c r="LN43" s="70">
        <f>IF(OR(E61="",G61=""),0,IF(LO43=0,0,IF(E61&gt;G61,3,IF(E61=G61,1,0)))+IF(OR(E62="",G62=""),0,IF(E62&gt;G62,3,IF(E62=G62,1,0)))+IF(OR(G64="",E64=""),0,IF(G64&gt;E64,3,IF(G64=E64,1,0))))</f>
        <v>7</v>
      </c>
      <c r="LO43" s="71">
        <f>IF(AND(E61&lt;&gt;"",G61&lt;&gt;""),1,0)+IF(AND(E62&lt;&gt;"",G62&lt;&gt;""),1,0)+IF(AND(E64&lt;&gt;"",G64&lt;&gt;""),1,0)</f>
        <v>3</v>
      </c>
      <c r="LP43" s="71">
        <f>IF(OR(E61="",G61=""),0,IF(E61&gt;G61,1,0))+IF(OR(E62="",G62=""),0,IF(E62&gt;G62,1,0))+IF(OR(G64="",E64=""),0,IF(G64&gt;E64,1,0))</f>
        <v>2</v>
      </c>
      <c r="LQ43" s="71">
        <f>IF(OR(E61="",G61=""),0,IF(E61=G61,1,0))+IF(OR(E62="",G62=""),0,IF(E62=G62,1,0))+IF(OR(G64="",E64=""),0,IF(G64=E64,1,0))</f>
        <v>1</v>
      </c>
      <c r="LR43" s="71">
        <f>IF(OR(E61="",G61=""),0,IF(E61&lt;G61,1,0))+IF(OR(E62="",G62=""),0,IF(E62&lt;G62,1,0))+IF(OR(G64="",E64=""),0,IF(G64&lt;E64,1,0))</f>
        <v>0</v>
      </c>
      <c r="LS43" s="71">
        <f>E61+E62+G64</f>
        <v>3</v>
      </c>
      <c r="LT43" s="71">
        <f>G61+G62+E64</f>
        <v>0</v>
      </c>
      <c r="LU43" s="71">
        <f t="shared" ref="LU43:LU46" si="45">LS43-LT43</f>
        <v>3</v>
      </c>
      <c r="LV43" s="70">
        <f t="shared" ref="LV43:LV46" si="46">LN43</f>
        <v>7</v>
      </c>
      <c r="LW43" s="70">
        <f t="shared" ref="LW43:LW46" si="47">LU43/10</f>
        <v>0.3</v>
      </c>
      <c r="LX43" s="70">
        <f t="shared" ref="LX43:LX46" si="48">LS43/100</f>
        <v>0.03</v>
      </c>
      <c r="LY43" s="70">
        <f t="shared" ref="LY43:LY46" si="49">SUM(LV43:LX43)</f>
        <v>7.33</v>
      </c>
      <c r="LZ43" s="70">
        <f>IF(LY43=LY44,IF(E61&gt;G61,0.001,0),0)</f>
        <v>0</v>
      </c>
      <c r="MA43" s="70">
        <f>IF(LY43=LY45,IF(E62&gt;G62,0.001,0),0)</f>
        <v>0</v>
      </c>
      <c r="MB43" s="70">
        <f>IF(LY43=LY46,IF(G64&gt;E64,0.001,0),0)</f>
        <v>0</v>
      </c>
      <c r="MC43" s="70">
        <f t="shared" ref="MC43:MC46" si="50">SUM(LY43:MB43)</f>
        <v>7.33</v>
      </c>
      <c r="MD43" s="70">
        <f>RANK($MC$43,$MC$43:$MC$46,0)</f>
        <v>1</v>
      </c>
      <c r="ME43" s="70">
        <f>MD43</f>
        <v>1</v>
      </c>
      <c r="MF43" s="70">
        <v>1.0</v>
      </c>
      <c r="MG43" s="70">
        <f t="shared" ref="MG43:MG46" si="51">MATCH(MF43,$ME$43:$ME$46,0)</f>
        <v>1</v>
      </c>
      <c r="MH43" s="70" t="str">
        <f t="shared" ref="MH43:MH46" si="52">INDEX($LM$43:$LM$46,MG43)</f>
        <v>Bélgica</v>
      </c>
    </row>
    <row r="44" ht="12.75" customHeight="1">
      <c r="A44" s="102">
        <v>44887.0</v>
      </c>
      <c r="B44" s="103">
        <v>0.4166666666666667</v>
      </c>
      <c r="C44" s="90" t="s">
        <v>89</v>
      </c>
      <c r="D44" s="113"/>
      <c r="E44" s="105">
        <v>2.0</v>
      </c>
      <c r="F44" s="106" t="s">
        <v>72</v>
      </c>
      <c r="G44" s="107">
        <v>0.0</v>
      </c>
      <c r="H44" s="108"/>
      <c r="I44" s="96" t="s">
        <v>90</v>
      </c>
      <c r="J44" s="97" t="s">
        <v>99</v>
      </c>
      <c r="K44" s="98"/>
      <c r="L44" s="99" t="s">
        <v>104</v>
      </c>
      <c r="M44" s="100"/>
      <c r="N44" s="100"/>
      <c r="O44" s="100"/>
      <c r="P44" s="100"/>
      <c r="Q44" s="100"/>
      <c r="R44" s="100"/>
      <c r="S44" s="100"/>
      <c r="T44" s="101"/>
      <c r="U44" s="53"/>
      <c r="V44" s="53"/>
      <c r="W44" s="53"/>
      <c r="X44" s="218"/>
      <c r="Y44" s="53"/>
      <c r="Z44" s="236">
        <f>IF(OR(E44="",G44="",'Resultado Oficial'!E44="",'Resultado Oficial'!G44=""),"",
IF(AND(E44='Resultado Oficial'!E44,G44='Resultado Oficial'!G44),10,
IF(AND(E44=G44,'Resultado Oficial'!E44='Resultado Oficial'!G44,ABS((E44-'Resultado Oficial'!E44))=1),6,
IF(AND(E44&gt;G44,'Resultado Oficial'!E44&gt;'Resultado Oficial'!G44,((E44-'Resultado Oficial'!E44)=(G44-'Resultado Oficial'!G44))),6,
IF(AND(E44&lt;G44,'Resultado Oficial'!E44&lt;'Resultado Oficial'!G44,(('Resultado Oficial'!E44-E44)=('Resultado Oficial'!G44-G44))),6,
IF(AND(E44&gt;G44,'Resultado Oficial'!E44&gt;'Resultado Oficial'!G44),3,
IF(AND(E44=G44,'Resultado Oficial'!E44='Resultado Oficial'!G44),3,
IF(AND(E44&lt;G44,'Resultado Oficial'!E44&lt;'Resultado Oficial'!G44),3,0))))))))</f>
        <v>0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6" t="s">
        <v>105</v>
      </c>
      <c r="LN44" s="70">
        <f>IF(OR(G61="",E61=""),0,IF(LO44=0,0,IF(G61&gt;E61,3,IF(G61=E61,1,0)))+IF(OR(G63="",E63=""),0,IF(G63&gt;E63,3,IF(G63=E63,1,0)))+IF(OR(G65="",E65=""),0,IF(E65&gt;G65,3,IF(E65=G65,1,0))))</f>
        <v>1</v>
      </c>
      <c r="LO44" s="71">
        <f>IF(AND(E61&lt;&gt;"",G61&lt;&gt;""),1,0)+IF(AND(E63&lt;&gt;"",G63&lt;&gt;""),1,0)+IF(AND(E65&lt;&gt;"",G65&lt;&gt;""),1,0)</f>
        <v>3</v>
      </c>
      <c r="LP44" s="71">
        <f>IF(OR(G61="",E61=""),0,IF(G61&gt;E61,1,0))+IF(OR(G63="",E63=""),0,IF(G63&gt;E63,1,0))+IF(OR(E65="",G65=""),0,IF(E65&gt;G65,1,0))</f>
        <v>0</v>
      </c>
      <c r="LQ44" s="71">
        <f>IF(OR(G61="",E61=""),0,IF(G61=E61,1,0))+IF(OR(G63="",E63=""),0,IF(G63=E63,1,0))+IF(OR(E65="",G65=""),0,IF(E65=G65,1,0))</f>
        <v>1</v>
      </c>
      <c r="LR44" s="71">
        <f>IF(OR(G61="",E61=""),0,IF(G61&lt;E61,1,0))+IF(OR(G63="",E63=""),0,IF(G63&lt;E63,1,0))+IF(OR(E65="",G65=""),0,IF(E65&lt;G65,1,0))</f>
        <v>2</v>
      </c>
      <c r="LS44" s="71">
        <f>G61+G63+E65</f>
        <v>0</v>
      </c>
      <c r="LT44" s="71">
        <f>E61+E63+G65</f>
        <v>4</v>
      </c>
      <c r="LU44" s="71">
        <f t="shared" si="45"/>
        <v>-4</v>
      </c>
      <c r="LV44" s="70">
        <f t="shared" si="46"/>
        <v>1</v>
      </c>
      <c r="LW44" s="70">
        <f t="shared" si="47"/>
        <v>-0.4</v>
      </c>
      <c r="LX44" s="70">
        <f t="shared" si="48"/>
        <v>0</v>
      </c>
      <c r="LY44" s="70">
        <f t="shared" si="49"/>
        <v>0.6</v>
      </c>
      <c r="LZ44" s="70">
        <f>IF(LY44=LY43,IF(G61&gt;E61,0.001,0),0)</f>
        <v>0</v>
      </c>
      <c r="MA44" s="70">
        <f>IF(LY44=LY45,IF(E65&gt;G65,0.001,0),0)</f>
        <v>0</v>
      </c>
      <c r="MB44" s="70">
        <f>IF(LY44=LY46,IF(G63&gt;E63,0.001,0),0)</f>
        <v>0</v>
      </c>
      <c r="MC44" s="70">
        <f t="shared" si="50"/>
        <v>0.6</v>
      </c>
      <c r="MD44" s="70">
        <f>RANK($MC$44,$MC$43:$MC$46,0)</f>
        <v>4</v>
      </c>
      <c r="ME44" s="70">
        <f>IF(OR(AND(MD43=MD44,MD43=MD45,MD43=MD46),AND(MD44=MD43,MD44=MD45),AND(MD44=MD43,MD44=MD46),MD44=MD43),MD44+1,MD44)</f>
        <v>4</v>
      </c>
      <c r="MF44" s="70">
        <v>2.0</v>
      </c>
      <c r="MG44" s="70">
        <f t="shared" si="51"/>
        <v>4</v>
      </c>
      <c r="MH44" s="70" t="str">
        <f t="shared" si="52"/>
        <v>Croácia</v>
      </c>
    </row>
    <row r="45" ht="12.75" customHeight="1">
      <c r="A45" s="102">
        <v>44887.0</v>
      </c>
      <c r="B45" s="103">
        <v>0.6666666666666666</v>
      </c>
      <c r="C45" s="90" t="s">
        <v>85</v>
      </c>
      <c r="D45" s="104"/>
      <c r="E45" s="105">
        <v>2.0</v>
      </c>
      <c r="F45" s="106" t="s">
        <v>72</v>
      </c>
      <c r="G45" s="107">
        <v>0.0</v>
      </c>
      <c r="H45" s="108"/>
      <c r="I45" s="96" t="s">
        <v>87</v>
      </c>
      <c r="J45" s="97" t="s">
        <v>106</v>
      </c>
      <c r="K45" s="109"/>
      <c r="L45" s="110"/>
      <c r="M45" s="111" t="s">
        <v>51</v>
      </c>
      <c r="N45" s="111" t="s">
        <v>52</v>
      </c>
      <c r="O45" s="111" t="s">
        <v>53</v>
      </c>
      <c r="P45" s="111" t="s">
        <v>54</v>
      </c>
      <c r="Q45" s="111" t="s">
        <v>55</v>
      </c>
      <c r="R45" s="111" t="s">
        <v>56</v>
      </c>
      <c r="S45" s="111" t="s">
        <v>57</v>
      </c>
      <c r="T45" s="112" t="s">
        <v>58</v>
      </c>
      <c r="U45" s="53"/>
      <c r="V45" s="50" t="str">
        <f>A43</f>
        <v>Primeira fase         GRUPO D</v>
      </c>
      <c r="W45" s="50"/>
      <c r="X45" s="218" t="s">
        <v>145</v>
      </c>
      <c r="Y45" s="53"/>
      <c r="Z45" s="236">
        <f>IF(OR(E45="",G45="",'Resultado Oficial'!E45="",'Resultado Oficial'!G45=""),"",
IF(AND(E45='Resultado Oficial'!E45,G45='Resultado Oficial'!G45),10,
IF(AND(E45=G45,'Resultado Oficial'!E45='Resultado Oficial'!G45,ABS((E45-'Resultado Oficial'!E45))=1),6,
IF(AND(E45&gt;G45,'Resultado Oficial'!E45&gt;'Resultado Oficial'!G45,((E45-'Resultado Oficial'!E45)=(G45-'Resultado Oficial'!G45))),6,
IF(AND(E45&lt;G45,'Resultado Oficial'!E45&lt;'Resultado Oficial'!G45,(('Resultado Oficial'!E45-E45)=('Resultado Oficial'!G45-G45))),6,
IF(AND(E45&gt;G45,'Resultado Oficial'!E45&gt;'Resultado Oficial'!G45),3,
IF(AND(E45=G45,'Resultado Oficial'!E45='Resultado Oficial'!G45),3,
IF(AND(E45&lt;G45,'Resultado Oficial'!E45&lt;'Resultado Oficial'!G45),3,0))))))))</f>
        <v>3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6" t="s">
        <v>107</v>
      </c>
      <c r="LN45" s="70">
        <f>IF(OR(E60="",G60=""),0,IF(LO45=0,0,IF(E60&gt;G60,3,IF(E60=G60,1,0)))+IF(OR(G62="",E62=""),0,IF(G62&gt;E62,3,IF(G62=E62,1,0)))+IF(OR(G65="",E65=""),0,IF(G65&gt;E65,3,IF(E65=G65,1,0))))</f>
        <v>1</v>
      </c>
      <c r="LO45" s="71">
        <f>IF(AND(E60&lt;&gt;"",G60&lt;&gt;""),1,0)+IF(AND(E62&lt;&gt;"",G62&lt;&gt;""),1,0)+IF(AND(E65&lt;&gt;"",G65&lt;&gt;""),1,0)</f>
        <v>3</v>
      </c>
      <c r="LP45" s="71">
        <f>IF(OR(E60="",G60=""),0,IF(E60&gt;G60,1,0))+IF(OR(G62="",E62=""),0,IF(G62&gt;E62,1,0))+IF(OR(G65="",E65=""),0,IF(G65&gt;E65,1,0))</f>
        <v>0</v>
      </c>
      <c r="LQ45" s="71">
        <f>IF(OR(E60="",G60=""),0,IF(E60=G60,1,0))+IF(OR(G62="",E62=""),0,IF(G62=E62,1,0))+IF(OR(G65="",E65=""),0,IF(G65=E65,1,0))</f>
        <v>1</v>
      </c>
      <c r="LR45" s="71">
        <f>IF(OR(E60="",G60=""),0,IF(E60&lt;G60,1,0))+IF(OR(G62="",E62=""),0,IF(G62&lt;E62,1,0))+IF(OR(G65="",E65=""),0,IF(G65&lt;E65,1,0))</f>
        <v>2</v>
      </c>
      <c r="LS45" s="71">
        <f>E60+G62+G65</f>
        <v>0</v>
      </c>
      <c r="LT45" s="71">
        <f>G60+E62+E65</f>
        <v>2</v>
      </c>
      <c r="LU45" s="71">
        <f t="shared" si="45"/>
        <v>-2</v>
      </c>
      <c r="LV45" s="70">
        <f t="shared" si="46"/>
        <v>1</v>
      </c>
      <c r="LW45" s="70">
        <f t="shared" si="47"/>
        <v>-0.2</v>
      </c>
      <c r="LX45" s="70">
        <f t="shared" si="48"/>
        <v>0</v>
      </c>
      <c r="LY45" s="70">
        <f t="shared" si="49"/>
        <v>0.8</v>
      </c>
      <c r="LZ45" s="70">
        <f>IF(LY45=LY43,IF(G62&gt;E62,0.001,0),0)</f>
        <v>0</v>
      </c>
      <c r="MA45" s="70">
        <f>IF(LY45=LY44,IF(G65&gt;E65,0.001,0),0)</f>
        <v>0</v>
      </c>
      <c r="MB45" s="70">
        <f>IF(LY45=LY46,IF(E60&gt;G60,0.001,0),0)</f>
        <v>0</v>
      </c>
      <c r="MC45" s="70">
        <f t="shared" si="50"/>
        <v>0.8</v>
      </c>
      <c r="MD45" s="70">
        <f>RANK($MC$45,$MC$43:$MC$46,0)</f>
        <v>3</v>
      </c>
      <c r="ME45" s="70">
        <f>IF(OR(AND(MD43=MD44,MD43=MD45,MD43=MD46),AND(MD45=MD43,MD45=MD44)),MD45+2,IF(OR(AND(MD45=MD44,MD45=MD46),MD45=MD43,MD45=MD44),MD45+1,MD45))</f>
        <v>3</v>
      </c>
      <c r="MF45" s="70">
        <v>3.0</v>
      </c>
      <c r="MG45" s="70">
        <f t="shared" si="51"/>
        <v>3</v>
      </c>
      <c r="MH45" s="70" t="str">
        <f t="shared" si="52"/>
        <v>Marrocos</v>
      </c>
    </row>
    <row r="46" ht="12.75" customHeight="1">
      <c r="A46" s="102">
        <v>44891.0</v>
      </c>
      <c r="B46" s="103">
        <v>0.2916666666666667</v>
      </c>
      <c r="C46" s="90" t="s">
        <v>90</v>
      </c>
      <c r="D46" s="113"/>
      <c r="E46" s="114">
        <v>0.0</v>
      </c>
      <c r="F46" s="115" t="s">
        <v>72</v>
      </c>
      <c r="G46" s="116">
        <v>1.0</v>
      </c>
      <c r="H46" s="117"/>
      <c r="I46" s="96" t="s">
        <v>87</v>
      </c>
      <c r="J46" s="97" t="s">
        <v>106</v>
      </c>
      <c r="K46" s="109"/>
      <c r="L46" s="118" t="str">
        <f>Mothci!MH27</f>
        <v>França</v>
      </c>
      <c r="M46" s="119">
        <f>VLOOKUP(L46,Mothci!$LM$27:$LU$30,2,FALSE)</f>
        <v>7</v>
      </c>
      <c r="N46" s="120">
        <f>VLOOKUP(L46,Mothci!$LM$27:$LU$30,3,FALSE)</f>
        <v>3</v>
      </c>
      <c r="O46" s="120">
        <f>VLOOKUP(L46,Mothci!$LM$27:$LU$30,4,FALSE)</f>
        <v>2</v>
      </c>
      <c r="P46" s="120">
        <f>VLOOKUP(L46,Mothci!$LM$27:$LU$30,5,FALSE)</f>
        <v>1</v>
      </c>
      <c r="Q46" s="120">
        <f>VLOOKUP(L46,Mothci!$LM$27:$LU$30,6,FALSE)</f>
        <v>0</v>
      </c>
      <c r="R46" s="120">
        <f>VLOOKUP(L46,Mothci!$LM$27:$LU$30,7,FALSE)</f>
        <v>4</v>
      </c>
      <c r="S46" s="120">
        <f>VLOOKUP(L46,Mothci!$LM$27:$LU$30,8,FALSE)</f>
        <v>0</v>
      </c>
      <c r="T46" s="121">
        <f>VLOOKUP(L46,Mothci!$LM$27:$LU$30,9,FALSE)</f>
        <v>4</v>
      </c>
      <c r="U46" s="53"/>
      <c r="V46" s="59" t="s">
        <v>78</v>
      </c>
      <c r="W46" s="122" t="str">
        <f t="shared" ref="W46:W47" si="53">IF(N46&lt;&gt;3,"",L46)</f>
        <v>França</v>
      </c>
      <c r="X46" s="236">
        <f>IF(AND(W46&lt;&gt;"",'Resultado Oficial'!W46&lt;&gt;"",'Resultado Oficial'!W47&lt;&gt;""),IF(W46='Resultado Oficial'!W46,5,IF(W46='Resultado Oficial'!W47,2,0)),"")</f>
        <v>5</v>
      </c>
      <c r="Y46" s="53"/>
      <c r="Z46" s="236">
        <f>IF(OR(E46="",G46="",'Resultado Oficial'!E46="",'Resultado Oficial'!G46=""),"",
IF(AND(E46='Resultado Oficial'!E46,G46='Resultado Oficial'!G46),10,
IF(AND(E46=G46,'Resultado Oficial'!E46='Resultado Oficial'!G46,ABS((E46-'Resultado Oficial'!E46))=1),6,
IF(AND(E46&gt;G46,'Resultado Oficial'!E46&gt;'Resultado Oficial'!G46,((E46-'Resultado Oficial'!E46)=(G46-'Resultado Oficial'!G46))),6,
IF(AND(E46&lt;G46,'Resultado Oficial'!E46&lt;'Resultado Oficial'!G46,(('Resultado Oficial'!E46-E46)=('Resultado Oficial'!G46-G46))),6,
IF(AND(E46&gt;G46,'Resultado Oficial'!E46&gt;'Resultado Oficial'!G46),3,
IF(AND(E46=G46,'Resultado Oficial'!E46='Resultado Oficial'!G46),3,
IF(AND(E46&lt;G46,'Resultado Oficial'!E46&lt;'Resultado Oficial'!G46),3,0))))))))</f>
        <v>10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6" t="s">
        <v>108</v>
      </c>
      <c r="LN46" s="70">
        <f>IF(OR(G60="",E60=""),0,IF(LO46=0,0,IF(G60&gt;E60,3,IF(G60=E60,1,0)))+IF(OR(E63="",G63=""),0,IF(E63&gt;G63,3,IF(E63=G63,1,0)))+IF(OR(E64="",G64=""),0,IF(E64&gt;G64,3,IF(E64=G64,1,0))))</f>
        <v>7</v>
      </c>
      <c r="LO46" s="71">
        <f>IF(AND(E60&lt;&gt;"",G60&lt;&gt;""),1,0)+IF(AND(E63&lt;&gt;"",G63&lt;&gt;""),1,0)+IF(AND(E64&lt;&gt;"",G64&lt;&gt;""),1,0)</f>
        <v>3</v>
      </c>
      <c r="LP46" s="71">
        <f>IF(OR(G60="",E60=""),0,IF(G60&gt;E60,1,0))+IF(OR(E63="",G63=""),0,IF(E63&gt;G63,1,0))+IF(OR(E64="",G64=""),0,IF(E64&gt;G64,1,0))</f>
        <v>2</v>
      </c>
      <c r="LQ46" s="71">
        <f>IF(OR(G60="",E60=""),0,IF(G60=E60,1,0))+IF(OR(E63="",G63=""),0,IF(E63=G63,1,0))+IF(OR(E64="",G64=""),0,IF(E64=G64,1,0))</f>
        <v>1</v>
      </c>
      <c r="LR46" s="71">
        <f>IF(OR(G60="",E60=""),0,IF(G60&lt;E60,1,0))+IF(OR(E63="",G63=""),0,IF(E63&lt;G63,1,0))+IF(OR(E64="",G64=""),0,IF(E64&lt;G64,1,0))</f>
        <v>0</v>
      </c>
      <c r="LS46" s="71">
        <f>G60+E63+E64</f>
        <v>3</v>
      </c>
      <c r="LT46" s="71">
        <f>E60+G63+G64</f>
        <v>0</v>
      </c>
      <c r="LU46" s="71">
        <f t="shared" si="45"/>
        <v>3</v>
      </c>
      <c r="LV46" s="70">
        <f t="shared" si="46"/>
        <v>7</v>
      </c>
      <c r="LW46" s="70">
        <f t="shared" si="47"/>
        <v>0.3</v>
      </c>
      <c r="LX46" s="70">
        <f t="shared" si="48"/>
        <v>0.03</v>
      </c>
      <c r="LY46" s="70">
        <f t="shared" si="49"/>
        <v>7.33</v>
      </c>
      <c r="LZ46" s="70">
        <f>IF(LY46=LY43,IF(E64&gt;G64,0.001,0),0)</f>
        <v>0</v>
      </c>
      <c r="MA46" s="70">
        <f>IF(LY46=LY44,IF(E63&gt;G63,0.001,0),0)</f>
        <v>0</v>
      </c>
      <c r="MB46" s="70">
        <f>IF(LY46=LY45,IF(G60&gt;E60,0.001,0),0)</f>
        <v>0</v>
      </c>
      <c r="MC46" s="70">
        <f t="shared" si="50"/>
        <v>7.33</v>
      </c>
      <c r="MD46" s="70">
        <f>RANK($MC$46,$MC$43:$MC$46,0)</f>
        <v>1</v>
      </c>
      <c r="ME46" s="70">
        <f>IF(AND(MD43=MD44,MD43=MD45,MD43=MD46),MD46+3,IF(OR(AND(MD46=MD45,MD46=MD44),AND(MD46=MD44,MD46=MD43)),MD46+2,IF(OR(MD46=MD45,MD46=MD44,MD46=MD43),MD46+1,MD46)))</f>
        <v>2</v>
      </c>
      <c r="MF46" s="70">
        <v>4.0</v>
      </c>
      <c r="MG46" s="70">
        <f t="shared" si="51"/>
        <v>2</v>
      </c>
      <c r="MH46" s="70" t="str">
        <f t="shared" si="52"/>
        <v>Canadá</v>
      </c>
    </row>
    <row r="47" ht="12.75" customHeight="1">
      <c r="A47" s="102">
        <v>44891.0</v>
      </c>
      <c r="B47" s="103">
        <v>0.5416666666666666</v>
      </c>
      <c r="C47" s="90" t="s">
        <v>85</v>
      </c>
      <c r="D47" s="104"/>
      <c r="E47" s="105">
        <v>0.0</v>
      </c>
      <c r="F47" s="106" t="s">
        <v>72</v>
      </c>
      <c r="G47" s="107">
        <v>0.0</v>
      </c>
      <c r="H47" s="108"/>
      <c r="I47" s="96" t="s">
        <v>89</v>
      </c>
      <c r="J47" s="97" t="s">
        <v>97</v>
      </c>
      <c r="K47" s="109"/>
      <c r="L47" s="118" t="str">
        <f>Mothci!MH28</f>
        <v>Dinamarca</v>
      </c>
      <c r="M47" s="119">
        <f>VLOOKUP(L47,Mothci!$LM$27:$LU$30,2,FALSE)</f>
        <v>7</v>
      </c>
      <c r="N47" s="120">
        <f>VLOOKUP(L47,Mothci!$LM$27:$LU$30,3,FALSE)</f>
        <v>3</v>
      </c>
      <c r="O47" s="120">
        <f>VLOOKUP(L47,Mothci!$LM$27:$LU$30,4,FALSE)</f>
        <v>2</v>
      </c>
      <c r="P47" s="120">
        <f>VLOOKUP(L47,Mothci!$LM$27:$LU$30,5,FALSE)</f>
        <v>1</v>
      </c>
      <c r="Q47" s="120">
        <f>VLOOKUP(L47,Mothci!$LM$27:$LU$30,6,FALSE)</f>
        <v>0</v>
      </c>
      <c r="R47" s="120">
        <f>VLOOKUP(L47,Mothci!$LM$27:$LU$30,7,FALSE)</f>
        <v>3</v>
      </c>
      <c r="S47" s="120">
        <f>VLOOKUP(L47,Mothci!$LM$27:$LU$30,8,FALSE)</f>
        <v>0</v>
      </c>
      <c r="T47" s="121">
        <f>VLOOKUP(L47,Mothci!$LM$27:$LU$30,9,FALSE)</f>
        <v>3</v>
      </c>
      <c r="U47" s="53"/>
      <c r="V47" s="59" t="s">
        <v>81</v>
      </c>
      <c r="W47" s="122" t="str">
        <f t="shared" si="53"/>
        <v>Dinamarca</v>
      </c>
      <c r="X47" s="236">
        <f>IF(AND(W47&lt;&gt;"",'Resultado Oficial'!W46&lt;&gt;"",'Resultado Oficial'!W47&lt;&gt;""),IF(W47='Resultado Oficial'!W47,5,IF(W47='Resultado Oficial'!W46,2,0)),"")</f>
        <v>0</v>
      </c>
      <c r="Y47" s="53"/>
      <c r="Z47" s="236">
        <f>IF(OR(E47="",G47="",'Resultado Oficial'!E47="",'Resultado Oficial'!G47=""),"",
IF(AND(E47='Resultado Oficial'!E47,G47='Resultado Oficial'!G47),10,
IF(AND(E47=G47,'Resultado Oficial'!E47='Resultado Oficial'!G47,ABS((E47-'Resultado Oficial'!E47))=1),6,
IF(AND(E47&gt;G47,'Resultado Oficial'!E47&gt;'Resultado Oficial'!G47,((E47-'Resultado Oficial'!E47)=(G47-'Resultado Oficial'!G47))),6,
IF(AND(E47&lt;G47,'Resultado Oficial'!E47&lt;'Resultado Oficial'!G47,(('Resultado Oficial'!E47-E47)=('Resultado Oficial'!G47-G47))),6,
IF(AND(E47&gt;G47,'Resultado Oficial'!E47&gt;'Resultado Oficial'!G47),3,
IF(AND(E47=G47,'Resultado Oficial'!E47='Resultado Oficial'!G47),3,
IF(AND(E47&lt;G47,'Resultado Oficial'!E47&lt;'Resultado Oficial'!G47),3,0))))))))</f>
        <v>0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6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</row>
    <row r="48" ht="12.75" customHeight="1">
      <c r="A48" s="102">
        <v>44895.0</v>
      </c>
      <c r="B48" s="103">
        <v>0.5</v>
      </c>
      <c r="C48" s="90" t="s">
        <v>87</v>
      </c>
      <c r="D48" s="104"/>
      <c r="E48" s="105">
        <v>0.0</v>
      </c>
      <c r="F48" s="106" t="s">
        <v>72</v>
      </c>
      <c r="G48" s="107">
        <v>1.0</v>
      </c>
      <c r="H48" s="108"/>
      <c r="I48" s="96" t="s">
        <v>89</v>
      </c>
      <c r="J48" s="97" t="s">
        <v>106</v>
      </c>
      <c r="K48" s="109"/>
      <c r="L48" s="118" t="str">
        <f>Mothci!MH29</f>
        <v>Austrália</v>
      </c>
      <c r="M48" s="119">
        <f>VLOOKUP(L48,Mothci!$LM$27:$LU$30,2,FALSE)</f>
        <v>3</v>
      </c>
      <c r="N48" s="120">
        <f>VLOOKUP(L48,Mothci!$LM$27:$LU$30,3,FALSE)</f>
        <v>3</v>
      </c>
      <c r="O48" s="120">
        <f>VLOOKUP(L48,Mothci!$LM$27:$LU$30,4,FALSE)</f>
        <v>1</v>
      </c>
      <c r="P48" s="120">
        <f>VLOOKUP(L48,Mothci!$LM$27:$LU$30,5,FALSE)</f>
        <v>0</v>
      </c>
      <c r="Q48" s="120">
        <f>VLOOKUP(L48,Mothci!$LM$27:$LU$30,6,FALSE)</f>
        <v>2</v>
      </c>
      <c r="R48" s="120">
        <f>VLOOKUP(L48,Mothci!$LM$27:$LU$30,7,FALSE)</f>
        <v>1</v>
      </c>
      <c r="S48" s="120">
        <f>VLOOKUP(L48,Mothci!$LM$27:$LU$30,8,FALSE)</f>
        <v>3</v>
      </c>
      <c r="T48" s="121">
        <f>VLOOKUP(L48,Mothci!$LM$27:$LU$30,9,FALSE)</f>
        <v>-2</v>
      </c>
      <c r="U48" s="53"/>
      <c r="V48" s="53"/>
      <c r="W48" s="53"/>
      <c r="X48" s="218"/>
      <c r="Y48" s="53"/>
      <c r="Z48" s="236">
        <f>IF(OR(E48="",G48="",'Resultado Oficial'!E48="",'Resultado Oficial'!G48=""),"",
IF(AND(E48='Resultado Oficial'!E48,G48='Resultado Oficial'!G48),10,
IF(AND(E48=G48,'Resultado Oficial'!E48='Resultado Oficial'!G48,ABS((E48-'Resultado Oficial'!E48))=1),6,
IF(AND(E48&gt;G48,'Resultado Oficial'!E48&gt;'Resultado Oficial'!G48,((E48-'Resultado Oficial'!E48)=(G48-'Resultado Oficial'!G48))),6,
IF(AND(E48&lt;G48,'Resultado Oficial'!E48&lt;'Resultado Oficial'!G48,(('Resultado Oficial'!E48-E48)=('Resultado Oficial'!G48-G48))),6,
IF(AND(E48&gt;G48,'Resultado Oficial'!E48&gt;'Resultado Oficial'!G48),3,
IF(AND(E48=G48,'Resultado Oficial'!E48='Resultado Oficial'!G48),3,
IF(AND(E48&lt;G48,'Resultado Oficial'!E48&lt;'Resultado Oficial'!G48),3,0))))))))</f>
        <v>0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6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</row>
    <row r="49" ht="12.75" customHeight="1">
      <c r="A49" s="102">
        <v>44895.0</v>
      </c>
      <c r="B49" s="103">
        <v>0.5</v>
      </c>
      <c r="C49" s="90" t="s">
        <v>90</v>
      </c>
      <c r="D49" s="104"/>
      <c r="E49" s="105">
        <v>0.0</v>
      </c>
      <c r="F49" s="106" t="s">
        <v>72</v>
      </c>
      <c r="G49" s="107">
        <v>2.0</v>
      </c>
      <c r="H49" s="108"/>
      <c r="I49" s="96" t="s">
        <v>85</v>
      </c>
      <c r="J49" s="97" t="s">
        <v>99</v>
      </c>
      <c r="K49" s="123"/>
      <c r="L49" s="124" t="str">
        <f>Mothci!MH30</f>
        <v>Tunísia</v>
      </c>
      <c r="M49" s="125">
        <f>VLOOKUP(L49,Mothci!$LM$27:$LU$30,2,FALSE)</f>
        <v>0</v>
      </c>
      <c r="N49" s="126">
        <f>VLOOKUP(L49,Mothci!$LM$27:$LU$30,3,FALSE)</f>
        <v>3</v>
      </c>
      <c r="O49" s="126">
        <f>VLOOKUP(L49,Mothci!$LM$27:$LU$30,4,FALSE)</f>
        <v>0</v>
      </c>
      <c r="P49" s="126">
        <f>VLOOKUP(L49,Mothci!$LM$27:$LU$30,5,FALSE)</f>
        <v>0</v>
      </c>
      <c r="Q49" s="126">
        <f>VLOOKUP(L49,Mothci!$LM$27:$LU$30,6,FALSE)</f>
        <v>3</v>
      </c>
      <c r="R49" s="126">
        <f>VLOOKUP(L49,Mothci!$LM$27:$LU$30,7,FALSE)</f>
        <v>0</v>
      </c>
      <c r="S49" s="126">
        <f>VLOOKUP(L49,Mothci!$LM$27:$LU$30,8,FALSE)</f>
        <v>5</v>
      </c>
      <c r="T49" s="127">
        <f>VLOOKUP(L49,Mothci!$LM$27:$LU$30,9,FALSE)</f>
        <v>-5</v>
      </c>
      <c r="U49" s="53"/>
      <c r="V49" s="53"/>
      <c r="W49" s="53"/>
      <c r="X49" s="218"/>
      <c r="Y49" s="53"/>
      <c r="Z49" s="236">
        <f>IF(OR(E49="",G49="",'Resultado Oficial'!E49="",'Resultado Oficial'!G49=""),"",
IF(AND(E49='Resultado Oficial'!E49,G49='Resultado Oficial'!G49),10,
IF(AND(E49=G49,'Resultado Oficial'!E49='Resultado Oficial'!G49,ABS((E49-'Resultado Oficial'!E49))=1),6,
IF(AND(E49&gt;G49,'Resultado Oficial'!E49&gt;'Resultado Oficial'!G49,((E49-'Resultado Oficial'!E49)=(G49-'Resultado Oficial'!G49))),6,
IF(AND(E49&lt;G49,'Resultado Oficial'!E49&lt;'Resultado Oficial'!G49,(('Resultado Oficial'!E49-E49)=('Resultado Oficial'!G49-G49))),6,
IF(AND(E49&gt;G49,'Resultado Oficial'!E49&gt;'Resultado Oficial'!G49),3,
IF(AND(E49=G49,'Resultado Oficial'!E49='Resultado Oficial'!G49),3,
IF(AND(E49&lt;G49,'Resultado Oficial'!E49&lt;'Resultado Oficial'!G49),3,0))))))))</f>
        <v>0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6"/>
      <c r="LN49" s="145" t="s">
        <v>109</v>
      </c>
      <c r="LO49" s="145"/>
      <c r="LP49" s="145"/>
      <c r="LQ49" s="145"/>
      <c r="LR49" s="145"/>
      <c r="LS49" s="145"/>
      <c r="LT49" s="145"/>
      <c r="LU49" s="145"/>
      <c r="LV49" s="58"/>
      <c r="LW49" s="58"/>
      <c r="LX49" s="58"/>
      <c r="LY49" s="58"/>
      <c r="LZ49" s="58"/>
      <c r="MA49" s="58"/>
      <c r="MB49" s="58"/>
      <c r="MC49" s="58"/>
      <c r="MD49" s="58"/>
      <c r="ME49" s="58"/>
      <c r="MF49" s="58"/>
      <c r="MG49" s="58"/>
      <c r="MH49" s="58"/>
    </row>
    <row r="50" ht="12.75" customHeight="1">
      <c r="A50" s="128"/>
      <c r="B50" s="129"/>
      <c r="C50" s="143"/>
      <c r="D50" s="53"/>
      <c r="E50" s="144"/>
      <c r="F50" s="144"/>
      <c r="G50" s="144"/>
      <c r="H50" s="144"/>
      <c r="I50" s="52"/>
      <c r="J50" s="54"/>
      <c r="K50" s="55"/>
      <c r="L50" s="131"/>
      <c r="M50" s="134"/>
      <c r="N50" s="134"/>
      <c r="O50" s="134"/>
      <c r="P50" s="134"/>
      <c r="Q50" s="134"/>
      <c r="R50" s="134"/>
      <c r="S50" s="134"/>
      <c r="T50" s="134"/>
      <c r="U50" s="53"/>
      <c r="V50" s="53"/>
      <c r="W50" s="53"/>
      <c r="X50" s="218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69" t="s">
        <v>50</v>
      </c>
      <c r="LN50" s="70" t="s">
        <v>51</v>
      </c>
      <c r="LO50" s="71" t="s">
        <v>52</v>
      </c>
      <c r="LP50" s="71" t="s">
        <v>53</v>
      </c>
      <c r="LQ50" s="71" t="s">
        <v>54</v>
      </c>
      <c r="LR50" s="71" t="s">
        <v>55</v>
      </c>
      <c r="LS50" s="71" t="s">
        <v>56</v>
      </c>
      <c r="LT50" s="71" t="s">
        <v>57</v>
      </c>
      <c r="LU50" s="71" t="s">
        <v>58</v>
      </c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</row>
    <row r="51" ht="12.75" customHeight="1">
      <c r="A51" s="135" t="s">
        <v>110</v>
      </c>
      <c r="B51" s="136"/>
      <c r="C51" s="136"/>
      <c r="D51" s="85"/>
      <c r="E51" s="137"/>
      <c r="F51" s="138"/>
      <c r="G51" s="138"/>
      <c r="H51" s="85"/>
      <c r="I51" s="139"/>
      <c r="J51" s="140"/>
      <c r="K51" s="82"/>
      <c r="L51" s="83"/>
      <c r="M51" s="84"/>
      <c r="N51" s="84"/>
      <c r="O51" s="84"/>
      <c r="P51" s="84"/>
      <c r="Q51" s="85"/>
      <c r="R51" s="86"/>
      <c r="S51" s="86"/>
      <c r="T51" s="87"/>
      <c r="U51" s="53"/>
      <c r="V51" s="53"/>
      <c r="W51" s="53"/>
      <c r="X51" s="21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  <c r="IT51" s="53"/>
      <c r="IU51" s="53"/>
      <c r="IV51" s="53"/>
      <c r="IW51" s="53"/>
      <c r="IX51" s="53"/>
      <c r="IY51" s="53"/>
      <c r="IZ51" s="53"/>
      <c r="JA51" s="53"/>
      <c r="JB51" s="53"/>
      <c r="JC51" s="53"/>
      <c r="JD51" s="53"/>
      <c r="JE51" s="53"/>
      <c r="JF51" s="53"/>
      <c r="JG51" s="53"/>
      <c r="JH51" s="53"/>
      <c r="JI51" s="53"/>
      <c r="JJ51" s="53"/>
      <c r="JK51" s="53"/>
      <c r="JL51" s="53"/>
      <c r="JM51" s="53"/>
      <c r="JN51" s="53"/>
      <c r="JO51" s="53"/>
      <c r="JP51" s="53"/>
      <c r="JQ51" s="53"/>
      <c r="JR51" s="53"/>
      <c r="JS51" s="53"/>
      <c r="JT51" s="53"/>
      <c r="JU51" s="53"/>
      <c r="JV51" s="53"/>
      <c r="JW51" s="53"/>
      <c r="JX51" s="53"/>
      <c r="JY51" s="53"/>
      <c r="JZ51" s="53"/>
      <c r="KA51" s="53"/>
      <c r="KB51" s="53"/>
      <c r="KC51" s="53"/>
      <c r="KD51" s="53"/>
      <c r="KE51" s="53"/>
      <c r="KF51" s="53"/>
      <c r="KG51" s="53"/>
      <c r="KH51" s="53"/>
      <c r="KI51" s="53"/>
      <c r="KJ51" s="53"/>
      <c r="KK51" s="53"/>
      <c r="KL51" s="53"/>
      <c r="KM51" s="53"/>
      <c r="KN51" s="53"/>
      <c r="KO51" s="53"/>
      <c r="KP51" s="53"/>
      <c r="KQ51" s="53"/>
      <c r="KR51" s="53"/>
      <c r="KS51" s="53"/>
      <c r="KT51" s="53"/>
      <c r="KU51" s="53"/>
      <c r="KV51" s="53"/>
      <c r="KW51" s="53"/>
      <c r="KX51" s="53"/>
      <c r="KY51" s="53"/>
      <c r="KZ51" s="53"/>
      <c r="LA51" s="53"/>
      <c r="LB51" s="53"/>
      <c r="LC51" s="53"/>
      <c r="LD51" s="53"/>
      <c r="LE51" s="53"/>
      <c r="LF51" s="53"/>
      <c r="LG51" s="53"/>
      <c r="LH51" s="53"/>
      <c r="LI51" s="53"/>
      <c r="LJ51" s="53"/>
      <c r="LK51" s="53"/>
      <c r="LL51" s="53"/>
      <c r="LM51" s="56" t="s">
        <v>111</v>
      </c>
      <c r="LN51" s="70">
        <f>IF(OR(E69="",G69=""),0,IF(LO51=0,0,IF(E69&gt;G69,3,IF(E69=G69,1,0)))+IF(OR(E71="",G71=""),0,IF(E71&gt;G71,3,IF(E71=G71,1,0)))+IF(OR(G73="",E73=""),0,IF(G73&gt;E73,3,IF(G73=E73,1,0))))</f>
        <v>9</v>
      </c>
      <c r="LO51" s="71">
        <f>IF(AND(E69&lt;&gt;"",G69&lt;&gt;""),1,0)+IF(AND(E71&lt;&gt;"",G71&lt;&gt;""),1,0)+IF(AND(E73&lt;&gt;"",G73&lt;&gt;""),1,0)</f>
        <v>3</v>
      </c>
      <c r="LP51" s="71">
        <f>IF(OR(E69="",G69=""),0,IF(E69&gt;G69,1,0))+IF(OR(E71="",G71=""),0,IF(E71&gt;G71,1,0))+IF(OR(G73="",E73=""),0,IF(G73&gt;E73,1,0))</f>
        <v>3</v>
      </c>
      <c r="LQ51" s="71">
        <f>IF(OR(E69="",G69=""),0,IF(E69=G69,1,0))+IF(OR(E71="",G71=""),0,IF(E71=G71,1,0))+IF(OR(G73="",E73=""),0,IF(G73=E73,1,0))</f>
        <v>0</v>
      </c>
      <c r="LR51" s="71">
        <f>IF(OR(E69="",G69=""),0,IF(E69&lt;G69,1,0))+IF(OR(E71="",G71=""),0,IF(E71&lt;G71,1,0))+IF(OR(G73="",E73=""),0,IF(G73&lt;E73,1,0))</f>
        <v>0</v>
      </c>
      <c r="LS51" s="71">
        <f>E69+E71+G73</f>
        <v>4</v>
      </c>
      <c r="LT51" s="71">
        <f>G69+G71+E73</f>
        <v>0</v>
      </c>
      <c r="LU51" s="71">
        <f t="shared" ref="LU51:LU54" si="54">LS51-LT51</f>
        <v>4</v>
      </c>
      <c r="LV51" s="70">
        <f t="shared" ref="LV51:LV54" si="55">LN51</f>
        <v>9</v>
      </c>
      <c r="LW51" s="70">
        <f t="shared" ref="LW51:LW54" si="56">LU51/10</f>
        <v>0.4</v>
      </c>
      <c r="LX51" s="70">
        <f t="shared" ref="LX51:LX54" si="57">LS51/100</f>
        <v>0.04</v>
      </c>
      <c r="LY51" s="70">
        <f t="shared" ref="LY51:LY54" si="58">SUM(LV51:LX51)</f>
        <v>9.44</v>
      </c>
      <c r="LZ51" s="70">
        <f>IF(LY51=LY52,IF(E69&gt;G69,0.001,0),0)</f>
        <v>0</v>
      </c>
      <c r="MA51" s="70">
        <f>IF(LY51=LY53,IF(E71&gt;G71,0.001,0),0)</f>
        <v>0</v>
      </c>
      <c r="MB51" s="70">
        <f>IF(LY51=LY54,IF(G73&gt;E73,0.001,0),0)</f>
        <v>0</v>
      </c>
      <c r="MC51" s="70">
        <f t="shared" ref="MC51:MC54" si="59">SUM(LY51:MB51)</f>
        <v>9.44</v>
      </c>
      <c r="MD51" s="70">
        <f>RANK($MC$51,$MC$51:$MC$54,0)</f>
        <v>1</v>
      </c>
      <c r="ME51" s="70">
        <f>MD51</f>
        <v>1</v>
      </c>
      <c r="MF51" s="70">
        <v>1.0</v>
      </c>
      <c r="MG51" s="70">
        <f t="shared" ref="MG51:MG54" si="60">MATCH(MF51,$ME$51:$ME$54,0)</f>
        <v>1</v>
      </c>
      <c r="MH51" s="70" t="str">
        <f t="shared" ref="MH51:MH54" si="61">INDEX($LM$51:$LM$54,MG51)</f>
        <v>Brasil</v>
      </c>
    </row>
    <row r="52" ht="12.75" customHeight="1">
      <c r="A52" s="102">
        <v>44888.0</v>
      </c>
      <c r="B52" s="103">
        <v>0.4166666666666667</v>
      </c>
      <c r="C52" s="90" t="s">
        <v>98</v>
      </c>
      <c r="D52" s="113"/>
      <c r="E52" s="105">
        <v>2.0</v>
      </c>
      <c r="F52" s="106" t="s">
        <v>72</v>
      </c>
      <c r="G52" s="107">
        <v>0.0</v>
      </c>
      <c r="H52" s="108"/>
      <c r="I52" s="96" t="s">
        <v>100</v>
      </c>
      <c r="J52" s="97" t="s">
        <v>80</v>
      </c>
      <c r="K52" s="98"/>
      <c r="L52" s="99" t="s">
        <v>112</v>
      </c>
      <c r="M52" s="100"/>
      <c r="N52" s="100"/>
      <c r="O52" s="100"/>
      <c r="P52" s="100"/>
      <c r="Q52" s="100"/>
      <c r="R52" s="100"/>
      <c r="S52" s="100"/>
      <c r="T52" s="101"/>
      <c r="U52" s="53"/>
      <c r="V52" s="53"/>
      <c r="W52" s="53"/>
      <c r="X52" s="218"/>
      <c r="Y52" s="53"/>
      <c r="Z52" s="236">
        <f>IF(OR(E52="",G52="",'Resultado Oficial'!E52="",'Resultado Oficial'!G52=""),"",
IF(AND(E52='Resultado Oficial'!E52,G52='Resultado Oficial'!G52),10,
IF(AND(E52=G52,'Resultado Oficial'!E52='Resultado Oficial'!G52,ABS((E52-'Resultado Oficial'!E52))=1),6,
IF(AND(E52&gt;G52,'Resultado Oficial'!E52&gt;'Resultado Oficial'!G52,((E52-'Resultado Oficial'!E52)=(G52-'Resultado Oficial'!G52))),6,
IF(AND(E52&lt;G52,'Resultado Oficial'!E52&lt;'Resultado Oficial'!G52,(('Resultado Oficial'!E52-E52)=('Resultado Oficial'!G52-G52))),6,
IF(AND(E52&gt;G52,'Resultado Oficial'!E52&gt;'Resultado Oficial'!G52),3,
IF(AND(E52=G52,'Resultado Oficial'!E52='Resultado Oficial'!G52),3,
IF(AND(E52&lt;G52,'Resultado Oficial'!E52&lt;'Resultado Oficial'!G52),3,0))))))))</f>
        <v>0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6" t="s">
        <v>113</v>
      </c>
      <c r="LN52" s="70">
        <f>IF(OR(G69="",E69=""),0,IF(LO52=0,0,IF(G69&gt;E69,3,IF(G69=E69,1,0)))+IF(OR(G70="",E70=""),0,IF(G70&gt;E70,3,IF(G70=E70,1,0)))+IF(OR(G72="",E72=""),0,IF(E72&gt;G72,3,IF(E72=G72,1,0))))</f>
        <v>2</v>
      </c>
      <c r="LO52" s="71">
        <f>IF(AND(E69&lt;&gt;"",G69&lt;&gt;""),1,0)+IF(AND(E70&lt;&gt;"",G70&lt;&gt;""),1,0)+IF(AND(E72&lt;&gt;"",G72&lt;&gt;""),1,0)</f>
        <v>3</v>
      </c>
      <c r="LP52" s="71">
        <f>IF(OR(G69="",E69=""),0,IF(G69&gt;E69,1,0))+IF(OR(G70="",E70=""),0,IF(G70&gt;E70,1,0))+IF(OR(E72="",G72=""),0,IF(E72&gt;G72,1,0))</f>
        <v>0</v>
      </c>
      <c r="LQ52" s="71">
        <f>IF(OR(G69="",E69=""),0,IF(G69=E69,1,0))+IF(OR(G70="",E70=""),0,IF(G70=E70,1,0))+IF(OR(E72="",G72=""),0,IF(E72=G72,1,0))</f>
        <v>2</v>
      </c>
      <c r="LR52" s="71">
        <f>IF(OR(G69="",E69=""),0,IF(G69&lt;E69,1,0))+IF(OR(G70="",E70=""),0,IF(G70&lt;E70,1,0))+IF(OR(E72="",G72=""),0,IF(E72&lt;G72,1,0))</f>
        <v>1</v>
      </c>
      <c r="LS52" s="71">
        <f>G69+G70+E72</f>
        <v>0</v>
      </c>
      <c r="LT52" s="71">
        <f>E69+E70+G72</f>
        <v>1</v>
      </c>
      <c r="LU52" s="71">
        <f t="shared" si="54"/>
        <v>-1</v>
      </c>
      <c r="LV52" s="70">
        <f t="shared" si="55"/>
        <v>2</v>
      </c>
      <c r="LW52" s="70">
        <f t="shared" si="56"/>
        <v>-0.1</v>
      </c>
      <c r="LX52" s="70">
        <f t="shared" si="57"/>
        <v>0</v>
      </c>
      <c r="LY52" s="70">
        <f t="shared" si="58"/>
        <v>1.9</v>
      </c>
      <c r="LZ52" s="70">
        <f>IF(LY52=LY51,IF(G69&gt;E69,0.001,0),0)</f>
        <v>0</v>
      </c>
      <c r="MA52" s="70">
        <f>IF(LY52=LY53,IF(E72&gt;G72,0.001,0),0)</f>
        <v>0</v>
      </c>
      <c r="MB52" s="70">
        <f>IF(LY52=LY54,IF(G70&gt;E70,0.001,0),0)</f>
        <v>0</v>
      </c>
      <c r="MC52" s="70">
        <f t="shared" si="59"/>
        <v>1.9</v>
      </c>
      <c r="MD52" s="70">
        <f>RANK($MC$52,$MC$51:$MC$54,0)</f>
        <v>2</v>
      </c>
      <c r="ME52" s="70">
        <f>IF(OR(AND(MD51=MD52,MD51=MD53,MD51=MD54),AND(MD52=MD51,MD52=MD53),AND(MD52=MD51,MD52=MD54),MD52=MD51),MD52+1,MD52)</f>
        <v>2</v>
      </c>
      <c r="MF52" s="70">
        <v>2.0</v>
      </c>
      <c r="MG52" s="70">
        <f t="shared" si="60"/>
        <v>2</v>
      </c>
      <c r="MH52" s="70" t="str">
        <f t="shared" si="61"/>
        <v>Sérvia</v>
      </c>
    </row>
    <row r="53" ht="12.75" customHeight="1">
      <c r="A53" s="102">
        <v>44888.0</v>
      </c>
      <c r="B53" s="103">
        <v>0.5416666666666666</v>
      </c>
      <c r="C53" s="90" t="s">
        <v>93</v>
      </c>
      <c r="D53" s="104"/>
      <c r="E53" s="105">
        <v>2.0</v>
      </c>
      <c r="F53" s="106" t="s">
        <v>72</v>
      </c>
      <c r="G53" s="107">
        <v>0.0</v>
      </c>
      <c r="H53" s="108"/>
      <c r="I53" s="96" t="s">
        <v>96</v>
      </c>
      <c r="J53" s="97" t="s">
        <v>76</v>
      </c>
      <c r="K53" s="109"/>
      <c r="L53" s="110"/>
      <c r="M53" s="111" t="s">
        <v>51</v>
      </c>
      <c r="N53" s="111" t="s">
        <v>52</v>
      </c>
      <c r="O53" s="111" t="s">
        <v>53</v>
      </c>
      <c r="P53" s="111" t="s">
        <v>54</v>
      </c>
      <c r="Q53" s="111" t="s">
        <v>55</v>
      </c>
      <c r="R53" s="111" t="s">
        <v>56</v>
      </c>
      <c r="S53" s="111" t="s">
        <v>57</v>
      </c>
      <c r="T53" s="112" t="s">
        <v>58</v>
      </c>
      <c r="U53" s="53"/>
      <c r="V53" s="50" t="str">
        <f>A51</f>
        <v>Primeira fase       GRUPO E</v>
      </c>
      <c r="W53" s="50"/>
      <c r="X53" s="218" t="s">
        <v>145</v>
      </c>
      <c r="Y53" s="53"/>
      <c r="Z53" s="236">
        <f>IF(OR(E53="",G53="",'Resultado Oficial'!E53="",'Resultado Oficial'!G53=""),"",
IF(AND(E53='Resultado Oficial'!E53,G53='Resultado Oficial'!G53),10,
IF(AND(E53=G53,'Resultado Oficial'!E53='Resultado Oficial'!G53,ABS((E53-'Resultado Oficial'!E53))=1),6,
IF(AND(E53&gt;G53,'Resultado Oficial'!E53&gt;'Resultado Oficial'!G53,((E53-'Resultado Oficial'!E53)=(G53-'Resultado Oficial'!G53))),6,
IF(AND(E53&lt;G53,'Resultado Oficial'!E53&lt;'Resultado Oficial'!G53,(('Resultado Oficial'!E53-E53)=('Resultado Oficial'!G53-G53))),6,
IF(AND(E53&gt;G53,'Resultado Oficial'!E53&gt;'Resultado Oficial'!G53),3,
IF(AND(E53=G53,'Resultado Oficial'!E53='Resultado Oficial'!G53),3,
IF(AND(E53&lt;G53,'Resultado Oficial'!E53&lt;'Resultado Oficial'!G53),3,0))))))))</f>
        <v>3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53"/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53"/>
      <c r="KA53" s="53"/>
      <c r="KB53" s="53"/>
      <c r="KC53" s="53"/>
      <c r="KD53" s="53"/>
      <c r="KE53" s="53"/>
      <c r="KF53" s="53"/>
      <c r="KG53" s="53"/>
      <c r="KH53" s="53"/>
      <c r="KI53" s="53"/>
      <c r="KJ53" s="53"/>
      <c r="KK53" s="53"/>
      <c r="KL53" s="53"/>
      <c r="KM53" s="53"/>
      <c r="KN53" s="53"/>
      <c r="KO53" s="53"/>
      <c r="KP53" s="53"/>
      <c r="KQ53" s="53"/>
      <c r="KR53" s="53"/>
      <c r="KS53" s="53"/>
      <c r="KT53" s="53"/>
      <c r="KU53" s="53"/>
      <c r="KV53" s="53"/>
      <c r="KW53" s="53"/>
      <c r="KX53" s="53"/>
      <c r="KY53" s="53"/>
      <c r="KZ53" s="53"/>
      <c r="LA53" s="53"/>
      <c r="LB53" s="53"/>
      <c r="LC53" s="53"/>
      <c r="LD53" s="53"/>
      <c r="LE53" s="53"/>
      <c r="LF53" s="53"/>
      <c r="LG53" s="53"/>
      <c r="LH53" s="53"/>
      <c r="LI53" s="53"/>
      <c r="LJ53" s="53"/>
      <c r="LK53" s="53"/>
      <c r="LL53" s="53"/>
      <c r="LM53" s="56" t="s">
        <v>114</v>
      </c>
      <c r="LN53" s="70">
        <f>IF(OR(E68="",G68=""),0,IF(LO53=0,0,IF(E68&gt;G68,3,IF(E68=G68,1,0)))+IF(OR(G71="",E71=""),0,IF(G71&gt;E71,3,IF(G71=E71,1,0)))+IF(OR(G72="",E72=""),0,IF(G72&gt;E72,3,IF(E72=G72,1,0))))</f>
        <v>2</v>
      </c>
      <c r="LO53" s="71">
        <f>IF(AND(E68&lt;&gt;"",G68&lt;&gt;""),1,0)+IF(AND(E71&lt;&gt;"",G71&lt;&gt;""),1,0)+IF(AND(E72&lt;&gt;"",G72&lt;&gt;""),1,0)</f>
        <v>3</v>
      </c>
      <c r="LP53" s="71">
        <f>IF(OR(E68="",G68=""),0,IF(E68&gt;G68,1,0))+IF(OR(G71="",E71=""),0,IF(G71&gt;E71,1,0))+IF(OR(G72="",E72=""),0,IF(G72&gt;E72,1,0))</f>
        <v>0</v>
      </c>
      <c r="LQ53" s="71">
        <f>IF(OR(E68="",G68=""),0,IF(E68=G68,1,0))+IF(OR(G71="",E71=""),0,IF(G71=E71,1,0))+IF(OR(G72="",E72=""),0,IF(G72=E72,1,0))</f>
        <v>2</v>
      </c>
      <c r="LR53" s="71">
        <f>IF(OR(E68="",G68=""),0,IF(E68&lt;G68,1,0))+IF(OR(G71="",E71=""),0,IF(G71&lt;E71,1,0))+IF(OR(G72="",E72=""),0,IF(G72&lt;E72,1,0))</f>
        <v>1</v>
      </c>
      <c r="LS53" s="71">
        <f>E68+G71+G72</f>
        <v>0</v>
      </c>
      <c r="LT53" s="71">
        <f>G68+E71+E72</f>
        <v>1</v>
      </c>
      <c r="LU53" s="71">
        <f t="shared" si="54"/>
        <v>-1</v>
      </c>
      <c r="LV53" s="70">
        <f t="shared" si="55"/>
        <v>2</v>
      </c>
      <c r="LW53" s="70">
        <f t="shared" si="56"/>
        <v>-0.1</v>
      </c>
      <c r="LX53" s="70">
        <f t="shared" si="57"/>
        <v>0</v>
      </c>
      <c r="LY53" s="70">
        <f t="shared" si="58"/>
        <v>1.9</v>
      </c>
      <c r="LZ53" s="70">
        <f>IF(LY53=LY51,IF(G71&gt;E71,0.001,0),0)</f>
        <v>0</v>
      </c>
      <c r="MA53" s="70">
        <f>IF(LY53=LY52,IF(G72&gt;E72,0.001,0),0)</f>
        <v>0</v>
      </c>
      <c r="MB53" s="70">
        <f>IF(LY53=LY54,IF(E68&gt;G68,0.001,0),0)</f>
        <v>0</v>
      </c>
      <c r="MC53" s="70">
        <f t="shared" si="59"/>
        <v>1.9</v>
      </c>
      <c r="MD53" s="70">
        <f>RANK($MC$53,$MC$51:$MC$54,0)</f>
        <v>2</v>
      </c>
      <c r="ME53" s="70">
        <f>IF(OR(AND(MD51=MD52,MD51=MD53,MD51=MD54),AND(MD53=MD51,MD53=MD52)),MD53+2,IF(OR(AND(MD53=MD52,MD53=MD54),MD53=MD51,MD53=MD52),MD53+1,MD53))</f>
        <v>3</v>
      </c>
      <c r="MF53" s="70">
        <v>3.0</v>
      </c>
      <c r="MG53" s="70">
        <f t="shared" si="60"/>
        <v>3</v>
      </c>
      <c r="MH53" s="70" t="str">
        <f t="shared" si="61"/>
        <v>Suiça</v>
      </c>
    </row>
    <row r="54" ht="12.75" customHeight="1">
      <c r="A54" s="102">
        <v>44892.0</v>
      </c>
      <c r="B54" s="103">
        <v>0.2916666666666667</v>
      </c>
      <c r="C54" s="90" t="s">
        <v>100</v>
      </c>
      <c r="D54" s="113"/>
      <c r="E54" s="114">
        <v>1.0</v>
      </c>
      <c r="F54" s="115" t="s">
        <v>72</v>
      </c>
      <c r="G54" s="116">
        <v>1.0</v>
      </c>
      <c r="H54" s="117"/>
      <c r="I54" s="96" t="s">
        <v>96</v>
      </c>
      <c r="J54" s="97" t="s">
        <v>115</v>
      </c>
      <c r="K54" s="109"/>
      <c r="L54" s="118" t="str">
        <f>Mothci!MH35</f>
        <v>Alemanha</v>
      </c>
      <c r="M54" s="119">
        <f>VLOOKUP(L54,Mothci!$LM$35:$LU$38,2,FALSE)</f>
        <v>7</v>
      </c>
      <c r="N54" s="120">
        <f>VLOOKUP(L54,Mothci!$LM$35:$LU$38,3,FALSE)</f>
        <v>3</v>
      </c>
      <c r="O54" s="120">
        <f>VLOOKUP(L54,Mothci!$LM$35:$LU$38,4,FALSE)</f>
        <v>2</v>
      </c>
      <c r="P54" s="120">
        <f>VLOOKUP(L54,Mothci!$LM$35:$LU$38,5,FALSE)</f>
        <v>1</v>
      </c>
      <c r="Q54" s="120">
        <f>VLOOKUP(L54,Mothci!$LM$35:$LU$38,6,FALSE)</f>
        <v>0</v>
      </c>
      <c r="R54" s="120">
        <f>VLOOKUP(L54,Mothci!$LM$35:$LU$38,7,FALSE)</f>
        <v>4</v>
      </c>
      <c r="S54" s="120">
        <f>VLOOKUP(L54,Mothci!$LM$35:$LU$38,8,FALSE)</f>
        <v>0</v>
      </c>
      <c r="T54" s="121">
        <f>VLOOKUP(L54,Mothci!$LM$35:$LU$38,9,FALSE)</f>
        <v>4</v>
      </c>
      <c r="U54" s="53"/>
      <c r="V54" s="59" t="s">
        <v>78</v>
      </c>
      <c r="W54" s="122" t="str">
        <f t="shared" ref="W54:W55" si="62">IF(N54&lt;&gt;3,"",L54)</f>
        <v>Alemanha</v>
      </c>
      <c r="X54" s="236">
        <f>IF(AND(W54&lt;&gt;"",'Resultado Oficial'!W54&lt;&gt;"",'Resultado Oficial'!W55&lt;&gt;""),IF(W54='Resultado Oficial'!W54,5,IF(W54='Resultado Oficial'!W55,2,0)),"")</f>
        <v>0</v>
      </c>
      <c r="Y54" s="53"/>
      <c r="Z54" s="236">
        <f>IF(OR(E54="",G54="",'Resultado Oficial'!E54="",'Resultado Oficial'!G54=""),"",
IF(AND(E54='Resultado Oficial'!E54,G54='Resultado Oficial'!G54),10,
IF(AND(E54=G54,'Resultado Oficial'!E54='Resultado Oficial'!G54,ABS((E54-'Resultado Oficial'!E54))=1),6,
IF(AND(E54&gt;G54,'Resultado Oficial'!E54&gt;'Resultado Oficial'!G54,((E54-'Resultado Oficial'!E54)=(G54-'Resultado Oficial'!G54))),6,
IF(AND(E54&lt;G54,'Resultado Oficial'!E54&lt;'Resultado Oficial'!G54,(('Resultado Oficial'!E54-E54)=('Resultado Oficial'!G54-G54))),6,
IF(AND(E54&gt;G54,'Resultado Oficial'!E54&gt;'Resultado Oficial'!G54),3,
IF(AND(E54=G54,'Resultado Oficial'!E54='Resultado Oficial'!G54),3,
IF(AND(E54&lt;G54,'Resultado Oficial'!E54&lt;'Resultado Oficial'!G54),3,0))))))))</f>
        <v>0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6" t="s">
        <v>116</v>
      </c>
      <c r="LN54" s="70">
        <f>IF(OR(G68="",E68=""),0,IF(LO54=0,0,IF(G68&gt;E68,3,IF(G70=E70,1,0)))+IF(OR(E70="",G70=""),0,IF(E70&gt;G70,3,IF(E70=G70,1,0)))+IF(OR(E73="",G73=""),0,IF(E73&gt;G73,3,IF(E73=G73,1,0))))</f>
        <v>2</v>
      </c>
      <c r="LO54" s="71">
        <f>IF(AND(E68&lt;&gt;"",G68&lt;&gt;""),1,0)+IF(AND(E70&lt;&gt;"",G70&lt;&gt;""),1,0)+IF(AND(E73&lt;&gt;"",G73&lt;&gt;""),1,0)</f>
        <v>3</v>
      </c>
      <c r="LP54" s="71">
        <f>IF(OR(G68="",E68=""),0,IF(G68&gt;E68,1,0))+IF(OR(E70="",G70=""),0,IF(E70&gt;G70,1,0))+IF(OR(E73="",G73=""),0,IF(E73&gt;G73,1,0))</f>
        <v>0</v>
      </c>
      <c r="LQ54" s="71">
        <f>IF(OR(G68="",E68=""),0,IF(G68=E68,1,0))+IF(OR(E70="",G70=""),0,IF(E70=G70,1,0))+IF(OR(E73="",G73=""),0,IF(E73=G73,1,0))</f>
        <v>2</v>
      </c>
      <c r="LR54" s="71">
        <f>IF(OR(G68="",E68=""),0,IF(G68&lt;E68,1,0))+IF(OR(E70="",G70=""),0,IF(E70&lt;G70,1,0))+IF(OR(E73="",G73=""),0,IF(E73&lt;G73,1,0))</f>
        <v>1</v>
      </c>
      <c r="LS54" s="71">
        <f>G68+E70+E73</f>
        <v>0</v>
      </c>
      <c r="LT54" s="71">
        <f>E68+G70+G73</f>
        <v>2</v>
      </c>
      <c r="LU54" s="71">
        <f t="shared" si="54"/>
        <v>-2</v>
      </c>
      <c r="LV54" s="70">
        <f t="shared" si="55"/>
        <v>2</v>
      </c>
      <c r="LW54" s="70">
        <f t="shared" si="56"/>
        <v>-0.2</v>
      </c>
      <c r="LX54" s="70">
        <f t="shared" si="57"/>
        <v>0</v>
      </c>
      <c r="LY54" s="70">
        <f t="shared" si="58"/>
        <v>1.8</v>
      </c>
      <c r="LZ54" s="70">
        <f>IF(LY54=LY51,IF(E73&gt;G73,0.001,0),0)</f>
        <v>0</v>
      </c>
      <c r="MA54" s="70">
        <f>IF(LY54=LY52,IF(E70&gt;G70,0.001,0),0)</f>
        <v>0</v>
      </c>
      <c r="MB54" s="70">
        <f>IF(LY54=LY53,IF(G68&gt;E68,0.001,0),0)</f>
        <v>0</v>
      </c>
      <c r="MC54" s="70">
        <f t="shared" si="59"/>
        <v>1.8</v>
      </c>
      <c r="MD54" s="70">
        <f>RANK($MC$54,$MC$51:$MC$54,0)</f>
        <v>4</v>
      </c>
      <c r="ME54" s="70">
        <f>IF(AND(MD51=MD52,MD51=MD53,MD51=MD54),MD54+3,IF(OR(AND(MD54=MD53,MD54=MD52),AND(MD54=MD52,MD54=MD51)),MD54+2,IF(OR(MD54=MD53,MD54=MD52,MD54=MD51),MD54+1,MD54)))</f>
        <v>4</v>
      </c>
      <c r="MF54" s="70">
        <v>4.0</v>
      </c>
      <c r="MG54" s="70">
        <f t="shared" si="60"/>
        <v>4</v>
      </c>
      <c r="MH54" s="70" t="str">
        <f t="shared" si="61"/>
        <v>Camarões</v>
      </c>
    </row>
    <row r="55" ht="12.75" customHeight="1">
      <c r="A55" s="102">
        <v>44892.0</v>
      </c>
      <c r="B55" s="103">
        <v>0.6666666666666666</v>
      </c>
      <c r="C55" s="90" t="s">
        <v>93</v>
      </c>
      <c r="D55" s="104"/>
      <c r="E55" s="105">
        <v>0.0</v>
      </c>
      <c r="F55" s="106" t="s">
        <v>72</v>
      </c>
      <c r="G55" s="107">
        <v>0.0</v>
      </c>
      <c r="H55" s="108"/>
      <c r="I55" s="96" t="s">
        <v>98</v>
      </c>
      <c r="J55" s="97" t="s">
        <v>73</v>
      </c>
      <c r="K55" s="109"/>
      <c r="L55" s="118" t="str">
        <f>Mothci!MH36</f>
        <v>Espanha</v>
      </c>
      <c r="M55" s="119">
        <f>VLOOKUP(L55,Mothci!$LM$35:$LU$38,2,FALSE)</f>
        <v>5</v>
      </c>
      <c r="N55" s="120">
        <f>VLOOKUP(L55,Mothci!$LM$35:$LU$38,3,FALSE)</f>
        <v>3</v>
      </c>
      <c r="O55" s="120">
        <f>VLOOKUP(L55,Mothci!$LM$35:$LU$38,4,FALSE)</f>
        <v>1</v>
      </c>
      <c r="P55" s="120">
        <f>VLOOKUP(L55,Mothci!$LM$35:$LU$38,5,FALSE)</f>
        <v>2</v>
      </c>
      <c r="Q55" s="120">
        <f>VLOOKUP(L55,Mothci!$LM$35:$LU$38,6,FALSE)</f>
        <v>0</v>
      </c>
      <c r="R55" s="120">
        <f>VLOOKUP(L55,Mothci!$LM$35:$LU$38,7,FALSE)</f>
        <v>3</v>
      </c>
      <c r="S55" s="120">
        <f>VLOOKUP(L55,Mothci!$LM$35:$LU$38,8,FALSE)</f>
        <v>1</v>
      </c>
      <c r="T55" s="121">
        <f>VLOOKUP(L55,Mothci!$LM$35:$LU$38,9,FALSE)</f>
        <v>2</v>
      </c>
      <c r="U55" s="53"/>
      <c r="V55" s="59" t="s">
        <v>81</v>
      </c>
      <c r="W55" s="122" t="str">
        <f t="shared" si="62"/>
        <v>Espanha</v>
      </c>
      <c r="X55" s="236">
        <f>IF(AND(W55&lt;&gt;"",'Resultado Oficial'!W54&lt;&gt;"",'Resultado Oficial'!W55&lt;&gt;""),IF(W55='Resultado Oficial'!W55,5,IF(W55='Resultado Oficial'!W54,2,0)),"")</f>
        <v>5</v>
      </c>
      <c r="Y55" s="53"/>
      <c r="Z55" s="236">
        <f>IF(OR(E55="",G55="",'Resultado Oficial'!E55="",'Resultado Oficial'!G55=""),"",
IF(AND(E55='Resultado Oficial'!E55,G55='Resultado Oficial'!G55),10,
IF(AND(E55=G55,'Resultado Oficial'!E55='Resultado Oficial'!G55,ABS((E55-'Resultado Oficial'!E55))=1),6,
IF(AND(E55&gt;G55,'Resultado Oficial'!E55&gt;'Resultado Oficial'!G55,((E55-'Resultado Oficial'!E55)=(G55-'Resultado Oficial'!G55))),6,
IF(AND(E55&lt;G55,'Resultado Oficial'!E55&lt;'Resultado Oficial'!G55,(('Resultado Oficial'!E55-E55)=('Resultado Oficial'!G55-G55))),6,
IF(AND(E55&gt;G55,'Resultado Oficial'!E55&gt;'Resultado Oficial'!G55),3,
IF(AND(E55=G55,'Resultado Oficial'!E55='Resultado Oficial'!G55),3,
IF(AND(E55&lt;G55,'Resultado Oficial'!E55&lt;'Resultado Oficial'!G55),3,0))))))))</f>
        <v>6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  <c r="GS55" s="53"/>
      <c r="GT55" s="53"/>
      <c r="GU55" s="53"/>
      <c r="GV55" s="53"/>
      <c r="GW55" s="53"/>
      <c r="GX55" s="53"/>
      <c r="GY55" s="53"/>
      <c r="GZ55" s="53"/>
      <c r="HA55" s="53"/>
      <c r="HB55" s="53"/>
      <c r="HC55" s="53"/>
      <c r="HD55" s="53"/>
      <c r="HE55" s="53"/>
      <c r="HF55" s="53"/>
      <c r="HG55" s="53"/>
      <c r="HH55" s="53"/>
      <c r="HI55" s="53"/>
      <c r="HJ55" s="53"/>
      <c r="HK55" s="53"/>
      <c r="HL55" s="53"/>
      <c r="HM55" s="53"/>
      <c r="HN55" s="53"/>
      <c r="HO55" s="53"/>
      <c r="HP55" s="53"/>
      <c r="HQ55" s="53"/>
      <c r="HR55" s="53"/>
      <c r="HS55" s="53"/>
      <c r="HT55" s="53"/>
      <c r="HU55" s="53"/>
      <c r="HV55" s="53"/>
      <c r="HW55" s="53"/>
      <c r="HX55" s="53"/>
      <c r="HY55" s="53"/>
      <c r="HZ55" s="53"/>
      <c r="IA55" s="53"/>
      <c r="IB55" s="53"/>
      <c r="IC55" s="53"/>
      <c r="ID55" s="53"/>
      <c r="IE55" s="53"/>
      <c r="IF55" s="53"/>
      <c r="IG55" s="53"/>
      <c r="IH55" s="53"/>
      <c r="II55" s="53"/>
      <c r="IJ55" s="53"/>
      <c r="IK55" s="53"/>
      <c r="IL55" s="53"/>
      <c r="IM55" s="53"/>
      <c r="IN55" s="53"/>
      <c r="IO55" s="53"/>
      <c r="IP55" s="53"/>
      <c r="IQ55" s="53"/>
      <c r="IR55" s="53"/>
      <c r="IS55" s="53"/>
      <c r="IT55" s="53"/>
      <c r="IU55" s="53"/>
      <c r="IV55" s="53"/>
      <c r="IW55" s="53"/>
      <c r="IX55" s="53"/>
      <c r="IY55" s="53"/>
      <c r="IZ55" s="53"/>
      <c r="JA55" s="53"/>
      <c r="JB55" s="53"/>
      <c r="JC55" s="53"/>
      <c r="JD55" s="53"/>
      <c r="JE55" s="53"/>
      <c r="JF55" s="53"/>
      <c r="JG55" s="53"/>
      <c r="JH55" s="53"/>
      <c r="JI55" s="53"/>
      <c r="JJ55" s="53"/>
      <c r="JK55" s="53"/>
      <c r="JL55" s="53"/>
      <c r="JM55" s="53"/>
      <c r="JN55" s="53"/>
      <c r="JO55" s="53"/>
      <c r="JP55" s="53"/>
      <c r="JQ55" s="53"/>
      <c r="JR55" s="53"/>
      <c r="JS55" s="53"/>
      <c r="JT55" s="53"/>
      <c r="JU55" s="53"/>
      <c r="JV55" s="53"/>
      <c r="JW55" s="53"/>
      <c r="JX55" s="53"/>
      <c r="JY55" s="53"/>
      <c r="JZ55" s="53"/>
      <c r="KA55" s="53"/>
      <c r="KB55" s="53"/>
      <c r="KC55" s="53"/>
      <c r="KD55" s="53"/>
      <c r="KE55" s="53"/>
      <c r="KF55" s="53"/>
      <c r="KG55" s="53"/>
      <c r="KH55" s="53"/>
      <c r="KI55" s="53"/>
      <c r="KJ55" s="53"/>
      <c r="KK55" s="53"/>
      <c r="KL55" s="53"/>
      <c r="KM55" s="53"/>
      <c r="KN55" s="53"/>
      <c r="KO55" s="53"/>
      <c r="KP55" s="53"/>
      <c r="KQ55" s="53"/>
      <c r="KR55" s="53"/>
      <c r="KS55" s="53"/>
      <c r="KT55" s="53"/>
      <c r="KU55" s="53"/>
      <c r="KV55" s="53"/>
      <c r="KW55" s="53"/>
      <c r="KX55" s="53"/>
      <c r="KY55" s="53"/>
      <c r="KZ55" s="53"/>
      <c r="LA55" s="53"/>
      <c r="LB55" s="53"/>
      <c r="LC55" s="53"/>
      <c r="LD55" s="53"/>
      <c r="LE55" s="53"/>
      <c r="LF55" s="53"/>
      <c r="LG55" s="53"/>
      <c r="LH55" s="53"/>
      <c r="LI55" s="53"/>
      <c r="LJ55" s="53"/>
      <c r="LK55" s="53"/>
      <c r="LL55" s="53"/>
      <c r="LM55" s="56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</row>
    <row r="56" ht="12.75" customHeight="1">
      <c r="A56" s="102">
        <v>44896.0</v>
      </c>
      <c r="B56" s="103">
        <v>0.6666666666666666</v>
      </c>
      <c r="C56" s="90" t="s">
        <v>100</v>
      </c>
      <c r="D56" s="104"/>
      <c r="E56" s="105">
        <v>1.0</v>
      </c>
      <c r="F56" s="106" t="s">
        <v>72</v>
      </c>
      <c r="G56" s="107">
        <v>1.0</v>
      </c>
      <c r="H56" s="108"/>
      <c r="I56" s="96" t="s">
        <v>93</v>
      </c>
      <c r="J56" s="97" t="s">
        <v>80</v>
      </c>
      <c r="K56" s="109"/>
      <c r="L56" s="118" t="str">
        <f>Mothci!MH37</f>
        <v>Japão</v>
      </c>
      <c r="M56" s="119">
        <f>VLOOKUP(L56,Mothci!$LM$35:$LU$38,2,FALSE)</f>
        <v>3</v>
      </c>
      <c r="N56" s="120">
        <f>VLOOKUP(L56,Mothci!$LM$35:$LU$38,3,FALSE)</f>
        <v>3</v>
      </c>
      <c r="O56" s="120">
        <f>VLOOKUP(L56,Mothci!$LM$35:$LU$38,4,FALSE)</f>
        <v>0</v>
      </c>
      <c r="P56" s="120">
        <f>VLOOKUP(L56,Mothci!$LM$35:$LU$38,5,FALSE)</f>
        <v>2</v>
      </c>
      <c r="Q56" s="120">
        <f>VLOOKUP(L56,Mothci!$LM$35:$LU$38,6,FALSE)</f>
        <v>1</v>
      </c>
      <c r="R56" s="120">
        <f>VLOOKUP(L56,Mothci!$LM$35:$LU$38,7,FALSE)</f>
        <v>2</v>
      </c>
      <c r="S56" s="120">
        <f>VLOOKUP(L56,Mothci!$LM$35:$LU$38,8,FALSE)</f>
        <v>4</v>
      </c>
      <c r="T56" s="121">
        <f>VLOOKUP(L56,Mothci!$LM$35:$LU$38,9,FALSE)</f>
        <v>-2</v>
      </c>
      <c r="U56" s="53"/>
      <c r="V56" s="53"/>
      <c r="W56" s="53"/>
      <c r="X56" s="218"/>
      <c r="Y56" s="53"/>
      <c r="Z56" s="236">
        <f>IF(OR(E56="",G56="",'Resultado Oficial'!E56="",'Resultado Oficial'!G56=""),"",
IF(AND(E56='Resultado Oficial'!E56,G56='Resultado Oficial'!G56),10,
IF(AND(E56=G56,'Resultado Oficial'!E56='Resultado Oficial'!G56,ABS((E56-'Resultado Oficial'!E56))=1),6,
IF(AND(E56&gt;G56,'Resultado Oficial'!E56&gt;'Resultado Oficial'!G56,((E56-'Resultado Oficial'!E56)=(G56-'Resultado Oficial'!G56))),6,
IF(AND(E56&lt;G56,'Resultado Oficial'!E56&lt;'Resultado Oficial'!G56,(('Resultado Oficial'!E56-E56)=('Resultado Oficial'!G56-G56))),6,
IF(AND(E56&gt;G56,'Resultado Oficial'!E56&gt;'Resultado Oficial'!G56),3,
IF(AND(E56=G56,'Resultado Oficial'!E56='Resultado Oficial'!G56),3,
IF(AND(E56&lt;G56,'Resultado Oficial'!E56&lt;'Resultado Oficial'!G56),3,0))))))))</f>
        <v>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6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</row>
    <row r="57" ht="12.75" customHeight="1">
      <c r="A57" s="102">
        <v>44896.0</v>
      </c>
      <c r="B57" s="103">
        <v>0.6666666666666666</v>
      </c>
      <c r="C57" s="90" t="s">
        <v>96</v>
      </c>
      <c r="D57" s="104"/>
      <c r="E57" s="105">
        <v>0.0</v>
      </c>
      <c r="F57" s="106" t="s">
        <v>72</v>
      </c>
      <c r="G57" s="107">
        <v>2.0</v>
      </c>
      <c r="H57" s="108"/>
      <c r="I57" s="96" t="s">
        <v>98</v>
      </c>
      <c r="J57" s="97" t="s">
        <v>73</v>
      </c>
      <c r="K57" s="123"/>
      <c r="L57" s="124" t="str">
        <f>Mothci!MH38</f>
        <v>Costa Rica</v>
      </c>
      <c r="M57" s="125">
        <f>VLOOKUP(L57,Mothci!$LM$35:$LU$38,2,FALSE)</f>
        <v>1</v>
      </c>
      <c r="N57" s="126">
        <f>VLOOKUP(L57,Mothci!$LM$35:$LU$38,3,FALSE)</f>
        <v>3</v>
      </c>
      <c r="O57" s="126">
        <f>VLOOKUP(L57,Mothci!$LM$35:$LU$38,4,FALSE)</f>
        <v>0</v>
      </c>
      <c r="P57" s="126">
        <f>VLOOKUP(L57,Mothci!$LM$35:$LU$38,5,FALSE)</f>
        <v>1</v>
      </c>
      <c r="Q57" s="126">
        <f>VLOOKUP(L57,Mothci!$LM$35:$LU$38,6,FALSE)</f>
        <v>2</v>
      </c>
      <c r="R57" s="126">
        <f>VLOOKUP(L57,Mothci!$LM$35:$LU$38,7,FALSE)</f>
        <v>1</v>
      </c>
      <c r="S57" s="126">
        <f>VLOOKUP(L57,Mothci!$LM$35:$LU$38,8,FALSE)</f>
        <v>5</v>
      </c>
      <c r="T57" s="127">
        <f>VLOOKUP(L57,Mothci!$LM$35:$LU$38,9,FALSE)</f>
        <v>-4</v>
      </c>
      <c r="U57" s="53"/>
      <c r="V57" s="53"/>
      <c r="W57" s="53"/>
      <c r="X57" s="218"/>
      <c r="Y57" s="53"/>
      <c r="Z57" s="236">
        <f>IF(OR(E57="",G57="",'Resultado Oficial'!E57="",'Resultado Oficial'!G57=""),"",
IF(AND(E57='Resultado Oficial'!E57,G57='Resultado Oficial'!G57),10,
IF(AND(E57=G57,'Resultado Oficial'!E57='Resultado Oficial'!G57,ABS((E57-'Resultado Oficial'!E57))=1),6,
IF(AND(E57&gt;G57,'Resultado Oficial'!E57&gt;'Resultado Oficial'!G57,((E57-'Resultado Oficial'!E57)=(G57-'Resultado Oficial'!G57))),6,
IF(AND(E57&lt;G57,'Resultado Oficial'!E57&lt;'Resultado Oficial'!G57,(('Resultado Oficial'!E57-E57)=('Resultado Oficial'!G57-G57))),6,
IF(AND(E57&gt;G57,'Resultado Oficial'!E57&gt;'Resultado Oficial'!G57),3,
IF(AND(E57=G57,'Resultado Oficial'!E57='Resultado Oficial'!G57),3,
IF(AND(E57&lt;G57,'Resultado Oficial'!E57&lt;'Resultado Oficial'!G57),3,0))))))))</f>
        <v>6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  <c r="IT57" s="53"/>
      <c r="IU57" s="53"/>
      <c r="IV57" s="53"/>
      <c r="IW57" s="53"/>
      <c r="IX57" s="53"/>
      <c r="IY57" s="53"/>
      <c r="IZ57" s="53"/>
      <c r="JA57" s="53"/>
      <c r="JB57" s="53"/>
      <c r="JC57" s="53"/>
      <c r="JD57" s="53"/>
      <c r="JE57" s="53"/>
      <c r="JF57" s="53"/>
      <c r="JG57" s="53"/>
      <c r="JH57" s="53"/>
      <c r="JI57" s="53"/>
      <c r="JJ57" s="53"/>
      <c r="JK57" s="53"/>
      <c r="JL57" s="53"/>
      <c r="JM57" s="53"/>
      <c r="JN57" s="53"/>
      <c r="JO57" s="53"/>
      <c r="JP57" s="53"/>
      <c r="JQ57" s="53"/>
      <c r="JR57" s="53"/>
      <c r="JS57" s="53"/>
      <c r="JT57" s="53"/>
      <c r="JU57" s="53"/>
      <c r="JV57" s="53"/>
      <c r="JW57" s="53"/>
      <c r="JX57" s="53"/>
      <c r="JY57" s="53"/>
      <c r="JZ57" s="53"/>
      <c r="KA57" s="53"/>
      <c r="KB57" s="53"/>
      <c r="KC57" s="53"/>
      <c r="KD57" s="53"/>
      <c r="KE57" s="53"/>
      <c r="KF57" s="53"/>
      <c r="KG57" s="53"/>
      <c r="KH57" s="53"/>
      <c r="KI57" s="53"/>
      <c r="KJ57" s="53"/>
      <c r="KK57" s="53"/>
      <c r="KL57" s="53"/>
      <c r="KM57" s="53"/>
      <c r="KN57" s="53"/>
      <c r="KO57" s="53"/>
      <c r="KP57" s="53"/>
      <c r="KQ57" s="53"/>
      <c r="KR57" s="53"/>
      <c r="KS57" s="53"/>
      <c r="KT57" s="53"/>
      <c r="KU57" s="53"/>
      <c r="KV57" s="53"/>
      <c r="KW57" s="53"/>
      <c r="KX57" s="53"/>
      <c r="KY57" s="53"/>
      <c r="KZ57" s="53"/>
      <c r="LA57" s="53"/>
      <c r="LB57" s="53"/>
      <c r="LC57" s="53"/>
      <c r="LD57" s="53"/>
      <c r="LE57" s="53"/>
      <c r="LF57" s="53"/>
      <c r="LG57" s="53"/>
      <c r="LH57" s="53"/>
      <c r="LI57" s="53"/>
      <c r="LJ57" s="53"/>
      <c r="LK57" s="53"/>
      <c r="LL57" s="53"/>
      <c r="LM57" s="56"/>
      <c r="LN57" s="145" t="s">
        <v>117</v>
      </c>
      <c r="LO57" s="145"/>
      <c r="LP57" s="145"/>
      <c r="LQ57" s="145"/>
      <c r="LR57" s="145"/>
      <c r="LS57" s="145"/>
      <c r="LT57" s="145"/>
      <c r="LU57" s="145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</row>
    <row r="58" ht="12.75" customHeight="1">
      <c r="A58" s="128"/>
      <c r="B58" s="129"/>
      <c r="C58" s="143"/>
      <c r="D58" s="53"/>
      <c r="E58" s="144"/>
      <c r="F58" s="144"/>
      <c r="G58" s="144"/>
      <c r="H58" s="144"/>
      <c r="I58" s="52"/>
      <c r="J58" s="54"/>
      <c r="K58" s="55"/>
      <c r="L58" s="131"/>
      <c r="M58" s="134"/>
      <c r="N58" s="134"/>
      <c r="O58" s="134"/>
      <c r="P58" s="134"/>
      <c r="Q58" s="134"/>
      <c r="R58" s="134"/>
      <c r="S58" s="134"/>
      <c r="T58" s="134"/>
      <c r="U58" s="53"/>
      <c r="V58" s="53"/>
      <c r="W58" s="53"/>
      <c r="X58" s="21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69" t="s">
        <v>50</v>
      </c>
      <c r="LN58" s="70" t="s">
        <v>51</v>
      </c>
      <c r="LO58" s="71" t="s">
        <v>52</v>
      </c>
      <c r="LP58" s="71" t="s">
        <v>53</v>
      </c>
      <c r="LQ58" s="71" t="s">
        <v>54</v>
      </c>
      <c r="LR58" s="71" t="s">
        <v>55</v>
      </c>
      <c r="LS58" s="71" t="s">
        <v>56</v>
      </c>
      <c r="LT58" s="71" t="s">
        <v>57</v>
      </c>
      <c r="LU58" s="71" t="s">
        <v>58</v>
      </c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</row>
    <row r="59" ht="12.75" customHeight="1">
      <c r="A59" s="135" t="s">
        <v>118</v>
      </c>
      <c r="B59" s="136"/>
      <c r="C59" s="136"/>
      <c r="D59" s="85"/>
      <c r="E59" s="137"/>
      <c r="F59" s="138"/>
      <c r="G59" s="138"/>
      <c r="H59" s="85"/>
      <c r="I59" s="139"/>
      <c r="J59" s="140"/>
      <c r="K59" s="82"/>
      <c r="L59" s="83"/>
      <c r="M59" s="84"/>
      <c r="N59" s="84"/>
      <c r="O59" s="84"/>
      <c r="P59" s="84"/>
      <c r="Q59" s="85"/>
      <c r="R59" s="86"/>
      <c r="S59" s="86"/>
      <c r="T59" s="87"/>
      <c r="U59" s="53"/>
      <c r="V59" s="53"/>
      <c r="W59" s="53"/>
      <c r="X59" s="218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6" t="s">
        <v>119</v>
      </c>
      <c r="LN59" s="70">
        <f>IF(OR(E77="",G77=""),0,IF(LO59=0,0,IF(E77&gt;G77,3,IF(E77=G77,1,0)))+IF(OR(E79="",G79=""),0,IF(E79&gt;G79,3,IF(E79=G79,1,0)))+IF(OR(G81="",E81=""),0,IF(G81&gt;E81,3,IF(G81=E81,1,0))))</f>
        <v>5</v>
      </c>
      <c r="LO59" s="71">
        <f>IF(AND(E77&lt;&gt;"",G77&lt;&gt;""),1,0)+IF(AND(E79&lt;&gt;"",G79&lt;&gt;""),1,0)+IF(AND(E81&lt;&gt;"",G81&lt;&gt;""),1,0)</f>
        <v>3</v>
      </c>
      <c r="LP59" s="71">
        <f>IF(OR(E77="",G77=""),0,IF(E77&gt;G77,1,0))+IF(OR(E79="",G79=""),0,IF(E79&gt;G79,1,0))+IF(OR(G81="",E81=""),0,IF(G81&gt;E81,1,0))</f>
        <v>1</v>
      </c>
      <c r="LQ59" s="71">
        <f>IF(OR(E77="",G77=""),0,IF(E77=G77,1,0))+IF(OR(E79="",G79=""),0,IF(E79=G79,1,0))+IF(OR(G81="",E81=""),0,IF(G81=E81,1,0))</f>
        <v>2</v>
      </c>
      <c r="LR59" s="71">
        <f>IF(OR(E77="",G77=""),0,IF(E77&lt;G77,1,0))+IF(OR(E79="",G79=""),0,IF(E79&lt;G79,1,0))+IF(OR(G81="",E81=""),0,IF(G81&lt;E81,1,0))</f>
        <v>0</v>
      </c>
      <c r="LS59" s="71">
        <f>E77+E79+G81</f>
        <v>2</v>
      </c>
      <c r="LT59" s="71">
        <f>G77+G79+E81</f>
        <v>0</v>
      </c>
      <c r="LU59" s="71">
        <f t="shared" ref="LU59:LU62" si="63">LS59-LT59</f>
        <v>2</v>
      </c>
      <c r="LV59" s="70">
        <f t="shared" ref="LV59:LV62" si="64">LN59</f>
        <v>5</v>
      </c>
      <c r="LW59" s="70">
        <f t="shared" ref="LW59:LW62" si="65">LU59/10</f>
        <v>0.2</v>
      </c>
      <c r="LX59" s="70">
        <f t="shared" ref="LX59:LX62" si="66">LS59/100</f>
        <v>0.02</v>
      </c>
      <c r="LY59" s="70">
        <f t="shared" ref="LY59:LY62" si="67">SUM(LV59:LX59)</f>
        <v>5.22</v>
      </c>
      <c r="LZ59" s="70">
        <f>IF(LY59=LY60,IF(E77&gt;G77,0.001,0),0)</f>
        <v>0</v>
      </c>
      <c r="MA59" s="70">
        <f>IF(LY59=LY61,IF(E79&gt;G79,0.001,0),0)</f>
        <v>0</v>
      </c>
      <c r="MB59" s="70">
        <f>IF(LY59=LY62,IF(G81&gt;E81,0.001,0),0)</f>
        <v>0</v>
      </c>
      <c r="MC59" s="70">
        <f t="shared" ref="MC59:MC62" si="68">SUM(LY59:MB59)</f>
        <v>5.22</v>
      </c>
      <c r="MD59" s="70">
        <f>RANK($MC$59,$MC$59:$MC$62,0)</f>
        <v>2</v>
      </c>
      <c r="ME59" s="70">
        <f>MD59</f>
        <v>2</v>
      </c>
      <c r="MF59" s="70">
        <v>1.0</v>
      </c>
      <c r="MG59" s="70">
        <f t="shared" ref="MG59:MG62" si="69">MATCH(MF59,$ME$59:$ME$62,0)</f>
        <v>2</v>
      </c>
      <c r="MH59" s="70" t="str">
        <f t="shared" ref="MH59:MH62" si="70">INDEX($LM$59:$LM$62,MG59)</f>
        <v>Gana</v>
      </c>
    </row>
    <row r="60" ht="12.75" customHeight="1">
      <c r="A60" s="102">
        <v>44888.0</v>
      </c>
      <c r="B60" s="103">
        <v>0.2916666666666667</v>
      </c>
      <c r="C60" s="90" t="s">
        <v>107</v>
      </c>
      <c r="D60" s="113"/>
      <c r="E60" s="105">
        <v>0.0</v>
      </c>
      <c r="F60" s="106" t="s">
        <v>72</v>
      </c>
      <c r="G60" s="107">
        <v>1.0</v>
      </c>
      <c r="H60" s="108"/>
      <c r="I60" s="96" t="s">
        <v>108</v>
      </c>
      <c r="J60" s="97" t="s">
        <v>73</v>
      </c>
      <c r="K60" s="98"/>
      <c r="L60" s="99" t="s">
        <v>120</v>
      </c>
      <c r="M60" s="100"/>
      <c r="N60" s="100"/>
      <c r="O60" s="100"/>
      <c r="P60" s="100"/>
      <c r="Q60" s="100"/>
      <c r="R60" s="100"/>
      <c r="S60" s="100"/>
      <c r="T60" s="101"/>
      <c r="U60" s="53"/>
      <c r="V60" s="53"/>
      <c r="W60" s="53"/>
      <c r="X60" s="218"/>
      <c r="Y60" s="53"/>
      <c r="Z60" s="236">
        <f>IF(OR(E60="",G60="",'Resultado Oficial'!E60="",'Resultado Oficial'!G60=""),"",
IF(AND(E60='Resultado Oficial'!E60,G60='Resultado Oficial'!G60),10,
IF(AND(E60=G60,'Resultado Oficial'!E60='Resultado Oficial'!G60,ABS((E60-'Resultado Oficial'!E60))=1),6,
IF(AND(E60&gt;G60,'Resultado Oficial'!E60&gt;'Resultado Oficial'!G60,((E60-'Resultado Oficial'!E60)=(G60-'Resultado Oficial'!G60))),6,
IF(AND(E60&lt;G60,'Resultado Oficial'!E60&lt;'Resultado Oficial'!G60,(('Resultado Oficial'!E60-E60)=('Resultado Oficial'!G60-G60))),6,
IF(AND(E60&gt;G60,'Resultado Oficial'!E60&gt;'Resultado Oficial'!G60),3,
IF(AND(E60=G60,'Resultado Oficial'!E60='Resultado Oficial'!G60),3,
IF(AND(E60&lt;G60,'Resultado Oficial'!E60&lt;'Resultado Oficial'!G60),3,0))))))))</f>
        <v>0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  <c r="IT60" s="53"/>
      <c r="IU60" s="53"/>
      <c r="IV60" s="53"/>
      <c r="IW60" s="53"/>
      <c r="IX60" s="53"/>
      <c r="IY60" s="53"/>
      <c r="IZ60" s="53"/>
      <c r="JA60" s="53"/>
      <c r="JB60" s="53"/>
      <c r="JC60" s="53"/>
      <c r="JD60" s="53"/>
      <c r="JE60" s="53"/>
      <c r="JF60" s="53"/>
      <c r="JG60" s="53"/>
      <c r="JH60" s="53"/>
      <c r="JI60" s="53"/>
      <c r="JJ60" s="53"/>
      <c r="JK60" s="53"/>
      <c r="JL60" s="53"/>
      <c r="JM60" s="53"/>
      <c r="JN60" s="53"/>
      <c r="JO60" s="53"/>
      <c r="JP60" s="53"/>
      <c r="JQ60" s="53"/>
      <c r="JR60" s="53"/>
      <c r="JS60" s="53"/>
      <c r="JT60" s="53"/>
      <c r="JU60" s="53"/>
      <c r="JV60" s="53"/>
      <c r="JW60" s="53"/>
      <c r="JX60" s="53"/>
      <c r="JY60" s="53"/>
      <c r="JZ60" s="53"/>
      <c r="KA60" s="53"/>
      <c r="KB60" s="53"/>
      <c r="KC60" s="53"/>
      <c r="KD60" s="53"/>
      <c r="KE60" s="53"/>
      <c r="KF60" s="53"/>
      <c r="KG60" s="53"/>
      <c r="KH60" s="53"/>
      <c r="KI60" s="53"/>
      <c r="KJ60" s="53"/>
      <c r="KK60" s="53"/>
      <c r="KL60" s="53"/>
      <c r="KM60" s="53"/>
      <c r="KN60" s="53"/>
      <c r="KO60" s="53"/>
      <c r="KP60" s="53"/>
      <c r="KQ60" s="53"/>
      <c r="KR60" s="53"/>
      <c r="KS60" s="53"/>
      <c r="KT60" s="53"/>
      <c r="KU60" s="53"/>
      <c r="KV60" s="53"/>
      <c r="KW60" s="53"/>
      <c r="KX60" s="53"/>
      <c r="KY60" s="53"/>
      <c r="KZ60" s="53"/>
      <c r="LA60" s="53"/>
      <c r="LB60" s="53"/>
      <c r="LC60" s="53"/>
      <c r="LD60" s="53"/>
      <c r="LE60" s="53"/>
      <c r="LF60" s="53"/>
      <c r="LG60" s="53"/>
      <c r="LH60" s="53"/>
      <c r="LI60" s="53"/>
      <c r="LJ60" s="53"/>
      <c r="LK60" s="53"/>
      <c r="LL60" s="53"/>
      <c r="LM60" s="56" t="s">
        <v>121</v>
      </c>
      <c r="LN60" s="70">
        <f>IF(OR(G77="",E77=""),0,IF(LO60=0,0,IF(G77&gt;E77,3,IF(G77=E77,1,0)))+IF(OR(G78="",E78=""),0,IF(G78&gt;E78,3,IF(G78=E78,1,0)))+IF(OR(G80="",E80=""),0,IF(E80&gt;G80,3,IF(E80=G80,1,0))))</f>
        <v>7</v>
      </c>
      <c r="LO60" s="71">
        <f>IF(AND(E77&lt;&gt;"",G77&lt;&gt;""),1,0)+IF(AND(E78&lt;&gt;"",G78&lt;&gt;""),1,0)+IF(AND(E80&lt;&gt;"",G80&lt;&gt;""),1,0)</f>
        <v>3</v>
      </c>
      <c r="LP60" s="71">
        <f>IF(OR(G77="",E77=""),0,IF(G77&gt;E77,1,0))+IF(OR(G78="",E78=""),0,IF(G78&gt;E78,1,0))+IF(OR(E80="",G80=""),0,IF(E80&gt;G80,1,0))</f>
        <v>2</v>
      </c>
      <c r="LQ60" s="71">
        <f>IF(OR(G77="",E77=""),0,IF(G77=E77,1,0))+IF(OR(G78="",E78=""),0,IF(G78=E78,1,0))+IF(OR(E80="",G80=""),0,IF(E80=G80,1,0))</f>
        <v>1</v>
      </c>
      <c r="LR60" s="71">
        <f>IF(OR(G77="",E77=""),0,IF(G77&lt;E77,1,0))+IF(OR(G78="",E78=""),0,IF(G78&lt;E78,1,0))+IF(OR(E80="",G80=""),0,IF(E80&lt;G80,1,0))</f>
        <v>0</v>
      </c>
      <c r="LS60" s="71">
        <f>G77+G78+E80</f>
        <v>2</v>
      </c>
      <c r="LT60" s="71">
        <f>E77+E78+G80</f>
        <v>0</v>
      </c>
      <c r="LU60" s="71">
        <f t="shared" si="63"/>
        <v>2</v>
      </c>
      <c r="LV60" s="70">
        <f t="shared" si="64"/>
        <v>7</v>
      </c>
      <c r="LW60" s="70">
        <f t="shared" si="65"/>
        <v>0.2</v>
      </c>
      <c r="LX60" s="70">
        <f t="shared" si="66"/>
        <v>0.02</v>
      </c>
      <c r="LY60" s="70">
        <f t="shared" si="67"/>
        <v>7.22</v>
      </c>
      <c r="LZ60" s="70">
        <f>IF(LY60=LY59,IF(G77&gt;E77,0.001,0),0)</f>
        <v>0</v>
      </c>
      <c r="MA60" s="70">
        <f>IF(LY60=LY61,IF(E80&gt;G80,0.001,0),0)</f>
        <v>0</v>
      </c>
      <c r="MB60" s="70">
        <f>IF(LY60=LY62,IF(G78&gt;E78,0.001,0),0)</f>
        <v>0</v>
      </c>
      <c r="MC60" s="70">
        <f t="shared" si="68"/>
        <v>7.22</v>
      </c>
      <c r="MD60" s="70">
        <f>RANK($MC$60,$MC$59:$MC$62,0)</f>
        <v>1</v>
      </c>
      <c r="ME60" s="70">
        <f>IF(OR(AND(MD59=MD60,MD59=MD61,MD59=MD62),AND(MD60=MD59,MD60=MD61),AND(MD60=MD59,MD60=MD62),MD60=MD59),MD60+1,MD60)</f>
        <v>1</v>
      </c>
      <c r="MF60" s="70">
        <v>2.0</v>
      </c>
      <c r="MG60" s="70">
        <f t="shared" si="69"/>
        <v>1</v>
      </c>
      <c r="MH60" s="70" t="str">
        <f t="shared" si="70"/>
        <v>Portugal</v>
      </c>
    </row>
    <row r="61" ht="12.75" customHeight="1">
      <c r="A61" s="102">
        <v>44888.0</v>
      </c>
      <c r="B61" s="103">
        <v>0.6666666666666666</v>
      </c>
      <c r="C61" s="90" t="s">
        <v>103</v>
      </c>
      <c r="D61" s="104"/>
      <c r="E61" s="105">
        <v>2.0</v>
      </c>
      <c r="F61" s="106" t="s">
        <v>72</v>
      </c>
      <c r="G61" s="107">
        <v>0.0</v>
      </c>
      <c r="H61" s="108"/>
      <c r="I61" s="96" t="s">
        <v>105</v>
      </c>
      <c r="J61" s="97" t="s">
        <v>88</v>
      </c>
      <c r="K61" s="109"/>
      <c r="L61" s="110"/>
      <c r="M61" s="111" t="s">
        <v>51</v>
      </c>
      <c r="N61" s="111" t="s">
        <v>52</v>
      </c>
      <c r="O61" s="111" t="s">
        <v>53</v>
      </c>
      <c r="P61" s="111" t="s">
        <v>54</v>
      </c>
      <c r="Q61" s="111" t="s">
        <v>55</v>
      </c>
      <c r="R61" s="111" t="s">
        <v>56</v>
      </c>
      <c r="S61" s="111" t="s">
        <v>57</v>
      </c>
      <c r="T61" s="112" t="s">
        <v>58</v>
      </c>
      <c r="U61" s="53"/>
      <c r="V61" s="50" t="str">
        <f>A59</f>
        <v>Primeira fase       GRUPO F</v>
      </c>
      <c r="W61" s="50"/>
      <c r="X61" s="218" t="s">
        <v>145</v>
      </c>
      <c r="Y61" s="53"/>
      <c r="Z61" s="236">
        <f>IF(OR(E61="",G61="",'Resultado Oficial'!E61="",'Resultado Oficial'!G61=""),"",
IF(AND(E61='Resultado Oficial'!E61,G61='Resultado Oficial'!G61),10,
IF(AND(E61=G61,'Resultado Oficial'!E61='Resultado Oficial'!G61,ABS((E61-'Resultado Oficial'!E61))=1),6,
IF(AND(E61&gt;G61,'Resultado Oficial'!E61&gt;'Resultado Oficial'!G61,((E61-'Resultado Oficial'!E61)=(G61-'Resultado Oficial'!G61))),6,
IF(AND(E61&lt;G61,'Resultado Oficial'!E61&lt;'Resultado Oficial'!G61,(('Resultado Oficial'!E61-E61)=('Resultado Oficial'!G61-G61))),6,
IF(AND(E61&gt;G61,'Resultado Oficial'!E61&gt;'Resultado Oficial'!G61),3,
IF(AND(E61=G61,'Resultado Oficial'!E61='Resultado Oficial'!G61),3,
IF(AND(E61&lt;G61,'Resultado Oficial'!E61&lt;'Resultado Oficial'!G61),3,0))))))))</f>
        <v>3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  <c r="IT61" s="53"/>
      <c r="IU61" s="53"/>
      <c r="IV61" s="53"/>
      <c r="IW61" s="53"/>
      <c r="IX61" s="53"/>
      <c r="IY61" s="53"/>
      <c r="IZ61" s="53"/>
      <c r="JA61" s="53"/>
      <c r="JB61" s="53"/>
      <c r="JC61" s="53"/>
      <c r="JD61" s="53"/>
      <c r="JE61" s="53"/>
      <c r="JF61" s="53"/>
      <c r="JG61" s="53"/>
      <c r="JH61" s="53"/>
      <c r="JI61" s="53"/>
      <c r="JJ61" s="53"/>
      <c r="JK61" s="53"/>
      <c r="JL61" s="53"/>
      <c r="JM61" s="53"/>
      <c r="JN61" s="53"/>
      <c r="JO61" s="53"/>
      <c r="JP61" s="53"/>
      <c r="JQ61" s="53"/>
      <c r="JR61" s="53"/>
      <c r="JS61" s="53"/>
      <c r="JT61" s="53"/>
      <c r="JU61" s="53"/>
      <c r="JV61" s="53"/>
      <c r="JW61" s="53"/>
      <c r="JX61" s="53"/>
      <c r="JY61" s="53"/>
      <c r="JZ61" s="53"/>
      <c r="KA61" s="53"/>
      <c r="KB61" s="53"/>
      <c r="KC61" s="53"/>
      <c r="KD61" s="53"/>
      <c r="KE61" s="53"/>
      <c r="KF61" s="53"/>
      <c r="KG61" s="53"/>
      <c r="KH61" s="53"/>
      <c r="KI61" s="53"/>
      <c r="KJ61" s="53"/>
      <c r="KK61" s="53"/>
      <c r="KL61" s="53"/>
      <c r="KM61" s="53"/>
      <c r="KN61" s="53"/>
      <c r="KO61" s="53"/>
      <c r="KP61" s="53"/>
      <c r="KQ61" s="53"/>
      <c r="KR61" s="53"/>
      <c r="KS61" s="53"/>
      <c r="KT61" s="53"/>
      <c r="KU61" s="53"/>
      <c r="KV61" s="53"/>
      <c r="KW61" s="53"/>
      <c r="KX61" s="53"/>
      <c r="KY61" s="53"/>
      <c r="KZ61" s="53"/>
      <c r="LA61" s="53"/>
      <c r="LB61" s="53"/>
      <c r="LC61" s="53"/>
      <c r="LD61" s="53"/>
      <c r="LE61" s="53"/>
      <c r="LF61" s="53"/>
      <c r="LG61" s="53"/>
      <c r="LH61" s="53"/>
      <c r="LI61" s="53"/>
      <c r="LJ61" s="53"/>
      <c r="LK61" s="53"/>
      <c r="LL61" s="53"/>
      <c r="LM61" s="56" t="s">
        <v>122</v>
      </c>
      <c r="LN61" s="70">
        <f>IF(OR(E76="",G76=""),0,IF(LO61=0,0,IF(E76&gt;G76,3,IF(E76=G76,1,0)))+IF(OR(G79="",E79=""),0,IF(G79&gt;E79,3,IF(G79=E79,1,0)))+IF(OR(G80="",E80=""),0,IF(G80&gt;E80,3,IF(E80=G80,1,0))))</f>
        <v>4</v>
      </c>
      <c r="LO61" s="71">
        <f>IF(AND(E76&lt;&gt;"",G76&lt;&gt;""),1,0)+IF(AND(E79&lt;&gt;"",G79&lt;&gt;""),1,0)+IF(AND(E80&lt;&gt;"",G80&lt;&gt;""),1,0)</f>
        <v>3</v>
      </c>
      <c r="LP61" s="71">
        <f>IF(OR(E76="",G76=""),0,IF(E76&gt;G76,1,0))+IF(OR(G79="",E79=""),0,IF(G79&gt;E79,1,0))+IF(OR(G80="",E80=""),0,IF(G80&gt;E80,1,0))</f>
        <v>1</v>
      </c>
      <c r="LQ61" s="71">
        <f>IF(OR(E76="",G76=""),0,IF(E76=G76,1,0))+IF(OR(G79="",E79=""),0,IF(G79=E79,1,0))+IF(OR(G80="",E80=""),0,IF(G80=E80,1,0))</f>
        <v>1</v>
      </c>
      <c r="LR61" s="71">
        <f>IF(OR(E76="",G76=""),0,IF(E76&lt;G76,1,0))+IF(OR(G79="",E79=""),0,IF(G79&lt;E79,1,0))+IF(OR(G80="",E80=""),0,IF(G80&lt;E80,1,0))</f>
        <v>1</v>
      </c>
      <c r="LS61" s="71">
        <f>E76+G79+G80</f>
        <v>1</v>
      </c>
      <c r="LT61" s="71">
        <f>G76+E79+E80</f>
        <v>1</v>
      </c>
      <c r="LU61" s="71">
        <f t="shared" si="63"/>
        <v>0</v>
      </c>
      <c r="LV61" s="70">
        <f t="shared" si="64"/>
        <v>4</v>
      </c>
      <c r="LW61" s="70">
        <f t="shared" si="65"/>
        <v>0</v>
      </c>
      <c r="LX61" s="70">
        <f t="shared" si="66"/>
        <v>0.01</v>
      </c>
      <c r="LY61" s="70">
        <f t="shared" si="67"/>
        <v>4.01</v>
      </c>
      <c r="LZ61" s="70">
        <f>IF(LY61=LY59,IF(G79&gt;E79,0.001,0),0)</f>
        <v>0</v>
      </c>
      <c r="MA61" s="70">
        <f>IF(LY61=LY60,IF(G80&gt;E80,0.001,0),0)</f>
        <v>0</v>
      </c>
      <c r="MB61" s="70">
        <f>IF(LY61=LY62,IF(E76&gt;G76,0.001,0),0)</f>
        <v>0</v>
      </c>
      <c r="MC61" s="70">
        <f t="shared" si="68"/>
        <v>4.01</v>
      </c>
      <c r="MD61" s="70">
        <f>RANK($MC$61,$MC$59:$MC$62,0)</f>
        <v>3</v>
      </c>
      <c r="ME61" s="70">
        <f>IF(OR(AND(MD59=MD60,MD59=MD61,MD59=MD62),AND(MD61=MD59,MD61=MD60)),MD61+2,IF(OR(AND(MD61=MD60,MD61=MD62),MD61=MD59,MD61=MD60),MD61+1,MD61))</f>
        <v>3</v>
      </c>
      <c r="MF61" s="70">
        <v>3.0</v>
      </c>
      <c r="MG61" s="70">
        <f t="shared" si="69"/>
        <v>3</v>
      </c>
      <c r="MH61" s="70" t="str">
        <f t="shared" si="70"/>
        <v>Uruguai</v>
      </c>
    </row>
    <row r="62" ht="12.75" customHeight="1">
      <c r="A62" s="102">
        <v>44892.0</v>
      </c>
      <c r="B62" s="103">
        <v>0.4166666666666667</v>
      </c>
      <c r="C62" s="90" t="s">
        <v>103</v>
      </c>
      <c r="D62" s="113"/>
      <c r="E62" s="114">
        <v>1.0</v>
      </c>
      <c r="F62" s="115" t="s">
        <v>72</v>
      </c>
      <c r="G62" s="116">
        <v>0.0</v>
      </c>
      <c r="H62" s="117"/>
      <c r="I62" s="96" t="s">
        <v>107</v>
      </c>
      <c r="J62" s="97" t="s">
        <v>76</v>
      </c>
      <c r="K62" s="109"/>
      <c r="L62" s="118" t="str">
        <f>Mothci!MH43</f>
        <v>Bélgica</v>
      </c>
      <c r="M62" s="119">
        <f>VLOOKUP(L62,Mothci!$LM$43:$LU$46,2,FALSE)</f>
        <v>7</v>
      </c>
      <c r="N62" s="120">
        <f>VLOOKUP(L62,Mothci!$LM$43:$LU$46,3,FALSE)</f>
        <v>3</v>
      </c>
      <c r="O62" s="120">
        <f>VLOOKUP(L62,Mothci!$LM$43:$LU$46,4,FALSE)</f>
        <v>2</v>
      </c>
      <c r="P62" s="120">
        <f>VLOOKUP(L62,Mothci!$LM$43:$LU$46,5,FALSE)</f>
        <v>1</v>
      </c>
      <c r="Q62" s="120">
        <f>VLOOKUP(L62,Mothci!$LM$43:$LU$46,6,FALSE)</f>
        <v>0</v>
      </c>
      <c r="R62" s="120">
        <f>VLOOKUP(L62,Mothci!$LM$43:$LU$46,7,FALSE)</f>
        <v>3</v>
      </c>
      <c r="S62" s="120">
        <f>VLOOKUP(L62,Mothci!$LM$43:$LU$46,8,FALSE)</f>
        <v>0</v>
      </c>
      <c r="T62" s="121">
        <f>VLOOKUP(L62,Mothci!$LM$43:$LU$46,9,FALSE)</f>
        <v>3</v>
      </c>
      <c r="U62" s="53"/>
      <c r="V62" s="59" t="s">
        <v>78</v>
      </c>
      <c r="W62" s="122" t="str">
        <f t="shared" ref="W62:W63" si="71">IF(N62&lt;&gt;3,"",L62)</f>
        <v>Bélgica</v>
      </c>
      <c r="X62" s="236">
        <f>IF(AND(W62&lt;&gt;"",'Resultado Oficial'!W62&lt;&gt;"",'Resultado Oficial'!W63&lt;&gt;""),IF(W62='Resultado Oficial'!W62,5,IF(W62='Resultado Oficial'!W63,2,0)),"")</f>
        <v>0</v>
      </c>
      <c r="Y62" s="53"/>
      <c r="Z62" s="236">
        <f>IF(OR(E62="",G62="",'Resultado Oficial'!E62="",'Resultado Oficial'!G62=""),"",
IF(AND(E62='Resultado Oficial'!E62,G62='Resultado Oficial'!G62),10,
IF(AND(E62=G62,'Resultado Oficial'!E62='Resultado Oficial'!G62,ABS((E62-'Resultado Oficial'!E62))=1),6,
IF(AND(E62&gt;G62,'Resultado Oficial'!E62&gt;'Resultado Oficial'!G62,((E62-'Resultado Oficial'!E62)=(G62-'Resultado Oficial'!G62))),6,
IF(AND(E62&lt;G62,'Resultado Oficial'!E62&lt;'Resultado Oficial'!G62,(('Resultado Oficial'!E62-E62)=('Resultado Oficial'!G62-G62))),6,
IF(AND(E62&gt;G62,'Resultado Oficial'!E62&gt;'Resultado Oficial'!G62),3,
IF(AND(E62=G62,'Resultado Oficial'!E62='Resultado Oficial'!G62),3,
IF(AND(E62&lt;G62,'Resultado Oficial'!E62&lt;'Resultado Oficial'!G62),3,0))))))))</f>
        <v>0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  <c r="IW62" s="53"/>
      <c r="IX62" s="53"/>
      <c r="IY62" s="53"/>
      <c r="IZ62" s="53"/>
      <c r="JA62" s="53"/>
      <c r="JB62" s="53"/>
      <c r="JC62" s="53"/>
      <c r="JD62" s="53"/>
      <c r="JE62" s="53"/>
      <c r="JF62" s="53"/>
      <c r="JG62" s="53"/>
      <c r="JH62" s="53"/>
      <c r="JI62" s="53"/>
      <c r="JJ62" s="53"/>
      <c r="JK62" s="53"/>
      <c r="JL62" s="53"/>
      <c r="JM62" s="53"/>
      <c r="JN62" s="53"/>
      <c r="JO62" s="53"/>
      <c r="JP62" s="53"/>
      <c r="JQ62" s="53"/>
      <c r="JR62" s="53"/>
      <c r="JS62" s="53"/>
      <c r="JT62" s="53"/>
      <c r="JU62" s="53"/>
      <c r="JV62" s="53"/>
      <c r="JW62" s="53"/>
      <c r="JX62" s="53"/>
      <c r="JY62" s="53"/>
      <c r="JZ62" s="53"/>
      <c r="KA62" s="53"/>
      <c r="KB62" s="53"/>
      <c r="KC62" s="53"/>
      <c r="KD62" s="53"/>
      <c r="KE62" s="53"/>
      <c r="KF62" s="53"/>
      <c r="KG62" s="53"/>
      <c r="KH62" s="53"/>
      <c r="KI62" s="53"/>
      <c r="KJ62" s="53"/>
      <c r="KK62" s="53"/>
      <c r="KL62" s="53"/>
      <c r="KM62" s="53"/>
      <c r="KN62" s="53"/>
      <c r="KO62" s="53"/>
      <c r="KP62" s="53"/>
      <c r="KQ62" s="53"/>
      <c r="KR62" s="53"/>
      <c r="KS62" s="53"/>
      <c r="KT62" s="53"/>
      <c r="KU62" s="53"/>
      <c r="KV62" s="53"/>
      <c r="KW62" s="53"/>
      <c r="KX62" s="53"/>
      <c r="KY62" s="53"/>
      <c r="KZ62" s="53"/>
      <c r="LA62" s="53"/>
      <c r="LB62" s="53"/>
      <c r="LC62" s="53"/>
      <c r="LD62" s="53"/>
      <c r="LE62" s="53"/>
      <c r="LF62" s="53"/>
      <c r="LG62" s="53"/>
      <c r="LH62" s="53"/>
      <c r="LI62" s="53"/>
      <c r="LJ62" s="53"/>
      <c r="LK62" s="53"/>
      <c r="LL62" s="53"/>
      <c r="LM62" s="56" t="s">
        <v>123</v>
      </c>
      <c r="LN62" s="70">
        <f>IF(OR(G76="",E76=""),0,IF(LO62=0,0,IF(G76&gt;E76,3,IF(G78=E78,1,0)))+IF(OR(E78="",G78=""),0,IF(E78&gt;G78,3,IF(E78=G78,1,0)))+IF(OR(E81="",G81=""),0,IF(E81&gt;G81,3,IF(E81=G81,1,0))))</f>
        <v>0</v>
      </c>
      <c r="LO62" s="71">
        <f>IF(AND(E76&lt;&gt;"",G76&lt;&gt;""),1,0)+IF(AND(E78&lt;&gt;"",G78&lt;&gt;""),1,0)+IF(AND(E81&lt;&gt;"",G81&lt;&gt;""),1,0)</f>
        <v>3</v>
      </c>
      <c r="LP62" s="71">
        <f>IF(OR(G76="",E76=""),0,IF(G76&gt;E76,1,0))+IF(OR(E78="",G78=""),0,IF(E78&gt;G78,1,0))+IF(OR(E81="",G81=""),0,IF(E81&gt;G81,1,0))</f>
        <v>0</v>
      </c>
      <c r="LQ62" s="71">
        <f>IF(OR(G76="",E76=""),0,IF(G76=E76,1,0))+IF(OR(E78="",G78=""),0,IF(E78=G78,1,0))+IF(OR(E81="",G81=""),0,IF(E81=G81,1,0))</f>
        <v>0</v>
      </c>
      <c r="LR62" s="71">
        <f>IF(OR(G76="",E76=""),0,IF(G76&lt;E76,1,0))+IF(OR(E78="",G78=""),0,IF(E78&lt;G78,1,0))+IF(OR(E81="",G81=""),0,IF(E81&lt;G81,1,0))</f>
        <v>3</v>
      </c>
      <c r="LS62" s="71">
        <f>G76+E78+E81</f>
        <v>0</v>
      </c>
      <c r="LT62" s="71">
        <f>E76+G78+G81</f>
        <v>4</v>
      </c>
      <c r="LU62" s="71">
        <f t="shared" si="63"/>
        <v>-4</v>
      </c>
      <c r="LV62" s="70">
        <f t="shared" si="64"/>
        <v>0</v>
      </c>
      <c r="LW62" s="70">
        <f t="shared" si="65"/>
        <v>-0.4</v>
      </c>
      <c r="LX62" s="70">
        <f t="shared" si="66"/>
        <v>0</v>
      </c>
      <c r="LY62" s="70">
        <f t="shared" si="67"/>
        <v>-0.4</v>
      </c>
      <c r="LZ62" s="70">
        <f>IF(LY62=LY59,IF(E81&gt;G81,0.001,0),0)</f>
        <v>0</v>
      </c>
      <c r="MA62" s="70">
        <f>IF(LY62=LY60,IF(E78&gt;G78,0.001,0),0)</f>
        <v>0</v>
      </c>
      <c r="MB62" s="70">
        <f>IF(LY62=LY61,IF(G76&gt;E76,0.001,0),0)</f>
        <v>0</v>
      </c>
      <c r="MC62" s="70">
        <f t="shared" si="68"/>
        <v>-0.4</v>
      </c>
      <c r="MD62" s="70">
        <f>RANK($MC$62,$MC$59:$MC$62,0)</f>
        <v>4</v>
      </c>
      <c r="ME62" s="70">
        <f>IF(AND(MD59=MD60,MD59=MD61,MD59=MD62),MD62+3,IF(OR(AND(MD62=MD61,MD62=MD60),AND(MD62=MD60,MD62=MD59)),MD62+2,IF(OR(MD62=MD61,MD62=MD60,MD62=MD59),MD62+1,MD62)))</f>
        <v>4</v>
      </c>
      <c r="MF62" s="70">
        <v>4.0</v>
      </c>
      <c r="MG62" s="70">
        <f t="shared" si="69"/>
        <v>4</v>
      </c>
      <c r="MH62" s="70" t="str">
        <f t="shared" si="70"/>
        <v>Coréia do Sul</v>
      </c>
    </row>
    <row r="63" ht="12.75" customHeight="1">
      <c r="A63" s="102">
        <v>44892.0</v>
      </c>
      <c r="B63" s="103">
        <v>0.5416666666666666</v>
      </c>
      <c r="C63" s="90" t="s">
        <v>108</v>
      </c>
      <c r="D63" s="104"/>
      <c r="E63" s="105">
        <v>2.0</v>
      </c>
      <c r="F63" s="106" t="s">
        <v>72</v>
      </c>
      <c r="G63" s="107">
        <v>0.0</v>
      </c>
      <c r="H63" s="108"/>
      <c r="I63" s="96" t="s">
        <v>105</v>
      </c>
      <c r="J63" s="97" t="s">
        <v>80</v>
      </c>
      <c r="K63" s="109"/>
      <c r="L63" s="118" t="str">
        <f>Mothci!MH44</f>
        <v>Croácia</v>
      </c>
      <c r="M63" s="119">
        <f>VLOOKUP(L63,Mothci!$LM$43:$LU$46,2,FALSE)</f>
        <v>7</v>
      </c>
      <c r="N63" s="120">
        <f>VLOOKUP(L63,Mothci!$LM$43:$LU$46,3,FALSE)</f>
        <v>3</v>
      </c>
      <c r="O63" s="120">
        <f>VLOOKUP(L63,Mothci!$LM$43:$LU$46,4,FALSE)</f>
        <v>2</v>
      </c>
      <c r="P63" s="120">
        <f>VLOOKUP(L63,Mothci!$LM$43:$LU$46,5,FALSE)</f>
        <v>1</v>
      </c>
      <c r="Q63" s="120">
        <f>VLOOKUP(L63,Mothci!$LM$43:$LU$46,6,FALSE)</f>
        <v>0</v>
      </c>
      <c r="R63" s="120">
        <f>VLOOKUP(L63,Mothci!$LM$43:$LU$46,7,FALSE)</f>
        <v>3</v>
      </c>
      <c r="S63" s="120">
        <f>VLOOKUP(L63,Mothci!$LM$43:$LU$46,8,FALSE)</f>
        <v>0</v>
      </c>
      <c r="T63" s="121">
        <f>VLOOKUP(L63,Mothci!$LM$43:$LU$46,9,FALSE)</f>
        <v>3</v>
      </c>
      <c r="U63" s="53"/>
      <c r="V63" s="59" t="s">
        <v>81</v>
      </c>
      <c r="W63" s="122" t="str">
        <f t="shared" si="71"/>
        <v>Croácia</v>
      </c>
      <c r="X63" s="236">
        <f>IF(AND(W63&lt;&gt;"",'Resultado Oficial'!W62&lt;&gt;"",'Resultado Oficial'!W63&lt;&gt;""),IF(W63='Resultado Oficial'!W63,5,IF(W63='Resultado Oficial'!W62,2,0)),"")</f>
        <v>5</v>
      </c>
      <c r="Y63" s="53"/>
      <c r="Z63" s="236">
        <f>IF(OR(E63="",G63="",'Resultado Oficial'!E63="",'Resultado Oficial'!G63=""),"",
IF(AND(E63='Resultado Oficial'!E63,G63='Resultado Oficial'!G63),10,
IF(AND(E63=G63,'Resultado Oficial'!E63='Resultado Oficial'!G63,ABS((E63-'Resultado Oficial'!E63))=1),6,
IF(AND(E63&gt;G63,'Resultado Oficial'!E63&gt;'Resultado Oficial'!G63,((E63-'Resultado Oficial'!E63)=(G63-'Resultado Oficial'!G63))),6,
IF(AND(E63&lt;G63,'Resultado Oficial'!E63&lt;'Resultado Oficial'!G63,(('Resultado Oficial'!E63-E63)=('Resultado Oficial'!G63-G63))),6,
IF(AND(E63&gt;G63,'Resultado Oficial'!E63&gt;'Resultado Oficial'!G63),3,
IF(AND(E63=G63,'Resultado Oficial'!E63='Resultado Oficial'!G63),3,
IF(AND(E63&lt;G63,'Resultado Oficial'!E63&lt;'Resultado Oficial'!G63),3,0))))))))</f>
        <v>3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</row>
    <row r="64" ht="12.75" customHeight="1">
      <c r="A64" s="102">
        <v>44896.0</v>
      </c>
      <c r="B64" s="103">
        <v>0.5</v>
      </c>
      <c r="C64" s="90" t="s">
        <v>108</v>
      </c>
      <c r="D64" s="104"/>
      <c r="E64" s="105">
        <v>0.0</v>
      </c>
      <c r="F64" s="106" t="s">
        <v>72</v>
      </c>
      <c r="G64" s="107">
        <v>0.0</v>
      </c>
      <c r="H64" s="108"/>
      <c r="I64" s="96" t="s">
        <v>103</v>
      </c>
      <c r="J64" s="97" t="s">
        <v>88</v>
      </c>
      <c r="K64" s="109"/>
      <c r="L64" s="118" t="str">
        <f>Mothci!MH45</f>
        <v>Marrocos</v>
      </c>
      <c r="M64" s="119">
        <f>VLOOKUP(L64,Mothci!$LM$43:$LU$46,2,FALSE)</f>
        <v>1</v>
      </c>
      <c r="N64" s="120">
        <f>VLOOKUP(L64,Mothci!$LM$43:$LU$46,3,FALSE)</f>
        <v>3</v>
      </c>
      <c r="O64" s="120">
        <f>VLOOKUP(L64,Mothci!$LM$43:$LU$46,4,FALSE)</f>
        <v>0</v>
      </c>
      <c r="P64" s="120">
        <f>VLOOKUP(L64,Mothci!$LM$43:$LU$46,5,FALSE)</f>
        <v>1</v>
      </c>
      <c r="Q64" s="120">
        <f>VLOOKUP(L64,Mothci!$LM$43:$LU$46,6,FALSE)</f>
        <v>2</v>
      </c>
      <c r="R64" s="120">
        <f>VLOOKUP(L64,Mothci!$LM$43:$LU$46,7,FALSE)</f>
        <v>0</v>
      </c>
      <c r="S64" s="120">
        <f>VLOOKUP(L64,Mothci!$LM$43:$LU$46,8,FALSE)</f>
        <v>2</v>
      </c>
      <c r="T64" s="121">
        <f>VLOOKUP(L64,Mothci!$LM$43:$LU$46,9,FALSE)</f>
        <v>-2</v>
      </c>
      <c r="U64" s="53"/>
      <c r="V64" s="53"/>
      <c r="W64" s="53"/>
      <c r="X64" s="218"/>
      <c r="Y64" s="53"/>
      <c r="Z64" s="236">
        <f>IF(OR(E64="",G64="",'Resultado Oficial'!E64="",'Resultado Oficial'!G64=""),"",
IF(AND(E64='Resultado Oficial'!E64,G64='Resultado Oficial'!G64),10,
IF(AND(E64=G64,'Resultado Oficial'!E64='Resultado Oficial'!G64,ABS((E64-'Resultado Oficial'!E64))=1),6,
IF(AND(E64&gt;G64,'Resultado Oficial'!E64&gt;'Resultado Oficial'!G64,((E64-'Resultado Oficial'!E64)=(G64-'Resultado Oficial'!G64))),6,
IF(AND(E64&lt;G64,'Resultado Oficial'!E64&lt;'Resultado Oficial'!G64,(('Resultado Oficial'!E64-E64)=('Resultado Oficial'!G64-G64))),6,
IF(AND(E64&gt;G64,'Resultado Oficial'!E64&gt;'Resultado Oficial'!G64),3,
IF(AND(E64=G64,'Resultado Oficial'!E64='Resultado Oficial'!G64),3,
IF(AND(E64&lt;G64,'Resultado Oficial'!E64&lt;'Resultado Oficial'!G64),3,0))))))))</f>
        <v>10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  <c r="IT64" s="53"/>
      <c r="IU64" s="53"/>
      <c r="IV64" s="53"/>
      <c r="IW64" s="53"/>
      <c r="IX64" s="53"/>
      <c r="IY64" s="53"/>
      <c r="IZ64" s="53"/>
      <c r="JA64" s="53"/>
      <c r="JB64" s="53"/>
      <c r="JC64" s="53"/>
      <c r="JD64" s="53"/>
      <c r="JE64" s="53"/>
      <c r="JF64" s="53"/>
      <c r="JG64" s="53"/>
      <c r="JH64" s="53"/>
      <c r="JI64" s="53"/>
      <c r="JJ64" s="53"/>
      <c r="JK64" s="53"/>
      <c r="JL64" s="53"/>
      <c r="JM64" s="53"/>
      <c r="JN64" s="53"/>
      <c r="JO64" s="53"/>
      <c r="JP64" s="53"/>
      <c r="JQ64" s="53"/>
      <c r="JR64" s="53"/>
      <c r="JS64" s="53"/>
      <c r="JT64" s="53"/>
      <c r="JU64" s="53"/>
      <c r="JV64" s="53"/>
      <c r="JW64" s="53"/>
      <c r="JX64" s="53"/>
      <c r="JY64" s="53"/>
      <c r="JZ64" s="53"/>
      <c r="KA64" s="53"/>
      <c r="KB64" s="53"/>
      <c r="KC64" s="53"/>
      <c r="KD64" s="53"/>
      <c r="KE64" s="53"/>
      <c r="KF64" s="53"/>
      <c r="KG64" s="53"/>
      <c r="KH64" s="53"/>
      <c r="KI64" s="53"/>
      <c r="KJ64" s="53"/>
      <c r="KK64" s="53"/>
      <c r="KL64" s="53"/>
      <c r="KM64" s="53"/>
      <c r="KN64" s="53"/>
      <c r="KO64" s="53"/>
      <c r="KP64" s="53"/>
      <c r="KQ64" s="53"/>
      <c r="KR64" s="53"/>
      <c r="KS64" s="53"/>
      <c r="KT64" s="53"/>
      <c r="KU64" s="53"/>
      <c r="KV64" s="53"/>
      <c r="KW64" s="53"/>
      <c r="KX64" s="53"/>
      <c r="KY64" s="53"/>
      <c r="KZ64" s="53"/>
      <c r="LA64" s="53"/>
      <c r="LB64" s="53"/>
      <c r="LC64" s="53"/>
      <c r="LD64" s="53"/>
      <c r="LE64" s="53"/>
      <c r="LF64" s="53"/>
      <c r="LG64" s="53"/>
      <c r="LH64" s="53"/>
      <c r="LI64" s="53"/>
      <c r="LJ64" s="53"/>
      <c r="LK64" s="53"/>
      <c r="LL64" s="53"/>
      <c r="LM64" s="53"/>
      <c r="LN64" s="53"/>
      <c r="LO64" s="53"/>
      <c r="LP64" s="53"/>
      <c r="LQ64" s="53"/>
      <c r="LR64" s="53"/>
      <c r="LS64" s="53"/>
      <c r="LT64" s="53"/>
      <c r="LU64" s="53"/>
      <c r="LV64" s="53"/>
      <c r="LW64" s="53"/>
      <c r="LX64" s="53"/>
      <c r="LY64" s="53"/>
      <c r="LZ64" s="53"/>
      <c r="MA64" s="53"/>
      <c r="MB64" s="53"/>
      <c r="MC64" s="53"/>
      <c r="MD64" s="53"/>
      <c r="ME64" s="53"/>
      <c r="MF64" s="53"/>
      <c r="MG64" s="53"/>
      <c r="MH64" s="53"/>
    </row>
    <row r="65" ht="12.75" customHeight="1">
      <c r="A65" s="102">
        <v>44896.0</v>
      </c>
      <c r="B65" s="103">
        <v>0.5</v>
      </c>
      <c r="C65" s="90" t="s">
        <v>105</v>
      </c>
      <c r="D65" s="104"/>
      <c r="E65" s="105">
        <v>0.0</v>
      </c>
      <c r="F65" s="106" t="s">
        <v>72</v>
      </c>
      <c r="G65" s="107">
        <v>0.0</v>
      </c>
      <c r="H65" s="108"/>
      <c r="I65" s="96" t="s">
        <v>107</v>
      </c>
      <c r="J65" s="97" t="s">
        <v>76</v>
      </c>
      <c r="K65" s="123"/>
      <c r="L65" s="124" t="str">
        <f>Mothci!MH46</f>
        <v>Canadá</v>
      </c>
      <c r="M65" s="125">
        <f>VLOOKUP(L65,Mothci!$LM$43:$LU$46,2,FALSE)</f>
        <v>1</v>
      </c>
      <c r="N65" s="126">
        <f>VLOOKUP(L65,Mothci!$LM$43:$LU$46,3,FALSE)</f>
        <v>3</v>
      </c>
      <c r="O65" s="126">
        <f>VLOOKUP(L65,Mothci!$LM$43:$LU$46,4,FALSE)</f>
        <v>0</v>
      </c>
      <c r="P65" s="126">
        <f>VLOOKUP(L65,Mothci!$LM$43:$LU$46,5,FALSE)</f>
        <v>1</v>
      </c>
      <c r="Q65" s="126">
        <f>VLOOKUP(L65,Mothci!$LM$43:$LU$46,6,FALSE)</f>
        <v>2</v>
      </c>
      <c r="R65" s="126">
        <f>VLOOKUP(L65,Mothci!$LM$43:$LU$46,7,FALSE)</f>
        <v>0</v>
      </c>
      <c r="S65" s="126">
        <f>VLOOKUP(L65,Mothci!$LM$43:$LU$46,8,FALSE)</f>
        <v>4</v>
      </c>
      <c r="T65" s="127">
        <f>VLOOKUP(L65,Mothci!$LM$43:$LU$46,9,FALSE)</f>
        <v>-4</v>
      </c>
      <c r="U65" s="53"/>
      <c r="V65" s="53"/>
      <c r="W65" s="53"/>
      <c r="X65" s="218"/>
      <c r="Y65" s="53"/>
      <c r="Z65" s="236">
        <f>IF(OR(E65="",G65="",'Resultado Oficial'!E65="",'Resultado Oficial'!G65=""),"",
IF(AND(E65='Resultado Oficial'!E65,G65='Resultado Oficial'!G65),10,
IF(AND(E65=G65,'Resultado Oficial'!E65='Resultado Oficial'!G65,ABS((E65-'Resultado Oficial'!E65))=1),6,
IF(AND(E65&gt;G65,'Resultado Oficial'!E65&gt;'Resultado Oficial'!G65,((E65-'Resultado Oficial'!E65)=(G65-'Resultado Oficial'!G65))),6,
IF(AND(E65&lt;G65,'Resultado Oficial'!E65&lt;'Resultado Oficial'!G65,(('Resultado Oficial'!E65-E65)=('Resultado Oficial'!G65-G65))),6,
IF(AND(E65&gt;G65,'Resultado Oficial'!E65&gt;'Resultado Oficial'!G65),3,
IF(AND(E65=G65,'Resultado Oficial'!E65='Resultado Oficial'!G65),3,
IF(AND(E65&lt;G65,'Resultado Oficial'!E65&lt;'Resultado Oficial'!G65),3,0))))))))</f>
        <v>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  <c r="IT65" s="53"/>
      <c r="IU65" s="53"/>
      <c r="IV65" s="53"/>
      <c r="IW65" s="53"/>
      <c r="IX65" s="53"/>
      <c r="IY65" s="53"/>
      <c r="IZ65" s="53"/>
      <c r="JA65" s="53"/>
      <c r="JB65" s="53"/>
      <c r="JC65" s="53"/>
      <c r="JD65" s="53"/>
      <c r="JE65" s="53"/>
      <c r="JF65" s="53"/>
      <c r="JG65" s="53"/>
      <c r="JH65" s="53"/>
      <c r="JI65" s="53"/>
      <c r="JJ65" s="53"/>
      <c r="JK65" s="53"/>
      <c r="JL65" s="53"/>
      <c r="JM65" s="53"/>
      <c r="JN65" s="53"/>
      <c r="JO65" s="53"/>
      <c r="JP65" s="53"/>
      <c r="JQ65" s="53"/>
      <c r="JR65" s="53"/>
      <c r="JS65" s="53"/>
      <c r="JT65" s="53"/>
      <c r="JU65" s="53"/>
      <c r="JV65" s="53"/>
      <c r="JW65" s="53"/>
      <c r="JX65" s="53"/>
      <c r="JY65" s="53"/>
      <c r="JZ65" s="53"/>
      <c r="KA65" s="53"/>
      <c r="KB65" s="53"/>
      <c r="KC65" s="53"/>
      <c r="KD65" s="53"/>
      <c r="KE65" s="53"/>
      <c r="KF65" s="53"/>
      <c r="KG65" s="53"/>
      <c r="KH65" s="53"/>
      <c r="KI65" s="53"/>
      <c r="KJ65" s="53"/>
      <c r="KK65" s="53"/>
      <c r="KL65" s="53"/>
      <c r="KM65" s="53"/>
      <c r="KN65" s="53"/>
      <c r="KO65" s="53"/>
      <c r="KP65" s="53"/>
      <c r="KQ65" s="53"/>
      <c r="KR65" s="53"/>
      <c r="KS65" s="53"/>
      <c r="KT65" s="53"/>
      <c r="KU65" s="53"/>
      <c r="KV65" s="53"/>
      <c r="KW65" s="53"/>
      <c r="KX65" s="53"/>
      <c r="KY65" s="53"/>
      <c r="KZ65" s="53"/>
      <c r="LA65" s="53"/>
      <c r="LB65" s="53"/>
      <c r="LC65" s="53"/>
      <c r="LD65" s="53"/>
      <c r="LE65" s="53"/>
      <c r="LF65" s="53"/>
      <c r="LG65" s="53"/>
      <c r="LH65" s="53"/>
      <c r="LI65" s="53"/>
      <c r="LJ65" s="53"/>
      <c r="LK65" s="53"/>
      <c r="LL65" s="53"/>
      <c r="LM65" s="53"/>
      <c r="LN65" s="53"/>
      <c r="LO65" s="53"/>
      <c r="LP65" s="53"/>
      <c r="LQ65" s="53"/>
      <c r="LR65" s="53"/>
      <c r="LS65" s="53"/>
      <c r="LT65" s="53"/>
      <c r="LU65" s="53"/>
      <c r="LV65" s="53"/>
      <c r="LW65" s="53"/>
      <c r="LX65" s="53"/>
      <c r="LY65" s="53"/>
      <c r="LZ65" s="53"/>
      <c r="MA65" s="53"/>
      <c r="MB65" s="53"/>
      <c r="MC65" s="53"/>
      <c r="MD65" s="53"/>
      <c r="ME65" s="53"/>
      <c r="MF65" s="53"/>
      <c r="MG65" s="53"/>
      <c r="MH65" s="53"/>
    </row>
    <row r="66" ht="12.75" customHeight="1">
      <c r="A66" s="128"/>
      <c r="B66" s="129"/>
      <c r="C66" s="143"/>
      <c r="D66" s="53"/>
      <c r="E66" s="144"/>
      <c r="F66" s="144"/>
      <c r="G66" s="144"/>
      <c r="H66" s="144"/>
      <c r="I66" s="52"/>
      <c r="J66" s="54"/>
      <c r="K66" s="55"/>
      <c r="L66" s="131"/>
      <c r="M66" s="134"/>
      <c r="N66" s="134"/>
      <c r="O66" s="134"/>
      <c r="P66" s="134"/>
      <c r="Q66" s="134"/>
      <c r="R66" s="134"/>
      <c r="S66" s="134"/>
      <c r="T66" s="134"/>
      <c r="U66" s="53"/>
      <c r="V66" s="53"/>
      <c r="W66" s="53"/>
      <c r="X66" s="218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  <c r="IW66" s="53"/>
      <c r="IX66" s="53"/>
      <c r="IY66" s="53"/>
      <c r="IZ66" s="53"/>
      <c r="JA66" s="53"/>
      <c r="JB66" s="53"/>
      <c r="JC66" s="53"/>
      <c r="JD66" s="53"/>
      <c r="JE66" s="53"/>
      <c r="JF66" s="53"/>
      <c r="JG66" s="53"/>
      <c r="JH66" s="53"/>
      <c r="JI66" s="53"/>
      <c r="JJ66" s="53"/>
      <c r="JK66" s="53"/>
      <c r="JL66" s="53"/>
      <c r="JM66" s="53"/>
      <c r="JN66" s="53"/>
      <c r="JO66" s="53"/>
      <c r="JP66" s="53"/>
      <c r="JQ66" s="53"/>
      <c r="JR66" s="53"/>
      <c r="JS66" s="53"/>
      <c r="JT66" s="53"/>
      <c r="JU66" s="53"/>
      <c r="JV66" s="53"/>
      <c r="JW66" s="53"/>
      <c r="JX66" s="53"/>
      <c r="JY66" s="53"/>
      <c r="JZ66" s="53"/>
      <c r="KA66" s="53"/>
      <c r="KB66" s="53"/>
      <c r="KC66" s="53"/>
      <c r="KD66" s="53"/>
      <c r="KE66" s="53"/>
      <c r="KF66" s="53"/>
      <c r="KG66" s="53"/>
      <c r="KH66" s="53"/>
      <c r="KI66" s="53"/>
      <c r="KJ66" s="53"/>
      <c r="KK66" s="53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53"/>
      <c r="LD66" s="53"/>
      <c r="LE66" s="53"/>
      <c r="LF66" s="53"/>
      <c r="LG66" s="53"/>
      <c r="LH66" s="53"/>
      <c r="LI66" s="53"/>
      <c r="LJ66" s="53"/>
      <c r="LK66" s="53"/>
      <c r="LL66" s="53"/>
      <c r="LM66" s="53"/>
      <c r="LN66" s="53"/>
      <c r="LO66" s="53"/>
      <c r="LP66" s="53"/>
      <c r="LQ66" s="53"/>
      <c r="LR66" s="53"/>
      <c r="LS66" s="53"/>
      <c r="LT66" s="53"/>
      <c r="LU66" s="53"/>
      <c r="LV66" s="53"/>
      <c r="LW66" s="53"/>
      <c r="LX66" s="53"/>
      <c r="LY66" s="53"/>
      <c r="LZ66" s="53"/>
      <c r="MA66" s="53"/>
      <c r="MB66" s="53"/>
      <c r="MC66" s="53"/>
      <c r="MD66" s="53"/>
      <c r="ME66" s="53"/>
      <c r="MF66" s="53"/>
      <c r="MG66" s="53"/>
      <c r="MH66" s="53"/>
    </row>
    <row r="67" ht="12.75" customHeight="1">
      <c r="A67" s="135" t="s">
        <v>124</v>
      </c>
      <c r="B67" s="136"/>
      <c r="C67" s="136"/>
      <c r="D67" s="85"/>
      <c r="E67" s="137"/>
      <c r="F67" s="138"/>
      <c r="G67" s="138"/>
      <c r="H67" s="85"/>
      <c r="I67" s="139"/>
      <c r="J67" s="140"/>
      <c r="K67" s="82"/>
      <c r="L67" s="83"/>
      <c r="M67" s="84"/>
      <c r="N67" s="84"/>
      <c r="O67" s="84"/>
      <c r="P67" s="84"/>
      <c r="Q67" s="85"/>
      <c r="R67" s="86"/>
      <c r="S67" s="86"/>
      <c r="T67" s="87"/>
      <c r="U67" s="53"/>
      <c r="V67" s="53"/>
      <c r="W67" s="53"/>
      <c r="X67" s="218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  <c r="IW67" s="53"/>
      <c r="IX67" s="53"/>
      <c r="IY67" s="53"/>
      <c r="IZ67" s="53"/>
      <c r="JA67" s="53"/>
      <c r="JB67" s="53"/>
      <c r="JC67" s="53"/>
      <c r="JD67" s="53"/>
      <c r="JE67" s="53"/>
      <c r="JF67" s="53"/>
      <c r="JG67" s="53"/>
      <c r="JH67" s="53"/>
      <c r="JI67" s="53"/>
      <c r="JJ67" s="53"/>
      <c r="JK67" s="53"/>
      <c r="JL67" s="53"/>
      <c r="JM67" s="53"/>
      <c r="JN67" s="53"/>
      <c r="JO67" s="53"/>
      <c r="JP67" s="53"/>
      <c r="JQ67" s="53"/>
      <c r="JR67" s="53"/>
      <c r="JS67" s="53"/>
      <c r="JT67" s="53"/>
      <c r="JU67" s="53"/>
      <c r="JV67" s="53"/>
      <c r="JW67" s="53"/>
      <c r="JX67" s="53"/>
      <c r="JY67" s="53"/>
      <c r="JZ67" s="53"/>
      <c r="KA67" s="53"/>
      <c r="KB67" s="53"/>
      <c r="KC67" s="53"/>
      <c r="KD67" s="53"/>
      <c r="KE67" s="53"/>
      <c r="KF67" s="53"/>
      <c r="KG67" s="53"/>
      <c r="KH67" s="53"/>
      <c r="KI67" s="53"/>
      <c r="KJ67" s="53"/>
      <c r="KK67" s="53"/>
      <c r="KL67" s="53"/>
      <c r="KM67" s="53"/>
      <c r="KN67" s="53"/>
      <c r="KO67" s="53"/>
      <c r="KP67" s="53"/>
      <c r="KQ67" s="53"/>
      <c r="KR67" s="53"/>
      <c r="KS67" s="53"/>
      <c r="KT67" s="53"/>
      <c r="KU67" s="53"/>
      <c r="KV67" s="53"/>
      <c r="KW67" s="53"/>
      <c r="KX67" s="53"/>
      <c r="KY67" s="53"/>
      <c r="KZ67" s="53"/>
      <c r="LA67" s="53"/>
      <c r="LB67" s="53"/>
      <c r="LC67" s="53"/>
      <c r="LD67" s="53"/>
      <c r="LE67" s="53"/>
      <c r="LF67" s="53"/>
      <c r="LG67" s="53"/>
      <c r="LH67" s="53"/>
      <c r="LI67" s="53"/>
      <c r="LJ67" s="53"/>
      <c r="LK67" s="53"/>
      <c r="LL67" s="53"/>
      <c r="LM67" s="53"/>
      <c r="LN67" s="53"/>
      <c r="LO67" s="53"/>
      <c r="LP67" s="53"/>
      <c r="LQ67" s="53"/>
      <c r="LR67" s="53"/>
      <c r="LS67" s="53"/>
      <c r="LT67" s="53"/>
      <c r="LU67" s="53"/>
      <c r="LV67" s="53"/>
      <c r="LW67" s="53"/>
      <c r="LX67" s="53"/>
      <c r="LY67" s="53"/>
      <c r="LZ67" s="53"/>
      <c r="MA67" s="53"/>
      <c r="MB67" s="53"/>
      <c r="MC67" s="53"/>
      <c r="MD67" s="53"/>
      <c r="ME67" s="53"/>
      <c r="MF67" s="53"/>
      <c r="MG67" s="53"/>
      <c r="MH67" s="53"/>
    </row>
    <row r="68" ht="12.75" customHeight="1">
      <c r="A68" s="102">
        <v>44889.0</v>
      </c>
      <c r="B68" s="103">
        <v>0.2916666666666667</v>
      </c>
      <c r="C68" s="90" t="s">
        <v>114</v>
      </c>
      <c r="D68" s="113"/>
      <c r="E68" s="105">
        <v>0.0</v>
      </c>
      <c r="F68" s="106" t="s">
        <v>72</v>
      </c>
      <c r="G68" s="107">
        <v>0.0</v>
      </c>
      <c r="H68" s="108"/>
      <c r="I68" s="96" t="s">
        <v>116</v>
      </c>
      <c r="J68" s="97" t="s">
        <v>106</v>
      </c>
      <c r="K68" s="98"/>
      <c r="L68" s="99" t="s">
        <v>125</v>
      </c>
      <c r="M68" s="100"/>
      <c r="N68" s="100"/>
      <c r="O68" s="100"/>
      <c r="P68" s="100"/>
      <c r="Q68" s="100"/>
      <c r="R68" s="100"/>
      <c r="S68" s="100"/>
      <c r="T68" s="101"/>
      <c r="U68" s="53"/>
      <c r="V68" s="53"/>
      <c r="W68" s="53"/>
      <c r="X68" s="218"/>
      <c r="Y68" s="53"/>
      <c r="Z68" s="236">
        <f>IF(OR(E68="",G68="",'Resultado Oficial'!E68="",'Resultado Oficial'!G68=""),"",
IF(AND(E68='Resultado Oficial'!E68,G68='Resultado Oficial'!G68),10,
IF(AND(E68=G68,'Resultado Oficial'!E68='Resultado Oficial'!G68,ABS((E68-'Resultado Oficial'!E68))=1),6,
IF(AND(E68&gt;G68,'Resultado Oficial'!E68&gt;'Resultado Oficial'!G68,((E68-'Resultado Oficial'!E68)=(G68-'Resultado Oficial'!G68))),6,
IF(AND(E68&lt;G68,'Resultado Oficial'!E68&lt;'Resultado Oficial'!G68,(('Resultado Oficial'!E68-E68)=('Resultado Oficial'!G68-G68))),6,
IF(AND(E68&gt;G68,'Resultado Oficial'!E68&gt;'Resultado Oficial'!G68),3,
IF(AND(E68=G68,'Resultado Oficial'!E68='Resultado Oficial'!G68),3,
IF(AND(E68&lt;G68,'Resultado Oficial'!E68&lt;'Resultado Oficial'!G68),3,0))))))))</f>
        <v>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  <c r="IT68" s="53"/>
      <c r="IU68" s="53"/>
      <c r="IV68" s="53"/>
      <c r="IW68" s="53"/>
      <c r="IX68" s="53"/>
      <c r="IY68" s="53"/>
      <c r="IZ68" s="53"/>
      <c r="JA68" s="53"/>
      <c r="JB68" s="53"/>
      <c r="JC68" s="53"/>
      <c r="JD68" s="53"/>
      <c r="JE68" s="53"/>
      <c r="JF68" s="53"/>
      <c r="JG68" s="53"/>
      <c r="JH68" s="53"/>
      <c r="JI68" s="53"/>
      <c r="JJ68" s="53"/>
      <c r="JK68" s="53"/>
      <c r="JL68" s="53"/>
      <c r="JM68" s="53"/>
      <c r="JN68" s="53"/>
      <c r="JO68" s="53"/>
      <c r="JP68" s="53"/>
      <c r="JQ68" s="53"/>
      <c r="JR68" s="53"/>
      <c r="JS68" s="53"/>
      <c r="JT68" s="53"/>
      <c r="JU68" s="53"/>
      <c r="JV68" s="53"/>
      <c r="JW68" s="53"/>
      <c r="JX68" s="53"/>
      <c r="JY68" s="53"/>
      <c r="JZ68" s="53"/>
      <c r="KA68" s="53"/>
      <c r="KB68" s="53"/>
      <c r="KC68" s="53"/>
      <c r="KD68" s="53"/>
      <c r="KE68" s="53"/>
      <c r="KF68" s="53"/>
      <c r="KG68" s="53"/>
      <c r="KH68" s="53"/>
      <c r="KI68" s="53"/>
      <c r="KJ68" s="53"/>
      <c r="KK68" s="53"/>
      <c r="KL68" s="53"/>
      <c r="KM68" s="53"/>
      <c r="KN68" s="53"/>
      <c r="KO68" s="53"/>
      <c r="KP68" s="53"/>
      <c r="KQ68" s="53"/>
      <c r="KR68" s="53"/>
      <c r="KS68" s="53"/>
      <c r="KT68" s="53"/>
      <c r="KU68" s="53"/>
      <c r="KV68" s="53"/>
      <c r="KW68" s="53"/>
      <c r="KX68" s="53"/>
      <c r="KY68" s="53"/>
      <c r="KZ68" s="53"/>
      <c r="LA68" s="53"/>
      <c r="LB68" s="53"/>
      <c r="LC68" s="53"/>
      <c r="LD68" s="53"/>
      <c r="LE68" s="53"/>
      <c r="LF68" s="53"/>
      <c r="LG68" s="53"/>
      <c r="LH68" s="53"/>
      <c r="LI68" s="53"/>
      <c r="LJ68" s="53"/>
      <c r="LK68" s="53"/>
      <c r="LL68" s="53"/>
      <c r="LM68" s="53"/>
      <c r="LN68" s="53"/>
      <c r="LO68" s="53"/>
      <c r="LP68" s="53"/>
      <c r="LQ68" s="53"/>
      <c r="LR68" s="53"/>
      <c r="LS68" s="53"/>
      <c r="LT68" s="53"/>
      <c r="LU68" s="53"/>
      <c r="LV68" s="53"/>
      <c r="LW68" s="53"/>
      <c r="LX68" s="53"/>
      <c r="LY68" s="53"/>
      <c r="LZ68" s="53"/>
      <c r="MA68" s="53"/>
      <c r="MB68" s="53"/>
      <c r="MC68" s="53"/>
      <c r="MD68" s="53"/>
      <c r="ME68" s="53"/>
      <c r="MF68" s="53"/>
      <c r="MG68" s="53"/>
      <c r="MH68" s="53"/>
    </row>
    <row r="69" ht="12.75" customHeight="1">
      <c r="A69" s="102">
        <v>44889.0</v>
      </c>
      <c r="B69" s="103">
        <v>0.6666666666666666</v>
      </c>
      <c r="C69" s="90" t="s">
        <v>111</v>
      </c>
      <c r="D69" s="104"/>
      <c r="E69" s="105">
        <v>1.0</v>
      </c>
      <c r="F69" s="106" t="s">
        <v>72</v>
      </c>
      <c r="G69" s="107">
        <v>0.0</v>
      </c>
      <c r="H69" s="108"/>
      <c r="I69" s="96" t="s">
        <v>113</v>
      </c>
      <c r="J69" s="97" t="s">
        <v>94</v>
      </c>
      <c r="K69" s="109"/>
      <c r="L69" s="110"/>
      <c r="M69" s="111" t="s">
        <v>51</v>
      </c>
      <c r="N69" s="111" t="s">
        <v>52</v>
      </c>
      <c r="O69" s="111" t="s">
        <v>53</v>
      </c>
      <c r="P69" s="111" t="s">
        <v>54</v>
      </c>
      <c r="Q69" s="111" t="s">
        <v>55</v>
      </c>
      <c r="R69" s="111" t="s">
        <v>56</v>
      </c>
      <c r="S69" s="111" t="s">
        <v>57</v>
      </c>
      <c r="T69" s="112" t="s">
        <v>58</v>
      </c>
      <c r="U69" s="53"/>
      <c r="V69" s="50" t="str">
        <f>A67</f>
        <v>Primeira fase       GRUPO G</v>
      </c>
      <c r="W69" s="50"/>
      <c r="X69" s="218" t="s">
        <v>145</v>
      </c>
      <c r="Y69" s="53"/>
      <c r="Z69" s="236">
        <f>IF(OR(E69="",G69="",'Resultado Oficial'!E69="",'Resultado Oficial'!G69=""),"",
IF(AND(E69='Resultado Oficial'!E69,G69='Resultado Oficial'!G69),10,
IF(AND(E69=G69,'Resultado Oficial'!E69='Resultado Oficial'!G69,ABS((E69-'Resultado Oficial'!E69))=1),6,
IF(AND(E69&gt;G69,'Resultado Oficial'!E69&gt;'Resultado Oficial'!G69,((E69-'Resultado Oficial'!E69)=(G69-'Resultado Oficial'!G69))),6,
IF(AND(E69&lt;G69,'Resultado Oficial'!E69&lt;'Resultado Oficial'!G69,(('Resultado Oficial'!E69-E69)=('Resultado Oficial'!G69-G69))),6,
IF(AND(E69&gt;G69,'Resultado Oficial'!E69&gt;'Resultado Oficial'!G69),3,
IF(AND(E69=G69,'Resultado Oficial'!E69='Resultado Oficial'!G69),3,
IF(AND(E69&lt;G69,'Resultado Oficial'!E69&lt;'Resultado Oficial'!G69),3,0))))))))</f>
        <v>3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</row>
    <row r="70" ht="12.75" customHeight="1">
      <c r="A70" s="102">
        <v>44893.0</v>
      </c>
      <c r="B70" s="103">
        <v>0.2916666666666667</v>
      </c>
      <c r="C70" s="90" t="s">
        <v>116</v>
      </c>
      <c r="D70" s="113"/>
      <c r="E70" s="114">
        <v>0.0</v>
      </c>
      <c r="F70" s="115" t="s">
        <v>72</v>
      </c>
      <c r="G70" s="116">
        <v>0.0</v>
      </c>
      <c r="H70" s="117"/>
      <c r="I70" s="96" t="s">
        <v>113</v>
      </c>
      <c r="J70" s="97" t="s">
        <v>106</v>
      </c>
      <c r="K70" s="109"/>
      <c r="L70" s="118" t="str">
        <f>Mothci!MH51</f>
        <v>Brasil</v>
      </c>
      <c r="M70" s="119">
        <f>VLOOKUP(L70,Mothci!$LM$51:$LU$54,2,FALSE)</f>
        <v>9</v>
      </c>
      <c r="N70" s="120">
        <f>VLOOKUP(L70,Mothci!$LM$51:$LU$54,3,FALSE)</f>
        <v>3</v>
      </c>
      <c r="O70" s="120">
        <f>VLOOKUP(L70,Mothci!$LM$51:$LU$54,4,FALSE)</f>
        <v>3</v>
      </c>
      <c r="P70" s="120">
        <f>VLOOKUP(L70,Mothci!$LM$51:$LU$54,5,FALSE)</f>
        <v>0</v>
      </c>
      <c r="Q70" s="120">
        <f>VLOOKUP(L70,Mothci!$LM$51:$LU$54,6,FALSE)</f>
        <v>0</v>
      </c>
      <c r="R70" s="120">
        <f>VLOOKUP(L70,Mothci!$LM$51:$LU$54,7,FALSE)</f>
        <v>4</v>
      </c>
      <c r="S70" s="120">
        <f>VLOOKUP(L70,Mothci!$LM$51:$LU$54,8,FALSE)</f>
        <v>0</v>
      </c>
      <c r="T70" s="121">
        <f>VLOOKUP(L70,Mothci!$LM$51:$LU$54,9,FALSE)</f>
        <v>4</v>
      </c>
      <c r="U70" s="53"/>
      <c r="V70" s="59" t="s">
        <v>78</v>
      </c>
      <c r="W70" s="122" t="str">
        <f t="shared" ref="W70:W71" si="72">IF(N70&lt;&gt;3,"",L70)</f>
        <v>Brasil</v>
      </c>
      <c r="X70" s="236">
        <f>IF(AND(W70&lt;&gt;"",'Resultado Oficial'!W70&lt;&gt;"",'Resultado Oficial'!W71&lt;&gt;""),IF(W70='Resultado Oficial'!W70,5,IF(W70='Resultado Oficial'!W71,2,0)),"")</f>
        <v>5</v>
      </c>
      <c r="Y70" s="53"/>
      <c r="Z70" s="236">
        <f>IF(OR(E70="",G70="",'Resultado Oficial'!E70="",'Resultado Oficial'!G70=""),"",
IF(AND(E70='Resultado Oficial'!E70,G70='Resultado Oficial'!G70),10,
IF(AND(E70=G70,'Resultado Oficial'!E70='Resultado Oficial'!G70,ABS((E70-'Resultado Oficial'!E70))=1),6,
IF(AND(E70&gt;G70,'Resultado Oficial'!E70&gt;'Resultado Oficial'!G70,((E70-'Resultado Oficial'!E70)=(G70-'Resultado Oficial'!G70))),6,
IF(AND(E70&lt;G70,'Resultado Oficial'!E70&lt;'Resultado Oficial'!G70,(('Resultado Oficial'!E70-E70)=('Resultado Oficial'!G70-G70))),6,
IF(AND(E70&gt;G70,'Resultado Oficial'!E70&gt;'Resultado Oficial'!G70),3,
IF(AND(E70=G70,'Resultado Oficial'!E70='Resultado Oficial'!G70),3,
IF(AND(E70&lt;G70,'Resultado Oficial'!E70&lt;'Resultado Oficial'!G70),3,0))))))))</f>
        <v>3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  <c r="IX70" s="53"/>
      <c r="IY70" s="53"/>
      <c r="IZ70" s="53"/>
      <c r="JA70" s="53"/>
      <c r="JB70" s="53"/>
      <c r="JC70" s="53"/>
      <c r="JD70" s="53"/>
      <c r="JE70" s="53"/>
      <c r="JF70" s="53"/>
      <c r="JG70" s="53"/>
      <c r="JH70" s="53"/>
      <c r="JI70" s="53"/>
      <c r="JJ70" s="53"/>
      <c r="JK70" s="53"/>
      <c r="JL70" s="53"/>
      <c r="JM70" s="53"/>
      <c r="JN70" s="53"/>
      <c r="JO70" s="53"/>
      <c r="JP70" s="53"/>
      <c r="JQ70" s="53"/>
      <c r="JR70" s="53"/>
      <c r="JS70" s="53"/>
      <c r="JT70" s="53"/>
      <c r="JU70" s="53"/>
      <c r="JV70" s="53"/>
      <c r="JW70" s="53"/>
      <c r="JX70" s="53"/>
      <c r="JY70" s="53"/>
      <c r="JZ70" s="53"/>
      <c r="KA70" s="53"/>
      <c r="KB70" s="53"/>
      <c r="KC70" s="53"/>
      <c r="KD70" s="53"/>
      <c r="KE70" s="53"/>
      <c r="KF70" s="53"/>
      <c r="KG70" s="53"/>
      <c r="KH70" s="53"/>
      <c r="KI70" s="53"/>
      <c r="KJ70" s="53"/>
      <c r="KK70" s="53"/>
      <c r="KL70" s="53"/>
      <c r="KM70" s="53"/>
      <c r="KN70" s="53"/>
      <c r="KO70" s="53"/>
      <c r="KP70" s="53"/>
      <c r="KQ70" s="53"/>
      <c r="KR70" s="53"/>
      <c r="KS70" s="53"/>
      <c r="KT70" s="53"/>
      <c r="KU70" s="53"/>
      <c r="KV70" s="53"/>
      <c r="KW70" s="53"/>
      <c r="KX70" s="53"/>
      <c r="KY70" s="53"/>
      <c r="KZ70" s="53"/>
      <c r="LA70" s="53"/>
      <c r="LB70" s="53"/>
      <c r="LC70" s="53"/>
      <c r="LD70" s="53"/>
      <c r="LE70" s="53"/>
      <c r="LF70" s="53"/>
      <c r="LG70" s="53"/>
      <c r="LH70" s="53"/>
      <c r="LI70" s="53"/>
      <c r="LJ70" s="53"/>
      <c r="LK70" s="53"/>
      <c r="LL70" s="53"/>
      <c r="LM70" s="53"/>
      <c r="LN70" s="53"/>
      <c r="LO70" s="53"/>
      <c r="LP70" s="53"/>
      <c r="LQ70" s="53"/>
      <c r="LR70" s="53"/>
      <c r="LS70" s="53"/>
      <c r="LT70" s="53"/>
      <c r="LU70" s="53"/>
      <c r="LV70" s="53"/>
      <c r="LW70" s="53"/>
      <c r="LX70" s="53"/>
      <c r="LY70" s="53"/>
      <c r="LZ70" s="53"/>
      <c r="MA70" s="53"/>
      <c r="MB70" s="53"/>
      <c r="MC70" s="53"/>
      <c r="MD70" s="53"/>
      <c r="ME70" s="53"/>
      <c r="MF70" s="53"/>
      <c r="MG70" s="53"/>
      <c r="MH70" s="53"/>
    </row>
    <row r="71" ht="12.75" customHeight="1">
      <c r="A71" s="102">
        <v>44893.0</v>
      </c>
      <c r="B71" s="103">
        <v>0.5416666666666666</v>
      </c>
      <c r="C71" s="90" t="s">
        <v>111</v>
      </c>
      <c r="D71" s="104"/>
      <c r="E71" s="105">
        <v>1.0</v>
      </c>
      <c r="F71" s="106" t="s">
        <v>72</v>
      </c>
      <c r="G71" s="107">
        <v>0.0</v>
      </c>
      <c r="H71" s="108"/>
      <c r="I71" s="96" t="s">
        <v>114</v>
      </c>
      <c r="J71" s="97" t="s">
        <v>97</v>
      </c>
      <c r="K71" s="109"/>
      <c r="L71" s="118" t="str">
        <f>Mothci!MH52</f>
        <v>Sérvia</v>
      </c>
      <c r="M71" s="119">
        <f>VLOOKUP(L71,Mothci!$LM$51:$LU$54,2,FALSE)</f>
        <v>2</v>
      </c>
      <c r="N71" s="120">
        <f>VLOOKUP(L71,Mothci!$LM$51:$LU$54,3,FALSE)</f>
        <v>3</v>
      </c>
      <c r="O71" s="120">
        <f>VLOOKUP(L71,Mothci!$LM$51:$LU$54,4,FALSE)</f>
        <v>0</v>
      </c>
      <c r="P71" s="120">
        <f>VLOOKUP(L71,Mothci!$LM$51:$LU$54,5,FALSE)</f>
        <v>2</v>
      </c>
      <c r="Q71" s="120">
        <f>VLOOKUP(L71,Mothci!$LM$51:$LU$54,6,FALSE)</f>
        <v>1</v>
      </c>
      <c r="R71" s="120">
        <f>VLOOKUP(L71,Mothci!$LM$51:$LU$54,7,FALSE)</f>
        <v>0</v>
      </c>
      <c r="S71" s="120">
        <f>VLOOKUP(L71,Mothci!$LM$51:$LU$54,8,FALSE)</f>
        <v>1</v>
      </c>
      <c r="T71" s="121">
        <f>VLOOKUP(L71,Mothci!$LM$51:$LU$54,9,FALSE)</f>
        <v>-1</v>
      </c>
      <c r="U71" s="53"/>
      <c r="V71" s="59" t="s">
        <v>81</v>
      </c>
      <c r="W71" s="122" t="str">
        <f t="shared" si="72"/>
        <v>Sérvia</v>
      </c>
      <c r="X71" s="236">
        <f>IF(AND(W71&lt;&gt;"",'Resultado Oficial'!W70&lt;&gt;"",'Resultado Oficial'!W71&lt;&gt;""),IF(W71='Resultado Oficial'!W71,5,IF(W71='Resultado Oficial'!W70,2,0)),"")</f>
        <v>0</v>
      </c>
      <c r="Y71" s="53"/>
      <c r="Z71" s="236">
        <f>IF(OR(E71="",G71="",'Resultado Oficial'!E71="",'Resultado Oficial'!G71=""),"",
IF(AND(E71='Resultado Oficial'!E71,G71='Resultado Oficial'!G71),10,
IF(AND(E71=G71,'Resultado Oficial'!E71='Resultado Oficial'!G71,ABS((E71-'Resultado Oficial'!E71))=1),6,
IF(AND(E71&gt;G71,'Resultado Oficial'!E71&gt;'Resultado Oficial'!G71,((E71-'Resultado Oficial'!E71)=(G71-'Resultado Oficial'!G71))),6,
IF(AND(E71&lt;G71,'Resultado Oficial'!E71&lt;'Resultado Oficial'!G71,(('Resultado Oficial'!E71-E71)=('Resultado Oficial'!G71-G71))),6,
IF(AND(E71&gt;G71,'Resultado Oficial'!E71&gt;'Resultado Oficial'!G71),3,
IF(AND(E71=G71,'Resultado Oficial'!E71='Resultado Oficial'!G71),3,
IF(AND(E71&lt;G71,'Resultado Oficial'!E71&lt;'Resultado Oficial'!G71),3,0))))))))</f>
        <v>10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  <c r="IX71" s="53"/>
      <c r="IY71" s="53"/>
      <c r="IZ71" s="53"/>
      <c r="JA71" s="53"/>
      <c r="JB71" s="53"/>
      <c r="JC71" s="53"/>
      <c r="JD71" s="53"/>
      <c r="JE71" s="53"/>
      <c r="JF71" s="53"/>
      <c r="JG71" s="53"/>
      <c r="JH71" s="53"/>
      <c r="JI71" s="53"/>
      <c r="JJ71" s="53"/>
      <c r="JK71" s="53"/>
      <c r="JL71" s="53"/>
      <c r="JM71" s="53"/>
      <c r="JN71" s="53"/>
      <c r="JO71" s="53"/>
      <c r="JP71" s="53"/>
      <c r="JQ71" s="53"/>
      <c r="JR71" s="53"/>
      <c r="JS71" s="53"/>
      <c r="JT71" s="53"/>
      <c r="JU71" s="53"/>
      <c r="JV71" s="53"/>
      <c r="JW71" s="53"/>
      <c r="JX71" s="53"/>
      <c r="JY71" s="53"/>
      <c r="JZ71" s="53"/>
      <c r="KA71" s="53"/>
      <c r="KB71" s="53"/>
      <c r="KC71" s="53"/>
      <c r="KD71" s="53"/>
      <c r="KE71" s="53"/>
      <c r="KF71" s="53"/>
      <c r="KG71" s="53"/>
      <c r="KH71" s="53"/>
      <c r="KI71" s="53"/>
      <c r="KJ71" s="53"/>
      <c r="KK71" s="53"/>
      <c r="KL71" s="53"/>
      <c r="KM71" s="53"/>
      <c r="KN71" s="53"/>
      <c r="KO71" s="53"/>
      <c r="KP71" s="53"/>
      <c r="KQ71" s="53"/>
      <c r="KR71" s="53"/>
      <c r="KS71" s="53"/>
      <c r="KT71" s="53"/>
      <c r="KU71" s="53"/>
      <c r="KV71" s="53"/>
      <c r="KW71" s="53"/>
      <c r="KX71" s="53"/>
      <c r="KY71" s="53"/>
      <c r="KZ71" s="53"/>
      <c r="LA71" s="53"/>
      <c r="LB71" s="53"/>
      <c r="LC71" s="53"/>
      <c r="LD71" s="53"/>
      <c r="LE71" s="53"/>
      <c r="LF71" s="53"/>
      <c r="LG71" s="53"/>
      <c r="LH71" s="53"/>
      <c r="LI71" s="53"/>
      <c r="LJ71" s="53"/>
      <c r="LK71" s="53"/>
      <c r="LL71" s="53"/>
      <c r="LM71" s="53"/>
      <c r="LN71" s="53"/>
      <c r="LO71" s="53"/>
      <c r="LP71" s="53"/>
      <c r="LQ71" s="53"/>
      <c r="LR71" s="53"/>
      <c r="LS71" s="53"/>
      <c r="LT71" s="53"/>
      <c r="LU71" s="53"/>
      <c r="LV71" s="53"/>
      <c r="LW71" s="53"/>
      <c r="LX71" s="53"/>
      <c r="LY71" s="53"/>
      <c r="LZ71" s="53"/>
      <c r="MA71" s="53"/>
      <c r="MB71" s="53"/>
      <c r="MC71" s="53"/>
      <c r="MD71" s="53"/>
      <c r="ME71" s="53"/>
      <c r="MF71" s="53"/>
      <c r="MG71" s="53"/>
      <c r="MH71" s="53"/>
    </row>
    <row r="72" ht="12.75" customHeight="1">
      <c r="A72" s="102">
        <v>44897.0</v>
      </c>
      <c r="B72" s="103">
        <v>0.6666666666666666</v>
      </c>
      <c r="C72" s="90" t="s">
        <v>113</v>
      </c>
      <c r="D72" s="104"/>
      <c r="E72" s="105">
        <v>0.0</v>
      </c>
      <c r="F72" s="106" t="s">
        <v>72</v>
      </c>
      <c r="G72" s="107">
        <v>0.0</v>
      </c>
      <c r="H72" s="108"/>
      <c r="I72" s="96" t="s">
        <v>114</v>
      </c>
      <c r="J72" s="97" t="s">
        <v>97</v>
      </c>
      <c r="K72" s="109"/>
      <c r="L72" s="118" t="str">
        <f>Mothci!MH53</f>
        <v>Suiça</v>
      </c>
      <c r="M72" s="119">
        <f>VLOOKUP(L72,Mothci!$LM$51:$LU$54,2,FALSE)</f>
        <v>2</v>
      </c>
      <c r="N72" s="120">
        <f>VLOOKUP(L72,Mothci!$LM$51:$LU$54,3,FALSE)</f>
        <v>3</v>
      </c>
      <c r="O72" s="120">
        <f>VLOOKUP(L72,Mothci!$LM$51:$LU$54,4,FALSE)</f>
        <v>0</v>
      </c>
      <c r="P72" s="120">
        <f>VLOOKUP(L72,Mothci!$LM$51:$LU$54,5,FALSE)</f>
        <v>2</v>
      </c>
      <c r="Q72" s="120">
        <f>VLOOKUP(L72,Mothci!$LM$51:$LU$54,6,FALSE)</f>
        <v>1</v>
      </c>
      <c r="R72" s="120">
        <f>VLOOKUP(L72,Mothci!$LM$51:$LU$54,7,FALSE)</f>
        <v>0</v>
      </c>
      <c r="S72" s="120">
        <f>VLOOKUP(L72,Mothci!$LM$51:$LU$54,8,FALSE)</f>
        <v>1</v>
      </c>
      <c r="T72" s="121">
        <f>VLOOKUP(L72,Mothci!$LM$51:$LU$54,9,FALSE)</f>
        <v>-1</v>
      </c>
      <c r="U72" s="53"/>
      <c r="V72" s="53"/>
      <c r="W72" s="53"/>
      <c r="X72" s="218"/>
      <c r="Y72" s="53"/>
      <c r="Z72" s="236">
        <f>IF(OR(E72="",G72="",'Resultado Oficial'!E72="",'Resultado Oficial'!G72=""),"",
IF(AND(E72='Resultado Oficial'!E72,G72='Resultado Oficial'!G72),10,
IF(AND(E72=G72,'Resultado Oficial'!E72='Resultado Oficial'!G72,ABS((E72-'Resultado Oficial'!E72))=1),6,
IF(AND(E72&gt;G72,'Resultado Oficial'!E72&gt;'Resultado Oficial'!G72,((E72-'Resultado Oficial'!E72)=(G72-'Resultado Oficial'!G72))),6,
IF(AND(E72&lt;G72,'Resultado Oficial'!E72&lt;'Resultado Oficial'!G72,(('Resultado Oficial'!E72-E72)=('Resultado Oficial'!G72-G72))),6,
IF(AND(E72&gt;G72,'Resultado Oficial'!E72&gt;'Resultado Oficial'!G72),3,
IF(AND(E72=G72,'Resultado Oficial'!E72='Resultado Oficial'!G72),3,
IF(AND(E72&lt;G72,'Resultado Oficial'!E72&lt;'Resultado Oficial'!G72),3,0))))))))</f>
        <v>0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  <c r="IX72" s="53"/>
      <c r="IY72" s="53"/>
      <c r="IZ72" s="53"/>
      <c r="JA72" s="53"/>
      <c r="JB72" s="53"/>
      <c r="JC72" s="53"/>
      <c r="JD72" s="53"/>
      <c r="JE72" s="53"/>
      <c r="JF72" s="53"/>
      <c r="JG72" s="53"/>
      <c r="JH72" s="53"/>
      <c r="JI72" s="53"/>
      <c r="JJ72" s="53"/>
      <c r="JK72" s="53"/>
      <c r="JL72" s="53"/>
      <c r="JM72" s="53"/>
      <c r="JN72" s="53"/>
      <c r="JO72" s="53"/>
      <c r="JP72" s="53"/>
      <c r="JQ72" s="53"/>
      <c r="JR72" s="53"/>
      <c r="JS72" s="53"/>
      <c r="JT72" s="53"/>
      <c r="JU72" s="53"/>
      <c r="JV72" s="53"/>
      <c r="JW72" s="53"/>
      <c r="JX72" s="53"/>
      <c r="JY72" s="53"/>
      <c r="JZ72" s="53"/>
      <c r="KA72" s="53"/>
      <c r="KB72" s="53"/>
      <c r="KC72" s="53"/>
      <c r="KD72" s="53"/>
      <c r="KE72" s="53"/>
      <c r="KF72" s="53"/>
      <c r="KG72" s="53"/>
      <c r="KH72" s="53"/>
      <c r="KI72" s="53"/>
      <c r="KJ72" s="53"/>
      <c r="KK72" s="53"/>
      <c r="KL72" s="53"/>
      <c r="KM72" s="53"/>
      <c r="KN72" s="53"/>
      <c r="KO72" s="53"/>
      <c r="KP72" s="53"/>
      <c r="KQ72" s="53"/>
      <c r="KR72" s="53"/>
      <c r="KS72" s="53"/>
      <c r="KT72" s="53"/>
      <c r="KU72" s="53"/>
      <c r="KV72" s="53"/>
      <c r="KW72" s="53"/>
      <c r="KX72" s="53"/>
      <c r="KY72" s="53"/>
      <c r="KZ72" s="53"/>
      <c r="LA72" s="53"/>
      <c r="LB72" s="53"/>
      <c r="LC72" s="53"/>
      <c r="LD72" s="53"/>
      <c r="LE72" s="53"/>
      <c r="LF72" s="53"/>
      <c r="LG72" s="53"/>
      <c r="LH72" s="53"/>
      <c r="LI72" s="53"/>
      <c r="LJ72" s="53"/>
      <c r="LK72" s="53"/>
      <c r="LL72" s="53"/>
      <c r="LM72" s="53"/>
      <c r="LN72" s="53"/>
      <c r="LO72" s="53"/>
      <c r="LP72" s="53"/>
      <c r="LQ72" s="53"/>
      <c r="LR72" s="53"/>
      <c r="LS72" s="53"/>
      <c r="LT72" s="53"/>
      <c r="LU72" s="53"/>
      <c r="LV72" s="53"/>
      <c r="LW72" s="53"/>
      <c r="LX72" s="53"/>
      <c r="LY72" s="53"/>
      <c r="LZ72" s="53"/>
      <c r="MA72" s="53"/>
      <c r="MB72" s="53"/>
      <c r="MC72" s="53"/>
      <c r="MD72" s="53"/>
      <c r="ME72" s="53"/>
      <c r="MF72" s="53"/>
      <c r="MG72" s="53"/>
      <c r="MH72" s="53"/>
    </row>
    <row r="73" ht="12.75" customHeight="1">
      <c r="A73" s="102">
        <v>44897.0</v>
      </c>
      <c r="B73" s="103">
        <v>0.6666666666666666</v>
      </c>
      <c r="C73" s="90" t="s">
        <v>116</v>
      </c>
      <c r="D73" s="104"/>
      <c r="E73" s="105">
        <v>0.0</v>
      </c>
      <c r="F73" s="106" t="s">
        <v>72</v>
      </c>
      <c r="G73" s="107">
        <v>2.0</v>
      </c>
      <c r="H73" s="108"/>
      <c r="I73" s="96" t="s">
        <v>111</v>
      </c>
      <c r="J73" s="97" t="s">
        <v>94</v>
      </c>
      <c r="K73" s="123"/>
      <c r="L73" s="124" t="str">
        <f>Mothci!MH54</f>
        <v>Camarões</v>
      </c>
      <c r="M73" s="125">
        <f>VLOOKUP(L73,Mothci!$LM$51:$LU$54,2,FALSE)</f>
        <v>2</v>
      </c>
      <c r="N73" s="126">
        <f>VLOOKUP(L73,Mothci!$LM$51:$LU$54,3,FALSE)</f>
        <v>3</v>
      </c>
      <c r="O73" s="126">
        <f>VLOOKUP(L73,Mothci!$LM$51:$LU$54,4,FALSE)</f>
        <v>0</v>
      </c>
      <c r="P73" s="126">
        <f>VLOOKUP(L73,Mothci!$LM$51:$LU$54,5,FALSE)</f>
        <v>2</v>
      </c>
      <c r="Q73" s="126">
        <f>VLOOKUP(L73,Mothci!$LM$51:$LU$54,6,FALSE)</f>
        <v>1</v>
      </c>
      <c r="R73" s="126">
        <f>VLOOKUP(L73,Mothci!$LM$51:$LU$54,7,FALSE)</f>
        <v>0</v>
      </c>
      <c r="S73" s="126">
        <f>VLOOKUP(L73,Mothci!$LM$51:$LU$54,8,FALSE)</f>
        <v>2</v>
      </c>
      <c r="T73" s="127">
        <f>VLOOKUP(L73,Mothci!$LM$51:$LU$54,9,FALSE)</f>
        <v>-2</v>
      </c>
      <c r="U73" s="53"/>
      <c r="V73" s="53"/>
      <c r="W73" s="53"/>
      <c r="X73" s="218"/>
      <c r="Y73" s="53"/>
      <c r="Z73" s="236">
        <f>IF(OR(E73="",G73="",'Resultado Oficial'!E73="",'Resultado Oficial'!G73=""),"",
IF(AND(E73='Resultado Oficial'!E73,G73='Resultado Oficial'!G73),10,
IF(AND(E73=G73,'Resultado Oficial'!E73='Resultado Oficial'!G73,ABS((E73-'Resultado Oficial'!E73))=1),6,
IF(AND(E73&gt;G73,'Resultado Oficial'!E73&gt;'Resultado Oficial'!G73,((E73-'Resultado Oficial'!E73)=(G73-'Resultado Oficial'!G73))),6,
IF(AND(E73&lt;G73,'Resultado Oficial'!E73&lt;'Resultado Oficial'!G73,(('Resultado Oficial'!E73-E73)=('Resultado Oficial'!G73-G73))),6,
IF(AND(E73&gt;G73,'Resultado Oficial'!E73&gt;'Resultado Oficial'!G73),3,
IF(AND(E73=G73,'Resultado Oficial'!E73='Resultado Oficial'!G73),3,
IF(AND(E73&lt;G73,'Resultado Oficial'!E73&lt;'Resultado Oficial'!G73),3,0))))))))</f>
        <v>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53"/>
      <c r="JM73" s="53"/>
      <c r="JN73" s="53"/>
      <c r="JO73" s="53"/>
      <c r="JP73" s="53"/>
      <c r="JQ73" s="53"/>
      <c r="JR73" s="53"/>
      <c r="JS73" s="53"/>
      <c r="JT73" s="53"/>
      <c r="JU73" s="53"/>
      <c r="JV73" s="53"/>
      <c r="JW73" s="53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53"/>
      <c r="KU73" s="53"/>
      <c r="KV73" s="53"/>
      <c r="KW73" s="53"/>
      <c r="KX73" s="53"/>
      <c r="KY73" s="53"/>
      <c r="KZ73" s="53"/>
      <c r="LA73" s="53"/>
      <c r="LB73" s="53"/>
      <c r="LC73" s="53"/>
      <c r="LD73" s="53"/>
      <c r="LE73" s="53"/>
      <c r="LF73" s="53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53"/>
      <c r="MC73" s="53"/>
      <c r="MD73" s="53"/>
      <c r="ME73" s="53"/>
      <c r="MF73" s="53"/>
      <c r="MG73" s="53"/>
      <c r="MH73" s="53"/>
    </row>
    <row r="74" ht="12.75" customHeight="1">
      <c r="A74" s="128"/>
      <c r="B74" s="129"/>
      <c r="C74" s="143"/>
      <c r="D74" s="53"/>
      <c r="E74" s="144"/>
      <c r="F74" s="144"/>
      <c r="G74" s="144"/>
      <c r="H74" s="144"/>
      <c r="I74" s="52"/>
      <c r="J74" s="54"/>
      <c r="K74" s="55"/>
      <c r="L74" s="131"/>
      <c r="M74" s="134"/>
      <c r="N74" s="134"/>
      <c r="O74" s="134"/>
      <c r="P74" s="134"/>
      <c r="Q74" s="134"/>
      <c r="R74" s="134"/>
      <c r="S74" s="134"/>
      <c r="T74" s="134"/>
      <c r="U74" s="53"/>
      <c r="V74" s="53"/>
      <c r="W74" s="53"/>
      <c r="X74" s="218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53"/>
      <c r="JM74" s="53"/>
      <c r="JN74" s="53"/>
      <c r="JO74" s="53"/>
      <c r="JP74" s="53"/>
      <c r="JQ74" s="53"/>
      <c r="JR74" s="53"/>
      <c r="JS74" s="53"/>
      <c r="JT74" s="53"/>
      <c r="JU74" s="53"/>
      <c r="JV74" s="53"/>
      <c r="JW74" s="53"/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53"/>
      <c r="KU74" s="53"/>
      <c r="KV74" s="53"/>
      <c r="KW74" s="53"/>
      <c r="KX74" s="53"/>
      <c r="KY74" s="53"/>
      <c r="KZ74" s="53"/>
      <c r="LA74" s="53"/>
      <c r="LB74" s="53"/>
      <c r="LC74" s="53"/>
      <c r="LD74" s="53"/>
      <c r="LE74" s="53"/>
      <c r="LF74" s="53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53"/>
      <c r="MC74" s="53"/>
      <c r="MD74" s="53"/>
      <c r="ME74" s="53"/>
      <c r="MF74" s="53"/>
      <c r="MG74" s="53"/>
      <c r="MH74" s="53"/>
    </row>
    <row r="75" ht="12.75" customHeight="1">
      <c r="A75" s="135" t="s">
        <v>126</v>
      </c>
      <c r="B75" s="136"/>
      <c r="C75" s="136"/>
      <c r="D75" s="85"/>
      <c r="E75" s="137"/>
      <c r="F75" s="138"/>
      <c r="G75" s="138"/>
      <c r="H75" s="85"/>
      <c r="I75" s="139"/>
      <c r="J75" s="140"/>
      <c r="K75" s="82"/>
      <c r="L75" s="83"/>
      <c r="M75" s="84"/>
      <c r="N75" s="84"/>
      <c r="O75" s="84"/>
      <c r="P75" s="84"/>
      <c r="Q75" s="85"/>
      <c r="R75" s="86"/>
      <c r="S75" s="86"/>
      <c r="T75" s="87"/>
      <c r="U75" s="53"/>
      <c r="V75" s="53"/>
      <c r="W75" s="53"/>
      <c r="X75" s="218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53"/>
      <c r="JM75" s="53"/>
      <c r="JN75" s="53"/>
      <c r="JO75" s="53"/>
      <c r="JP75" s="53"/>
      <c r="JQ75" s="53"/>
      <c r="JR75" s="53"/>
      <c r="JS75" s="53"/>
      <c r="JT75" s="53"/>
      <c r="JU75" s="53"/>
      <c r="JV75" s="53"/>
      <c r="JW75" s="53"/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53"/>
      <c r="KU75" s="53"/>
      <c r="KV75" s="53"/>
      <c r="KW75" s="53"/>
      <c r="KX75" s="53"/>
      <c r="KY75" s="53"/>
      <c r="KZ75" s="53"/>
      <c r="LA75" s="53"/>
      <c r="LB75" s="53"/>
      <c r="LC75" s="53"/>
      <c r="LD75" s="53"/>
      <c r="LE75" s="53"/>
      <c r="LF75" s="53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53"/>
      <c r="MC75" s="53"/>
      <c r="MD75" s="53"/>
      <c r="ME75" s="53"/>
      <c r="MF75" s="53"/>
      <c r="MG75" s="53"/>
      <c r="MH75" s="53"/>
    </row>
    <row r="76" ht="12.75" customHeight="1">
      <c r="A76" s="102">
        <v>44889.0</v>
      </c>
      <c r="B76" s="103">
        <v>0.4166666666666667</v>
      </c>
      <c r="C76" s="90" t="s">
        <v>122</v>
      </c>
      <c r="D76" s="113"/>
      <c r="E76" s="105">
        <v>1.0</v>
      </c>
      <c r="F76" s="106" t="s">
        <v>72</v>
      </c>
      <c r="G76" s="107">
        <v>0.0</v>
      </c>
      <c r="H76" s="108"/>
      <c r="I76" s="96" t="s">
        <v>123</v>
      </c>
      <c r="J76" s="97" t="s">
        <v>99</v>
      </c>
      <c r="K76" s="98"/>
      <c r="L76" s="99" t="s">
        <v>127</v>
      </c>
      <c r="M76" s="100"/>
      <c r="N76" s="100"/>
      <c r="O76" s="100"/>
      <c r="P76" s="100"/>
      <c r="Q76" s="100"/>
      <c r="R76" s="100"/>
      <c r="S76" s="100"/>
      <c r="T76" s="101"/>
      <c r="U76" s="53"/>
      <c r="V76" s="53"/>
      <c r="W76" s="53"/>
      <c r="X76" s="218"/>
      <c r="Y76" s="53"/>
      <c r="Z76" s="236">
        <f>IF(OR(E76="",G76="",'Resultado Oficial'!E76="",'Resultado Oficial'!G76=""),"",
IF(AND(E76='Resultado Oficial'!E76,G76='Resultado Oficial'!G76),10,
IF(AND(E76=G76,'Resultado Oficial'!E76='Resultado Oficial'!G76,ABS((E76-'Resultado Oficial'!E76))=1),6,
IF(AND(E76&gt;G76,'Resultado Oficial'!E76&gt;'Resultado Oficial'!G76,((E76-'Resultado Oficial'!E76)=(G76-'Resultado Oficial'!G76))),6,
IF(AND(E76&lt;G76,'Resultado Oficial'!E76&lt;'Resultado Oficial'!G76,(('Resultado Oficial'!E76-E76)=('Resultado Oficial'!G76-G76))),6,
IF(AND(E76&gt;G76,'Resultado Oficial'!E76&gt;'Resultado Oficial'!G76),3,
IF(AND(E76=G76,'Resultado Oficial'!E76='Resultado Oficial'!G76),3,
IF(AND(E76&lt;G76,'Resultado Oficial'!E76&lt;'Resultado Oficial'!G76),3,0))))))))</f>
        <v>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53"/>
      <c r="JM76" s="53"/>
      <c r="JN76" s="53"/>
      <c r="JO76" s="53"/>
      <c r="JP76" s="53"/>
      <c r="JQ76" s="53"/>
      <c r="JR76" s="53"/>
      <c r="JS76" s="53"/>
      <c r="JT76" s="53"/>
      <c r="JU76" s="53"/>
      <c r="JV76" s="53"/>
      <c r="JW76" s="53"/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53"/>
      <c r="KU76" s="53"/>
      <c r="KV76" s="53"/>
      <c r="KW76" s="53"/>
      <c r="KX76" s="53"/>
      <c r="KY76" s="53"/>
      <c r="KZ76" s="53"/>
      <c r="LA76" s="53"/>
      <c r="LB76" s="53"/>
      <c r="LC76" s="53"/>
      <c r="LD76" s="53"/>
      <c r="LE76" s="53"/>
      <c r="LF76" s="53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53"/>
      <c r="MC76" s="53"/>
      <c r="MD76" s="53"/>
      <c r="ME76" s="53"/>
      <c r="MF76" s="53"/>
      <c r="MG76" s="53"/>
      <c r="MH76" s="53"/>
    </row>
    <row r="77" ht="12.75" customHeight="1">
      <c r="A77" s="102">
        <v>44889.0</v>
      </c>
      <c r="B77" s="103">
        <v>0.5416666666666666</v>
      </c>
      <c r="C77" s="90" t="s">
        <v>119</v>
      </c>
      <c r="D77" s="104"/>
      <c r="E77" s="105">
        <v>0.0</v>
      </c>
      <c r="F77" s="106" t="s">
        <v>72</v>
      </c>
      <c r="G77" s="107">
        <v>0.0</v>
      </c>
      <c r="H77" s="108"/>
      <c r="I77" s="96" t="s">
        <v>121</v>
      </c>
      <c r="J77" s="97" t="s">
        <v>97</v>
      </c>
      <c r="K77" s="109"/>
      <c r="L77" s="110"/>
      <c r="M77" s="111" t="s">
        <v>51</v>
      </c>
      <c r="N77" s="111" t="s">
        <v>52</v>
      </c>
      <c r="O77" s="111" t="s">
        <v>53</v>
      </c>
      <c r="P77" s="111" t="s">
        <v>54</v>
      </c>
      <c r="Q77" s="111" t="s">
        <v>55</v>
      </c>
      <c r="R77" s="111" t="s">
        <v>56</v>
      </c>
      <c r="S77" s="111" t="s">
        <v>57</v>
      </c>
      <c r="T77" s="112" t="s">
        <v>58</v>
      </c>
      <c r="U77" s="53"/>
      <c r="V77" s="50" t="str">
        <f>A75</f>
        <v>Primeira fase       GRUPO H</v>
      </c>
      <c r="W77" s="50"/>
      <c r="X77" s="218" t="s">
        <v>145</v>
      </c>
      <c r="Y77" s="53"/>
      <c r="Z77" s="236">
        <f>IF(OR(E77="",G77="",'Resultado Oficial'!E77="",'Resultado Oficial'!G77=""),"",
IF(AND(E77='Resultado Oficial'!E77,G77='Resultado Oficial'!G77),10,
IF(AND(E77=G77,'Resultado Oficial'!E77='Resultado Oficial'!G77,ABS((E77-'Resultado Oficial'!E77))=1),6,
IF(AND(E77&gt;G77,'Resultado Oficial'!E77&gt;'Resultado Oficial'!G77,((E77-'Resultado Oficial'!E77)=(G77-'Resultado Oficial'!G77))),6,
IF(AND(E77&lt;G77,'Resultado Oficial'!E77&lt;'Resultado Oficial'!G77,(('Resultado Oficial'!E77-E77)=('Resultado Oficial'!G77-G77))),6,
IF(AND(E77&gt;G77,'Resultado Oficial'!E77&gt;'Resultado Oficial'!G77),3,
IF(AND(E77=G77,'Resultado Oficial'!E77='Resultado Oficial'!G77),3,
IF(AND(E77&lt;G77,'Resultado Oficial'!E77&lt;'Resultado Oficial'!G77),3,0))))))))</f>
        <v>0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</row>
    <row r="78" ht="12.75" customHeight="1">
      <c r="A78" s="102">
        <v>44893.0</v>
      </c>
      <c r="B78" s="103">
        <v>0.4166666666666667</v>
      </c>
      <c r="C78" s="90" t="s">
        <v>123</v>
      </c>
      <c r="D78" s="113"/>
      <c r="E78" s="114">
        <v>0.0</v>
      </c>
      <c r="F78" s="115" t="s">
        <v>72</v>
      </c>
      <c r="G78" s="116">
        <v>1.0</v>
      </c>
      <c r="H78" s="117"/>
      <c r="I78" s="96" t="s">
        <v>121</v>
      </c>
      <c r="J78" s="97" t="s">
        <v>99</v>
      </c>
      <c r="K78" s="109"/>
      <c r="L78" s="118" t="str">
        <f>Mothci!MH59</f>
        <v>Gana</v>
      </c>
      <c r="M78" s="119">
        <f>VLOOKUP(L78,Mothci!$LM$59:$LU$62,2,FALSE)</f>
        <v>7</v>
      </c>
      <c r="N78" s="120">
        <f>VLOOKUP(L78,Mothci!$LM$59:$LU$62,3,FALSE)</f>
        <v>3</v>
      </c>
      <c r="O78" s="120">
        <f>VLOOKUP(L78,Mothci!$LM$59:$LU$62,4,FALSE)</f>
        <v>2</v>
      </c>
      <c r="P78" s="120">
        <f>VLOOKUP(L78,Mothci!$LM$59:$LU$62,5,FALSE)</f>
        <v>1</v>
      </c>
      <c r="Q78" s="120">
        <f>VLOOKUP(L78,Mothci!$LM$59:$LU$62,6,FALSE)</f>
        <v>0</v>
      </c>
      <c r="R78" s="120">
        <f>VLOOKUP(L78,Mothci!$LM$59:$LU$62,7,FALSE)</f>
        <v>2</v>
      </c>
      <c r="S78" s="120">
        <f>VLOOKUP(L78,Mothci!$LM$59:$LU$62,8,FALSE)</f>
        <v>0</v>
      </c>
      <c r="T78" s="121">
        <f>VLOOKUP(L78,Mothci!$LM$59:$LU$62,9,FALSE)</f>
        <v>2</v>
      </c>
      <c r="U78" s="53"/>
      <c r="V78" s="59" t="s">
        <v>78</v>
      </c>
      <c r="W78" s="122" t="str">
        <f t="shared" ref="W78:W79" si="73">IF(N78&lt;&gt;3,"",L78)</f>
        <v>Gana</v>
      </c>
      <c r="X78" s="236">
        <f>IF(AND(W78&lt;&gt;"",'Resultado Oficial'!W78&lt;&gt;"",'Resultado Oficial'!W79&lt;&gt;""),IF(W78='Resultado Oficial'!W78,5,IF(W78='Resultado Oficial'!W79,2,0)),"")</f>
        <v>0</v>
      </c>
      <c r="Y78" s="53"/>
      <c r="Z78" s="236">
        <f>IF(OR(E78="",G78="",'Resultado Oficial'!E78="",'Resultado Oficial'!G78=""),"",
IF(AND(E78='Resultado Oficial'!E78,G78='Resultado Oficial'!G78),10,
IF(AND(E78=G78,'Resultado Oficial'!E78='Resultado Oficial'!G78,ABS((E78-'Resultado Oficial'!E78))=1),6,
IF(AND(E78&gt;G78,'Resultado Oficial'!E78&gt;'Resultado Oficial'!G78,((E78-'Resultado Oficial'!E78)=(G78-'Resultado Oficial'!G78))),6,
IF(AND(E78&lt;G78,'Resultado Oficial'!E78&lt;'Resultado Oficial'!G78,(('Resultado Oficial'!E78-E78)=('Resultado Oficial'!G78-G78))),6,
IF(AND(E78&gt;G78,'Resultado Oficial'!E78&gt;'Resultado Oficial'!G78),3,
IF(AND(E78=G78,'Resultado Oficial'!E78='Resultado Oficial'!G78),3,
IF(AND(E78&lt;G78,'Resultado Oficial'!E78&lt;'Resultado Oficial'!G78),3,0))))))))</f>
        <v>6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</row>
    <row r="79" ht="12.75" customHeight="1">
      <c r="A79" s="102">
        <v>44893.0</v>
      </c>
      <c r="B79" s="103">
        <v>0.6666666666666666</v>
      </c>
      <c r="C79" s="90" t="s">
        <v>119</v>
      </c>
      <c r="D79" s="104"/>
      <c r="E79" s="105">
        <v>0.0</v>
      </c>
      <c r="F79" s="106" t="s">
        <v>72</v>
      </c>
      <c r="G79" s="107">
        <v>0.0</v>
      </c>
      <c r="H79" s="108"/>
      <c r="I79" s="96" t="s">
        <v>122</v>
      </c>
      <c r="J79" s="97" t="s">
        <v>94</v>
      </c>
      <c r="K79" s="109"/>
      <c r="L79" s="118" t="str">
        <f>Mothci!MH60</f>
        <v>Portugal</v>
      </c>
      <c r="M79" s="119">
        <f>VLOOKUP(L79,Mothci!$LM$59:$LU$62,2,FALSE)</f>
        <v>5</v>
      </c>
      <c r="N79" s="120">
        <f>VLOOKUP(L79,Mothci!$LM$59:$LU$62,3,FALSE)</f>
        <v>3</v>
      </c>
      <c r="O79" s="120">
        <f>VLOOKUP(L79,Mothci!$LM$59:$LU$62,4,FALSE)</f>
        <v>1</v>
      </c>
      <c r="P79" s="120">
        <f>VLOOKUP(L79,Mothci!$LM$59:$LU$62,5,FALSE)</f>
        <v>2</v>
      </c>
      <c r="Q79" s="120">
        <f>VLOOKUP(L79,Mothci!$LM$59:$LU$62,6,FALSE)</f>
        <v>0</v>
      </c>
      <c r="R79" s="120">
        <f>VLOOKUP(L79,Mothci!$LM$59:$LU$62,7,FALSE)</f>
        <v>2</v>
      </c>
      <c r="S79" s="120">
        <f>VLOOKUP(L79,Mothci!$LM$59:$LU$62,8,FALSE)</f>
        <v>0</v>
      </c>
      <c r="T79" s="121">
        <f>VLOOKUP(L79,Mothci!$LM$59:$LU$62,9,FALSE)</f>
        <v>2</v>
      </c>
      <c r="U79" s="53"/>
      <c r="V79" s="59" t="s">
        <v>81</v>
      </c>
      <c r="W79" s="122" t="str">
        <f t="shared" si="73"/>
        <v>Portugal</v>
      </c>
      <c r="X79" s="236">
        <f>IF(AND(W79&lt;&gt;"",'Resultado Oficial'!W78&lt;&gt;"",'Resultado Oficial'!W79&lt;&gt;""),IF(W79='Resultado Oficial'!W79,5,IF(W79='Resultado Oficial'!W78,2,0)),"")</f>
        <v>2</v>
      </c>
      <c r="Y79" s="53"/>
      <c r="Z79" s="236">
        <f>IF(OR(E79="",G79="",'Resultado Oficial'!E79="",'Resultado Oficial'!G79=""),"",
IF(AND(E79='Resultado Oficial'!E79,G79='Resultado Oficial'!G79),10,
IF(AND(E79=G79,'Resultado Oficial'!E79='Resultado Oficial'!G79,ABS((E79-'Resultado Oficial'!E79))=1),6,
IF(AND(E79&gt;G79,'Resultado Oficial'!E79&gt;'Resultado Oficial'!G79,((E79-'Resultado Oficial'!E79)=(G79-'Resultado Oficial'!G79))),6,
IF(AND(E79&lt;G79,'Resultado Oficial'!E79&lt;'Resultado Oficial'!G79,(('Resultado Oficial'!E79-E79)=('Resultado Oficial'!G79-G79))),6,
IF(AND(E79&gt;G79,'Resultado Oficial'!E79&gt;'Resultado Oficial'!G79),3,
IF(AND(E79=G79,'Resultado Oficial'!E79='Resultado Oficial'!G79),3,
IF(AND(E79&lt;G79,'Resultado Oficial'!E79&lt;'Resultado Oficial'!G79),3,0))))))))</f>
        <v>0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</row>
    <row r="80" ht="12.75" customHeight="1">
      <c r="A80" s="102">
        <v>44897.0</v>
      </c>
      <c r="B80" s="103">
        <v>0.5</v>
      </c>
      <c r="C80" s="90" t="s">
        <v>121</v>
      </c>
      <c r="D80" s="104"/>
      <c r="E80" s="105">
        <v>1.0</v>
      </c>
      <c r="F80" s="106" t="s">
        <v>72</v>
      </c>
      <c r="G80" s="107">
        <v>0.0</v>
      </c>
      <c r="H80" s="108"/>
      <c r="I80" s="96" t="s">
        <v>122</v>
      </c>
      <c r="J80" s="97" t="s">
        <v>106</v>
      </c>
      <c r="K80" s="109"/>
      <c r="L80" s="118" t="str">
        <f>Mothci!MH61</f>
        <v>Uruguai</v>
      </c>
      <c r="M80" s="119">
        <f>VLOOKUP(L80,Mothci!$LM$59:$LU$62,2,FALSE)</f>
        <v>4</v>
      </c>
      <c r="N80" s="120">
        <f>VLOOKUP(L80,Mothci!$LM$59:$LU$62,3,FALSE)</f>
        <v>3</v>
      </c>
      <c r="O80" s="120">
        <f>VLOOKUP(L80,Mothci!$LM$59:$LU$62,4,FALSE)</f>
        <v>1</v>
      </c>
      <c r="P80" s="120">
        <f>VLOOKUP(L80,Mothci!$LM$59:$LU$62,5,FALSE)</f>
        <v>1</v>
      </c>
      <c r="Q80" s="120">
        <f>VLOOKUP(L80,Mothci!$LM$59:$LU$62,6,FALSE)</f>
        <v>1</v>
      </c>
      <c r="R80" s="120">
        <f>VLOOKUP(L80,Mothci!$LM$59:$LU$62,7,FALSE)</f>
        <v>1</v>
      </c>
      <c r="S80" s="120">
        <f>VLOOKUP(L80,Mothci!$LM$59:$LU$62,8,FALSE)</f>
        <v>1</v>
      </c>
      <c r="T80" s="121">
        <f>VLOOKUP(L80,Mothci!$LM$59:$LU$62,9,FALSE)</f>
        <v>0</v>
      </c>
      <c r="U80" s="53"/>
      <c r="V80" s="53"/>
      <c r="W80" s="53"/>
      <c r="X80" s="218"/>
      <c r="Y80" s="53"/>
      <c r="Z80" s="236">
        <f>IF(OR(E80="",G80="",'Resultado Oficial'!E80="",'Resultado Oficial'!G80=""),"",
IF(AND(E80='Resultado Oficial'!E80,G80='Resultado Oficial'!G80),10,
IF(AND(E80=G80,'Resultado Oficial'!E80='Resultado Oficial'!G80,ABS((E80-'Resultado Oficial'!E80))=1),6,
IF(AND(E80&gt;G80,'Resultado Oficial'!E80&gt;'Resultado Oficial'!G80,((E80-'Resultado Oficial'!E80)=(G80-'Resultado Oficial'!G80))),6,
IF(AND(E80&lt;G80,'Resultado Oficial'!E80&lt;'Resultado Oficial'!G80,(('Resultado Oficial'!E80-E80)=('Resultado Oficial'!G80-G80))),6,
IF(AND(E80&gt;G80,'Resultado Oficial'!E80&gt;'Resultado Oficial'!G80),3,
IF(AND(E80=G80,'Resultado Oficial'!E80='Resultado Oficial'!G80),3,
IF(AND(E80&lt;G80,'Resultado Oficial'!E80&lt;'Resultado Oficial'!G80),3,0))))))))</f>
        <v>0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53"/>
      <c r="GW80" s="53"/>
      <c r="GX80" s="53"/>
      <c r="GY80" s="53"/>
      <c r="GZ80" s="53"/>
      <c r="HA80" s="53"/>
      <c r="HB80" s="53"/>
      <c r="HC80" s="53"/>
      <c r="HD80" s="53"/>
      <c r="HE80" s="53"/>
      <c r="HF80" s="53"/>
      <c r="HG80" s="53"/>
      <c r="HH80" s="53"/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53"/>
      <c r="IE80" s="53"/>
      <c r="IF80" s="53"/>
      <c r="IG80" s="53"/>
      <c r="IH80" s="53"/>
      <c r="II80" s="53"/>
      <c r="IJ80" s="53"/>
      <c r="IK80" s="53"/>
      <c r="IL80" s="53"/>
      <c r="IM80" s="53"/>
      <c r="IN80" s="53"/>
      <c r="IO80" s="53"/>
      <c r="IP80" s="53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53"/>
      <c r="JM80" s="53"/>
      <c r="JN80" s="53"/>
      <c r="JO80" s="53"/>
      <c r="JP80" s="53"/>
      <c r="JQ80" s="53"/>
      <c r="JR80" s="53"/>
      <c r="JS80" s="53"/>
      <c r="JT80" s="53"/>
      <c r="JU80" s="53"/>
      <c r="JV80" s="53"/>
      <c r="JW80" s="53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53"/>
      <c r="KU80" s="53"/>
      <c r="KV80" s="53"/>
      <c r="KW80" s="53"/>
      <c r="KX80" s="53"/>
      <c r="KY80" s="53"/>
      <c r="KZ80" s="53"/>
      <c r="LA80" s="53"/>
      <c r="LB80" s="53"/>
      <c r="LC80" s="53"/>
      <c r="LD80" s="53"/>
      <c r="LE80" s="53"/>
      <c r="LF80" s="53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53"/>
      <c r="MC80" s="53"/>
      <c r="MD80" s="53"/>
      <c r="ME80" s="53"/>
      <c r="MF80" s="53"/>
      <c r="MG80" s="53"/>
      <c r="MH80" s="53"/>
    </row>
    <row r="81" ht="12.75" customHeight="1">
      <c r="A81" s="102">
        <v>44897.0</v>
      </c>
      <c r="B81" s="103">
        <v>0.5</v>
      </c>
      <c r="C81" s="90" t="s">
        <v>123</v>
      </c>
      <c r="D81" s="104"/>
      <c r="E81" s="105">
        <v>0.0</v>
      </c>
      <c r="F81" s="106" t="s">
        <v>72</v>
      </c>
      <c r="G81" s="107">
        <v>2.0</v>
      </c>
      <c r="H81" s="108"/>
      <c r="I81" s="96" t="s">
        <v>119</v>
      </c>
      <c r="J81" s="97" t="s">
        <v>99</v>
      </c>
      <c r="K81" s="123"/>
      <c r="L81" s="124" t="str">
        <f>Mothci!MH62</f>
        <v>Coréia do Sul</v>
      </c>
      <c r="M81" s="125">
        <f>VLOOKUP(L81,Mothci!$LM$59:$LU$62,2,FALSE)</f>
        <v>0</v>
      </c>
      <c r="N81" s="126">
        <f>VLOOKUP(L81,Mothci!$LM$59:$LU$62,3,FALSE)</f>
        <v>3</v>
      </c>
      <c r="O81" s="126">
        <f>VLOOKUP(L81,Mothci!$LM$59:$LU$62,4,FALSE)</f>
        <v>0</v>
      </c>
      <c r="P81" s="126">
        <f>VLOOKUP(L81,Mothci!$LM$59:$LU$62,5,FALSE)</f>
        <v>0</v>
      </c>
      <c r="Q81" s="126">
        <f>VLOOKUP(L81,Mothci!$LM$59:$LU$62,6,FALSE)</f>
        <v>3</v>
      </c>
      <c r="R81" s="126">
        <f>VLOOKUP(L81,Mothci!$LM$59:$LU$62,7,FALSE)</f>
        <v>0</v>
      </c>
      <c r="S81" s="126">
        <f>VLOOKUP(L81,Mothci!$LM$59:$LU$62,8,FALSE)</f>
        <v>4</v>
      </c>
      <c r="T81" s="127">
        <f>VLOOKUP(L81,Mothci!$LM$59:$LU$62,9,FALSE)</f>
        <v>-4</v>
      </c>
      <c r="U81" s="53"/>
      <c r="V81" s="53"/>
      <c r="W81" s="53"/>
      <c r="X81" s="218"/>
      <c r="Y81" s="53"/>
      <c r="Z81" s="236">
        <f>IF(OR(E81="",G81="",'Resultado Oficial'!E81="",'Resultado Oficial'!G81=""),"",
IF(AND(E81='Resultado Oficial'!E81,G81='Resultado Oficial'!G81),10,
IF(AND(E81=G81,'Resultado Oficial'!E81='Resultado Oficial'!G81,ABS((E81-'Resultado Oficial'!E81))=1),6,
IF(AND(E81&gt;G81,'Resultado Oficial'!E81&gt;'Resultado Oficial'!G81,((E81-'Resultado Oficial'!E81)=(G81-'Resultado Oficial'!G81))),6,
IF(AND(E81&lt;G81,'Resultado Oficial'!E81&lt;'Resultado Oficial'!G81,(('Resultado Oficial'!E81-E81)=('Resultado Oficial'!G81-G81))),6,
IF(AND(E81&gt;G81,'Resultado Oficial'!E81&gt;'Resultado Oficial'!G81),3,
IF(AND(E81=G81,'Resultado Oficial'!E81='Resultado Oficial'!G81),3,
IF(AND(E81&lt;G81,'Resultado Oficial'!E81&lt;'Resultado Oficial'!G81),3,0))))))))</f>
        <v>0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  <c r="GS81" s="53"/>
      <c r="GT81" s="53"/>
      <c r="GU81" s="53"/>
      <c r="GV81" s="53"/>
      <c r="GW81" s="53"/>
      <c r="GX81" s="53"/>
      <c r="GY81" s="53"/>
      <c r="GZ81" s="53"/>
      <c r="HA81" s="53"/>
      <c r="HB81" s="53"/>
      <c r="HC81" s="53"/>
      <c r="HD81" s="53"/>
      <c r="HE81" s="53"/>
      <c r="HF81" s="53"/>
      <c r="HG81" s="53"/>
      <c r="HH81" s="53"/>
      <c r="HI81" s="53"/>
      <c r="HJ81" s="53"/>
      <c r="HK81" s="53"/>
      <c r="HL81" s="53"/>
      <c r="HM81" s="53"/>
      <c r="HN81" s="53"/>
      <c r="HO81" s="53"/>
      <c r="HP81" s="53"/>
      <c r="HQ81" s="53"/>
      <c r="HR81" s="53"/>
      <c r="HS81" s="53"/>
      <c r="HT81" s="53"/>
      <c r="HU81" s="53"/>
      <c r="HV81" s="53"/>
      <c r="HW81" s="53"/>
      <c r="HX81" s="53"/>
      <c r="HY81" s="53"/>
      <c r="HZ81" s="53"/>
      <c r="IA81" s="53"/>
      <c r="IB81" s="53"/>
      <c r="IC81" s="53"/>
      <c r="ID81" s="53"/>
      <c r="IE81" s="53"/>
      <c r="IF81" s="53"/>
      <c r="IG81" s="53"/>
      <c r="IH81" s="53"/>
      <c r="II81" s="53"/>
      <c r="IJ81" s="53"/>
      <c r="IK81" s="53"/>
      <c r="IL81" s="53"/>
      <c r="IM81" s="53"/>
      <c r="IN81" s="53"/>
      <c r="IO81" s="53"/>
      <c r="IP81" s="53"/>
      <c r="IQ81" s="53"/>
      <c r="IR81" s="53"/>
      <c r="IS81" s="53"/>
      <c r="IT81" s="53"/>
      <c r="IU81" s="53"/>
      <c r="IV81" s="53"/>
      <c r="IW81" s="53"/>
      <c r="IX81" s="53"/>
      <c r="IY81" s="53"/>
      <c r="IZ81" s="53"/>
      <c r="JA81" s="53"/>
      <c r="JB81" s="53"/>
      <c r="JC81" s="53"/>
      <c r="JD81" s="53"/>
      <c r="JE81" s="53"/>
      <c r="JF81" s="53"/>
      <c r="JG81" s="53"/>
      <c r="JH81" s="53"/>
      <c r="JI81" s="53"/>
      <c r="JJ81" s="53"/>
      <c r="JK81" s="53"/>
      <c r="JL81" s="53"/>
      <c r="JM81" s="53"/>
      <c r="JN81" s="53"/>
      <c r="JO81" s="53"/>
      <c r="JP81" s="53"/>
      <c r="JQ81" s="53"/>
      <c r="JR81" s="53"/>
      <c r="JS81" s="53"/>
      <c r="JT81" s="53"/>
      <c r="JU81" s="53"/>
      <c r="JV81" s="53"/>
      <c r="JW81" s="53"/>
      <c r="JX81" s="53"/>
      <c r="JY81" s="53"/>
      <c r="JZ81" s="53"/>
      <c r="KA81" s="53"/>
      <c r="KB81" s="53"/>
      <c r="KC81" s="53"/>
      <c r="KD81" s="53"/>
      <c r="KE81" s="53"/>
      <c r="KF81" s="53"/>
      <c r="KG81" s="53"/>
      <c r="KH81" s="53"/>
      <c r="KI81" s="53"/>
      <c r="KJ81" s="53"/>
      <c r="KK81" s="53"/>
      <c r="KL81" s="53"/>
      <c r="KM81" s="53"/>
      <c r="KN81" s="53"/>
      <c r="KO81" s="53"/>
      <c r="KP81" s="53"/>
      <c r="KQ81" s="53"/>
      <c r="KR81" s="53"/>
      <c r="KS81" s="53"/>
      <c r="KT81" s="53"/>
      <c r="KU81" s="53"/>
      <c r="KV81" s="53"/>
      <c r="KW81" s="53"/>
      <c r="KX81" s="53"/>
      <c r="KY81" s="53"/>
      <c r="KZ81" s="53"/>
      <c r="LA81" s="53"/>
      <c r="LB81" s="53"/>
      <c r="LC81" s="53"/>
      <c r="LD81" s="53"/>
      <c r="LE81" s="53"/>
      <c r="LF81" s="53"/>
      <c r="LG81" s="53"/>
      <c r="LH81" s="53"/>
      <c r="LI81" s="53"/>
      <c r="LJ81" s="53"/>
      <c r="LK81" s="53"/>
      <c r="LL81" s="53"/>
      <c r="LM81" s="53"/>
      <c r="LN81" s="53"/>
      <c r="LO81" s="53"/>
      <c r="LP81" s="53"/>
      <c r="LQ81" s="53"/>
      <c r="LR81" s="53"/>
      <c r="LS81" s="53"/>
      <c r="LT81" s="53"/>
      <c r="LU81" s="53"/>
      <c r="LV81" s="53"/>
      <c r="LW81" s="53"/>
      <c r="LX81" s="53"/>
      <c r="LY81" s="53"/>
      <c r="LZ81" s="53"/>
      <c r="MA81" s="53"/>
      <c r="MB81" s="53"/>
      <c r="MC81" s="53"/>
      <c r="MD81" s="53"/>
      <c r="ME81" s="53"/>
      <c r="MF81" s="53"/>
      <c r="MG81" s="53"/>
      <c r="MH81" s="53"/>
    </row>
    <row r="82" ht="12.75" customHeight="1">
      <c r="A82" s="51"/>
      <c r="B82" s="51"/>
      <c r="C82" s="52"/>
      <c r="D82" s="53"/>
      <c r="E82" s="53"/>
      <c r="F82" s="53"/>
      <c r="G82" s="53"/>
      <c r="H82" s="53"/>
      <c r="I82" s="52"/>
      <c r="J82" s="54"/>
      <c r="K82" s="5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218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</row>
    <row r="83" ht="18.75" customHeight="1">
      <c r="A83" s="51"/>
      <c r="B83" s="51"/>
      <c r="C83" s="52"/>
      <c r="D83" s="53"/>
      <c r="E83" s="53"/>
      <c r="F83" s="53"/>
      <c r="G83" s="53"/>
      <c r="H83" s="53"/>
      <c r="I83" s="55" t="s">
        <v>128</v>
      </c>
      <c r="J83" s="54"/>
      <c r="K83" s="5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218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</row>
    <row r="84" ht="12.75" customHeight="1">
      <c r="A84" s="146" t="s">
        <v>129</v>
      </c>
      <c r="B84" s="147"/>
      <c r="C84" s="148"/>
      <c r="D84" s="149"/>
      <c r="E84" s="150" t="s">
        <v>130</v>
      </c>
      <c r="F84" s="151"/>
      <c r="G84" s="151"/>
      <c r="H84" s="149"/>
      <c r="I84" s="148"/>
      <c r="J84" s="153"/>
      <c r="K84" s="55"/>
      <c r="L84" s="154"/>
      <c r="U84" s="53"/>
      <c r="V84" s="53"/>
      <c r="W84" s="53"/>
      <c r="X84" s="218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  <c r="GS84" s="53"/>
      <c r="GT84" s="53"/>
      <c r="GU84" s="53"/>
      <c r="GV84" s="53"/>
      <c r="GW84" s="53"/>
      <c r="GX84" s="53"/>
      <c r="GY84" s="53"/>
      <c r="GZ84" s="53"/>
      <c r="HA84" s="53"/>
      <c r="HB84" s="53"/>
      <c r="HC84" s="53"/>
      <c r="HD84" s="53"/>
      <c r="HE84" s="53"/>
      <c r="HF84" s="53"/>
      <c r="HG84" s="53"/>
      <c r="HH84" s="53"/>
      <c r="HI84" s="53"/>
      <c r="HJ84" s="53"/>
      <c r="HK84" s="53"/>
      <c r="HL84" s="53"/>
      <c r="HM84" s="53"/>
      <c r="HN84" s="53"/>
      <c r="HO84" s="53"/>
      <c r="HP84" s="53"/>
      <c r="HQ84" s="53"/>
      <c r="HR84" s="53"/>
      <c r="HS84" s="53"/>
      <c r="HT84" s="53"/>
      <c r="HU84" s="53"/>
      <c r="HV84" s="53"/>
      <c r="HW84" s="53"/>
      <c r="HX84" s="53"/>
      <c r="HY84" s="53"/>
      <c r="HZ84" s="53"/>
      <c r="IA84" s="53"/>
      <c r="IB84" s="53"/>
      <c r="IC84" s="53"/>
      <c r="ID84" s="53"/>
      <c r="IE84" s="53"/>
      <c r="IF84" s="53"/>
      <c r="IG84" s="53"/>
      <c r="IH84" s="53"/>
      <c r="II84" s="53"/>
      <c r="IJ84" s="53"/>
      <c r="IK84" s="53"/>
      <c r="IL84" s="53"/>
      <c r="IM84" s="53"/>
      <c r="IN84" s="53"/>
      <c r="IO84" s="53"/>
      <c r="IP84" s="53"/>
      <c r="IQ84" s="53"/>
      <c r="IR84" s="53"/>
      <c r="IS84" s="53"/>
      <c r="IT84" s="53"/>
      <c r="IU84" s="53"/>
      <c r="IV84" s="53"/>
      <c r="IW84" s="53"/>
      <c r="IX84" s="53"/>
      <c r="IY84" s="53"/>
      <c r="IZ84" s="53"/>
      <c r="JA84" s="53"/>
      <c r="JB84" s="53"/>
      <c r="JC84" s="53"/>
      <c r="JD84" s="53"/>
      <c r="JE84" s="53"/>
      <c r="JF84" s="53"/>
      <c r="JG84" s="53"/>
      <c r="JH84" s="53"/>
      <c r="JI84" s="53"/>
      <c r="JJ84" s="53"/>
      <c r="JK84" s="53"/>
      <c r="JL84" s="53"/>
      <c r="JM84" s="53"/>
      <c r="JN84" s="53"/>
      <c r="JO84" s="53"/>
      <c r="JP84" s="53"/>
      <c r="JQ84" s="53"/>
      <c r="JR84" s="53"/>
      <c r="JS84" s="53"/>
      <c r="JT84" s="53"/>
      <c r="JU84" s="53"/>
      <c r="JV84" s="53"/>
      <c r="JW84" s="53"/>
      <c r="JX84" s="53"/>
      <c r="JY84" s="53"/>
      <c r="JZ84" s="53"/>
      <c r="KA84" s="53"/>
      <c r="KB84" s="53"/>
      <c r="KC84" s="53"/>
      <c r="KD84" s="53"/>
      <c r="KE84" s="53"/>
      <c r="KF84" s="53"/>
      <c r="KG84" s="53"/>
      <c r="KH84" s="53"/>
      <c r="KI84" s="53"/>
      <c r="KJ84" s="53"/>
      <c r="KK84" s="53"/>
      <c r="KL84" s="53"/>
      <c r="KM84" s="53"/>
      <c r="KN84" s="53"/>
      <c r="KO84" s="53"/>
      <c r="KP84" s="53"/>
      <c r="KQ84" s="53"/>
      <c r="KR84" s="53"/>
      <c r="KS84" s="53"/>
      <c r="KT84" s="53"/>
      <c r="KU84" s="53"/>
      <c r="KV84" s="53"/>
      <c r="KW84" s="53"/>
      <c r="KX84" s="53"/>
      <c r="KY84" s="53"/>
      <c r="KZ84" s="53"/>
      <c r="LA84" s="53"/>
      <c r="LB84" s="53"/>
      <c r="LC84" s="53"/>
      <c r="LD84" s="53"/>
      <c r="LE84" s="53"/>
      <c r="LF84" s="53"/>
      <c r="LG84" s="53"/>
      <c r="LH84" s="53"/>
      <c r="LI84" s="53"/>
      <c r="LJ84" s="53"/>
      <c r="LK84" s="53"/>
      <c r="LL84" s="53"/>
      <c r="LM84" s="53"/>
      <c r="LN84" s="53"/>
      <c r="LO84" s="53"/>
      <c r="LP84" s="53"/>
      <c r="LQ84" s="53"/>
      <c r="LR84" s="53"/>
      <c r="LS84" s="53"/>
      <c r="LT84" s="53"/>
      <c r="LU84" s="53"/>
      <c r="LV84" s="53"/>
      <c r="LW84" s="53"/>
      <c r="LX84" s="53"/>
      <c r="LY84" s="53"/>
      <c r="LZ84" s="53"/>
      <c r="MA84" s="53"/>
      <c r="MB84" s="53"/>
      <c r="MC84" s="53"/>
      <c r="MD84" s="53"/>
      <c r="ME84" s="53"/>
      <c r="MF84" s="53"/>
      <c r="MG84" s="53"/>
      <c r="MH84" s="53"/>
    </row>
    <row r="85" ht="12.75" customHeight="1">
      <c r="A85" s="155">
        <v>43281.0</v>
      </c>
      <c r="B85" s="156">
        <v>0.625</v>
      </c>
      <c r="C85" s="157" t="str">
        <f>IF(N22=3,L22,"1º do grupo A")</f>
        <v>Holanda</v>
      </c>
      <c r="D85" s="158"/>
      <c r="E85" s="259">
        <v>2.0</v>
      </c>
      <c r="F85" s="115" t="s">
        <v>72</v>
      </c>
      <c r="G85" s="260">
        <v>0.0</v>
      </c>
      <c r="H85" s="158"/>
      <c r="I85" s="157" t="str">
        <f>IF(N31=3,L31,"2º do grupo B")</f>
        <v>Estados Unidos</v>
      </c>
      <c r="J85" s="159" t="s">
        <v>193</v>
      </c>
      <c r="K85" s="160">
        <v>49.0</v>
      </c>
      <c r="U85" s="53"/>
      <c r="V85" s="53"/>
      <c r="W85" s="53"/>
      <c r="X85" s="218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  <c r="GS85" s="53"/>
      <c r="GT85" s="53"/>
      <c r="GU85" s="53"/>
      <c r="GV85" s="53"/>
      <c r="GW85" s="53"/>
      <c r="GX85" s="53"/>
      <c r="GY85" s="53"/>
      <c r="GZ85" s="53"/>
      <c r="HA85" s="53"/>
      <c r="HB85" s="53"/>
      <c r="HC85" s="53"/>
      <c r="HD85" s="53"/>
      <c r="HE85" s="53"/>
      <c r="HF85" s="53"/>
      <c r="HG85" s="53"/>
      <c r="HH85" s="53"/>
      <c r="HI85" s="53"/>
      <c r="HJ85" s="53"/>
      <c r="HK85" s="53"/>
      <c r="HL85" s="53"/>
      <c r="HM85" s="53"/>
      <c r="HN85" s="53"/>
      <c r="HO85" s="53"/>
      <c r="HP85" s="53"/>
      <c r="HQ85" s="53"/>
      <c r="HR85" s="53"/>
      <c r="HS85" s="53"/>
      <c r="HT85" s="53"/>
      <c r="HU85" s="53"/>
      <c r="HV85" s="53"/>
      <c r="HW85" s="53"/>
      <c r="HX85" s="53"/>
      <c r="HY85" s="53"/>
      <c r="HZ85" s="53"/>
      <c r="IA85" s="53"/>
      <c r="IB85" s="53"/>
      <c r="IC85" s="53"/>
      <c r="ID85" s="53"/>
      <c r="IE85" s="53"/>
      <c r="IF85" s="53"/>
      <c r="IG85" s="53"/>
      <c r="IH85" s="53"/>
      <c r="II85" s="53"/>
      <c r="IJ85" s="53"/>
      <c r="IK85" s="53"/>
      <c r="IL85" s="53"/>
      <c r="IM85" s="53"/>
      <c r="IN85" s="53"/>
      <c r="IO85" s="53"/>
      <c r="IP85" s="53"/>
      <c r="IQ85" s="53"/>
      <c r="IR85" s="53"/>
      <c r="IS85" s="53"/>
      <c r="IT85" s="53"/>
      <c r="IU85" s="53"/>
      <c r="IV85" s="53"/>
      <c r="IW85" s="53"/>
      <c r="IX85" s="53"/>
      <c r="IY85" s="53"/>
      <c r="IZ85" s="53"/>
      <c r="JA85" s="53"/>
      <c r="JB85" s="53"/>
      <c r="JC85" s="53"/>
      <c r="JD85" s="53"/>
      <c r="JE85" s="53"/>
      <c r="JF85" s="53"/>
      <c r="JG85" s="53"/>
      <c r="JH85" s="53"/>
      <c r="JI85" s="53"/>
      <c r="JJ85" s="53"/>
      <c r="JK85" s="53"/>
      <c r="JL85" s="53"/>
      <c r="JM85" s="53"/>
      <c r="JN85" s="53"/>
      <c r="JO85" s="53"/>
      <c r="JP85" s="53"/>
      <c r="JQ85" s="53"/>
      <c r="JR85" s="53"/>
      <c r="JS85" s="53"/>
      <c r="JT85" s="53"/>
      <c r="JU85" s="53"/>
      <c r="JV85" s="53"/>
      <c r="JW85" s="53"/>
      <c r="JX85" s="53"/>
      <c r="JY85" s="53"/>
      <c r="JZ85" s="53"/>
      <c r="KA85" s="53"/>
      <c r="KB85" s="53"/>
      <c r="KC85" s="53"/>
      <c r="KD85" s="53"/>
      <c r="KE85" s="53"/>
      <c r="KF85" s="53"/>
      <c r="KG85" s="53"/>
      <c r="KH85" s="53"/>
      <c r="KI85" s="53"/>
      <c r="KJ85" s="53"/>
      <c r="KK85" s="53"/>
      <c r="KL85" s="53"/>
      <c r="KM85" s="53"/>
      <c r="KN85" s="53"/>
      <c r="KO85" s="53"/>
      <c r="KP85" s="53"/>
      <c r="KQ85" s="53"/>
      <c r="KR85" s="53"/>
      <c r="KS85" s="53"/>
      <c r="KT85" s="53"/>
      <c r="KU85" s="53"/>
      <c r="KV85" s="53"/>
      <c r="KW85" s="53"/>
      <c r="KX85" s="53"/>
      <c r="KY85" s="53"/>
      <c r="KZ85" s="53"/>
      <c r="LA85" s="53"/>
      <c r="LB85" s="53"/>
      <c r="LC85" s="53"/>
      <c r="LD85" s="53"/>
      <c r="LE85" s="53"/>
      <c r="LF85" s="53"/>
      <c r="LG85" s="53"/>
      <c r="LH85" s="53"/>
      <c r="LI85" s="53"/>
      <c r="LJ85" s="53"/>
      <c r="LK85" s="53"/>
      <c r="LL85" s="53"/>
      <c r="LM85" s="53"/>
      <c r="LN85" s="53"/>
      <c r="LO85" s="53"/>
      <c r="LP85" s="53"/>
      <c r="LQ85" s="53"/>
      <c r="LR85" s="53"/>
      <c r="LS85" s="53"/>
      <c r="LT85" s="53"/>
      <c r="LU85" s="53"/>
      <c r="LV85" s="53"/>
      <c r="LW85" s="53"/>
      <c r="LX85" s="53"/>
      <c r="LY85" s="53"/>
      <c r="LZ85" s="53"/>
      <c r="MA85" s="53"/>
      <c r="MB85" s="53"/>
      <c r="MC85" s="53"/>
      <c r="MD85" s="53"/>
      <c r="ME85" s="53"/>
      <c r="MF85" s="53"/>
      <c r="MG85" s="53"/>
      <c r="MH85" s="53"/>
    </row>
    <row r="86" ht="12.75" customHeight="1">
      <c r="A86" s="155">
        <v>43281.0</v>
      </c>
      <c r="B86" s="156">
        <v>0.4583333333333333</v>
      </c>
      <c r="C86" s="157" t="str">
        <f>IF(N38=3,L38,"1º do grupo C")</f>
        <v>Argentina</v>
      </c>
      <c r="D86" s="158"/>
      <c r="E86" s="259">
        <v>2.0</v>
      </c>
      <c r="F86" s="115" t="s">
        <v>72</v>
      </c>
      <c r="G86" s="260">
        <v>1.0</v>
      </c>
      <c r="H86" s="158"/>
      <c r="I86" s="157" t="str">
        <f>IF(N47=3,L47,"2º do grupo D")</f>
        <v>Dinamarca</v>
      </c>
      <c r="J86" s="159" t="s">
        <v>194</v>
      </c>
      <c r="K86" s="160">
        <v>50.0</v>
      </c>
      <c r="U86" s="53"/>
      <c r="V86" s="53"/>
      <c r="W86" s="53"/>
      <c r="X86" s="21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  <c r="GS86" s="53"/>
      <c r="GT86" s="53"/>
      <c r="GU86" s="53"/>
      <c r="GV86" s="53"/>
      <c r="GW86" s="53"/>
      <c r="GX86" s="53"/>
      <c r="GY86" s="53"/>
      <c r="GZ86" s="53"/>
      <c r="HA86" s="53"/>
      <c r="HB86" s="53"/>
      <c r="HC86" s="53"/>
      <c r="HD86" s="53"/>
      <c r="HE86" s="53"/>
      <c r="HF86" s="53"/>
      <c r="HG86" s="53"/>
      <c r="HH86" s="53"/>
      <c r="HI86" s="53"/>
      <c r="HJ86" s="53"/>
      <c r="HK86" s="53"/>
      <c r="HL86" s="53"/>
      <c r="HM86" s="53"/>
      <c r="HN86" s="53"/>
      <c r="HO86" s="53"/>
      <c r="HP86" s="53"/>
      <c r="HQ86" s="53"/>
      <c r="HR86" s="53"/>
      <c r="HS86" s="53"/>
      <c r="HT86" s="53"/>
      <c r="HU86" s="53"/>
      <c r="HV86" s="53"/>
      <c r="HW86" s="53"/>
      <c r="HX86" s="53"/>
      <c r="HY86" s="53"/>
      <c r="HZ86" s="53"/>
      <c r="IA86" s="53"/>
      <c r="IB86" s="53"/>
      <c r="IC86" s="53"/>
      <c r="ID86" s="53"/>
      <c r="IE86" s="53"/>
      <c r="IF86" s="53"/>
      <c r="IG86" s="53"/>
      <c r="IH86" s="53"/>
      <c r="II86" s="53"/>
      <c r="IJ86" s="53"/>
      <c r="IK86" s="53"/>
      <c r="IL86" s="53"/>
      <c r="IM86" s="53"/>
      <c r="IN86" s="53"/>
      <c r="IO86" s="53"/>
      <c r="IP86" s="53"/>
      <c r="IQ86" s="53"/>
      <c r="IR86" s="53"/>
      <c r="IS86" s="53"/>
      <c r="IT86" s="53"/>
      <c r="IU86" s="53"/>
      <c r="IV86" s="53"/>
      <c r="IW86" s="53"/>
      <c r="IX86" s="53"/>
      <c r="IY86" s="53"/>
      <c r="IZ86" s="53"/>
      <c r="JA86" s="53"/>
      <c r="JB86" s="53"/>
      <c r="JC86" s="53"/>
      <c r="JD86" s="53"/>
      <c r="JE86" s="53"/>
      <c r="JF86" s="53"/>
      <c r="JG86" s="53"/>
      <c r="JH86" s="53"/>
      <c r="JI86" s="53"/>
      <c r="JJ86" s="53"/>
      <c r="JK86" s="53"/>
      <c r="JL86" s="53"/>
      <c r="JM86" s="53"/>
      <c r="JN86" s="53"/>
      <c r="JO86" s="53"/>
      <c r="JP86" s="53"/>
      <c r="JQ86" s="53"/>
      <c r="JR86" s="53"/>
      <c r="JS86" s="53"/>
      <c r="JT86" s="53"/>
      <c r="JU86" s="53"/>
      <c r="JV86" s="53"/>
      <c r="JW86" s="53"/>
      <c r="JX86" s="53"/>
      <c r="JY86" s="53"/>
      <c r="JZ86" s="53"/>
      <c r="KA86" s="53"/>
      <c r="KB86" s="53"/>
      <c r="KC86" s="53"/>
      <c r="KD86" s="53"/>
      <c r="KE86" s="53"/>
      <c r="KF86" s="53"/>
      <c r="KG86" s="53"/>
      <c r="KH86" s="53"/>
      <c r="KI86" s="53"/>
      <c r="KJ86" s="53"/>
      <c r="KK86" s="53"/>
      <c r="KL86" s="53"/>
      <c r="KM86" s="53"/>
      <c r="KN86" s="53"/>
      <c r="KO86" s="53"/>
      <c r="KP86" s="53"/>
      <c r="KQ86" s="53"/>
      <c r="KR86" s="53"/>
      <c r="KS86" s="53"/>
      <c r="KT86" s="53"/>
      <c r="KU86" s="53"/>
      <c r="KV86" s="53"/>
      <c r="KW86" s="53"/>
      <c r="KX86" s="53"/>
      <c r="KY86" s="53"/>
      <c r="KZ86" s="53"/>
      <c r="LA86" s="53"/>
      <c r="LB86" s="53"/>
      <c r="LC86" s="53"/>
      <c r="LD86" s="53"/>
      <c r="LE86" s="53"/>
      <c r="LF86" s="53"/>
      <c r="LG86" s="53"/>
      <c r="LH86" s="53"/>
      <c r="LI86" s="53"/>
      <c r="LJ86" s="53"/>
      <c r="LK86" s="53"/>
      <c r="LL86" s="53"/>
      <c r="LM86" s="53"/>
      <c r="LN86" s="53"/>
      <c r="LO86" s="53"/>
      <c r="LP86" s="53"/>
      <c r="LQ86" s="53"/>
      <c r="LR86" s="53"/>
      <c r="LS86" s="53"/>
      <c r="LT86" s="53"/>
      <c r="LU86" s="53"/>
      <c r="LV86" s="53"/>
      <c r="LW86" s="53"/>
      <c r="LX86" s="53"/>
      <c r="LY86" s="53"/>
      <c r="LZ86" s="53"/>
      <c r="MA86" s="53"/>
      <c r="MB86" s="53"/>
      <c r="MC86" s="53"/>
      <c r="MD86" s="53"/>
      <c r="ME86" s="53"/>
      <c r="MF86" s="53"/>
      <c r="MG86" s="53"/>
      <c r="MH86" s="53"/>
    </row>
    <row r="87" ht="12.75" customHeight="1">
      <c r="A87" s="155">
        <v>43282.0</v>
      </c>
      <c r="B87" s="156">
        <v>0.4583333333333333</v>
      </c>
      <c r="C87" s="157" t="str">
        <f>IF(N30=3,L30,"1º do grupo B")</f>
        <v>Inglaterra</v>
      </c>
      <c r="D87" s="158"/>
      <c r="E87" s="259">
        <v>1.0</v>
      </c>
      <c r="F87" s="115" t="s">
        <v>72</v>
      </c>
      <c r="G87" s="260">
        <v>0.0</v>
      </c>
      <c r="H87" s="158"/>
      <c r="I87" s="157" t="str">
        <f>IF(N23=3,L23,"2º do grupo A")</f>
        <v>Senegal</v>
      </c>
      <c r="J87" s="159" t="s">
        <v>195</v>
      </c>
      <c r="K87" s="160">
        <v>51.0</v>
      </c>
      <c r="U87" s="53"/>
      <c r="V87" s="53"/>
      <c r="W87" s="53"/>
      <c r="X87" s="218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3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3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3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3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3"/>
      <c r="LR87" s="53"/>
      <c r="LS87" s="53"/>
      <c r="LT87" s="53"/>
      <c r="LU87" s="53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</row>
    <row r="88" ht="12.75" customHeight="1">
      <c r="A88" s="155">
        <v>43282.0</v>
      </c>
      <c r="B88" s="156">
        <v>0.625</v>
      </c>
      <c r="C88" s="157" t="str">
        <f>IF(N46=3,L46,"1º do grupo D")</f>
        <v>França</v>
      </c>
      <c r="D88" s="158"/>
      <c r="E88" s="259">
        <v>2.0</v>
      </c>
      <c r="F88" s="244" t="s">
        <v>72</v>
      </c>
      <c r="G88" s="260">
        <v>0.0</v>
      </c>
      <c r="H88" s="158"/>
      <c r="I88" s="157" t="str">
        <f>IF(N39=3,L39,"2º do grupo C")</f>
        <v>Polônia</v>
      </c>
      <c r="J88" s="159" t="s">
        <v>196</v>
      </c>
      <c r="K88" s="160">
        <v>52.0</v>
      </c>
      <c r="U88" s="53"/>
      <c r="V88" s="53"/>
      <c r="W88" s="53"/>
      <c r="X88" s="218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</row>
    <row r="89" ht="12.75" customHeight="1">
      <c r="A89" s="155">
        <v>43283.0</v>
      </c>
      <c r="B89" s="156">
        <v>0.4583333333333333</v>
      </c>
      <c r="C89" s="157" t="str">
        <f>IF(N54=3,L54,"1º do grupo E")</f>
        <v>Alemanha</v>
      </c>
      <c r="D89" s="162">
        <v>5.0</v>
      </c>
      <c r="E89" s="259">
        <v>0.0</v>
      </c>
      <c r="F89" s="115" t="s">
        <v>72</v>
      </c>
      <c r="G89" s="260">
        <v>0.0</v>
      </c>
      <c r="H89" s="162">
        <v>4.0</v>
      </c>
      <c r="I89" s="157" t="str">
        <f>IF(N63=3,L63,"2º do grupo F")</f>
        <v>Croácia</v>
      </c>
      <c r="J89" s="159" t="s">
        <v>197</v>
      </c>
      <c r="K89" s="160">
        <v>53.0</v>
      </c>
      <c r="L89" s="163"/>
      <c r="M89" s="164"/>
      <c r="U89" s="53"/>
      <c r="V89" s="53"/>
      <c r="W89" s="53"/>
      <c r="X89" s="218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  <c r="IX89" s="53"/>
      <c r="IY89" s="53"/>
      <c r="IZ89" s="53"/>
      <c r="JA89" s="53"/>
      <c r="JB89" s="53"/>
      <c r="JC89" s="53"/>
      <c r="JD89" s="53"/>
      <c r="JE89" s="53"/>
      <c r="JF89" s="53"/>
      <c r="JG89" s="53"/>
      <c r="JH89" s="53"/>
      <c r="JI89" s="53"/>
      <c r="JJ89" s="53"/>
      <c r="JK89" s="53"/>
      <c r="JL89" s="53"/>
      <c r="JM89" s="53"/>
      <c r="JN89" s="53"/>
      <c r="JO89" s="53"/>
      <c r="JP89" s="53"/>
      <c r="JQ89" s="53"/>
      <c r="JR89" s="53"/>
      <c r="JS89" s="53"/>
      <c r="JT89" s="53"/>
      <c r="JU89" s="53"/>
      <c r="JV89" s="53"/>
      <c r="JW89" s="53"/>
      <c r="JX89" s="53"/>
      <c r="JY89" s="53"/>
      <c r="JZ89" s="53"/>
      <c r="KA89" s="53"/>
      <c r="KB89" s="53"/>
      <c r="KC89" s="53"/>
      <c r="KD89" s="53"/>
      <c r="KE89" s="53"/>
      <c r="KF89" s="53"/>
      <c r="KG89" s="53"/>
      <c r="KH89" s="53"/>
      <c r="KI89" s="53"/>
      <c r="KJ89" s="53"/>
      <c r="KK89" s="53"/>
      <c r="KL89" s="53"/>
      <c r="KM89" s="53"/>
      <c r="KN89" s="53"/>
      <c r="KO89" s="53"/>
      <c r="KP89" s="53"/>
      <c r="KQ89" s="53"/>
      <c r="KR89" s="53"/>
      <c r="KS89" s="53"/>
      <c r="KT89" s="53"/>
      <c r="KU89" s="53"/>
      <c r="KV89" s="53"/>
      <c r="KW89" s="53"/>
      <c r="KX89" s="53"/>
      <c r="KY89" s="53"/>
      <c r="KZ89" s="53"/>
      <c r="LA89" s="53"/>
      <c r="LB89" s="53"/>
      <c r="LC89" s="53"/>
      <c r="LD89" s="53"/>
      <c r="LE89" s="53"/>
      <c r="LF89" s="53"/>
      <c r="LG89" s="53"/>
      <c r="LH89" s="53"/>
      <c r="LI89" s="53"/>
      <c r="LJ89" s="53"/>
      <c r="LK89" s="53"/>
      <c r="LL89" s="53"/>
      <c r="LM89" s="53"/>
      <c r="LN89" s="53"/>
      <c r="LO89" s="53"/>
      <c r="LP89" s="53"/>
      <c r="LQ89" s="53"/>
      <c r="LR89" s="53"/>
      <c r="LS89" s="53"/>
      <c r="LT89" s="53"/>
      <c r="LU89" s="53"/>
      <c r="LV89" s="53"/>
      <c r="LW89" s="53"/>
      <c r="LX89" s="53"/>
      <c r="LY89" s="53"/>
      <c r="LZ89" s="53"/>
      <c r="MA89" s="53"/>
      <c r="MB89" s="53"/>
      <c r="MC89" s="53"/>
      <c r="MD89" s="53"/>
      <c r="ME89" s="53"/>
      <c r="MF89" s="53"/>
      <c r="MG89" s="53"/>
      <c r="MH89" s="53"/>
    </row>
    <row r="90" ht="12.75" customHeight="1">
      <c r="A90" s="155">
        <v>43283.0</v>
      </c>
      <c r="B90" s="156">
        <v>0.625</v>
      </c>
      <c r="C90" s="157" t="str">
        <f>IF(N70=3,L70,"1º do grupo G")</f>
        <v>Brasil</v>
      </c>
      <c r="D90" s="162"/>
      <c r="E90" s="259">
        <v>2.0</v>
      </c>
      <c r="F90" s="115" t="s">
        <v>72</v>
      </c>
      <c r="G90" s="260">
        <v>0.0</v>
      </c>
      <c r="H90" s="158"/>
      <c r="I90" s="157" t="str">
        <f>IF(N79=3,L79,"2º do grupo H")</f>
        <v>Portugal</v>
      </c>
      <c r="J90" s="159" t="s">
        <v>198</v>
      </c>
      <c r="K90" s="160">
        <v>54.0</v>
      </c>
      <c r="L90" s="246"/>
      <c r="M90" s="164"/>
      <c r="N90" s="167"/>
      <c r="O90" s="167"/>
      <c r="P90" s="167"/>
      <c r="Q90" s="167"/>
      <c r="R90" s="167"/>
      <c r="S90" s="167"/>
      <c r="T90" s="167"/>
      <c r="U90" s="53"/>
      <c r="V90" s="53"/>
      <c r="W90" s="53"/>
      <c r="X90" s="218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  <c r="GS90" s="53"/>
      <c r="GT90" s="53"/>
      <c r="GU90" s="53"/>
      <c r="GV90" s="53"/>
      <c r="GW90" s="53"/>
      <c r="GX90" s="53"/>
      <c r="GY90" s="53"/>
      <c r="GZ90" s="53"/>
      <c r="HA90" s="53"/>
      <c r="HB90" s="53"/>
      <c r="HC90" s="53"/>
      <c r="HD90" s="53"/>
      <c r="HE90" s="53"/>
      <c r="HF90" s="53"/>
      <c r="HG90" s="53"/>
      <c r="HH90" s="53"/>
      <c r="HI90" s="53"/>
      <c r="HJ90" s="53"/>
      <c r="HK90" s="53"/>
      <c r="HL90" s="53"/>
      <c r="HM90" s="53"/>
      <c r="HN90" s="53"/>
      <c r="HO90" s="53"/>
      <c r="HP90" s="53"/>
      <c r="HQ90" s="53"/>
      <c r="HR90" s="53"/>
      <c r="HS90" s="53"/>
      <c r="HT90" s="53"/>
      <c r="HU90" s="53"/>
      <c r="HV90" s="53"/>
      <c r="HW90" s="53"/>
      <c r="HX90" s="53"/>
      <c r="HY90" s="53"/>
      <c r="HZ90" s="53"/>
      <c r="IA90" s="53"/>
      <c r="IB90" s="53"/>
      <c r="IC90" s="53"/>
      <c r="ID90" s="53"/>
      <c r="IE90" s="53"/>
      <c r="IF90" s="53"/>
      <c r="IG90" s="53"/>
      <c r="IH90" s="53"/>
      <c r="II90" s="53"/>
      <c r="IJ90" s="53"/>
      <c r="IK90" s="53"/>
      <c r="IL90" s="53"/>
      <c r="IM90" s="53"/>
      <c r="IN90" s="53"/>
      <c r="IO90" s="53"/>
      <c r="IP90" s="53"/>
      <c r="IQ90" s="53"/>
      <c r="IR90" s="53"/>
      <c r="IS90" s="53"/>
      <c r="IT90" s="53"/>
      <c r="IU90" s="53"/>
      <c r="IV90" s="53"/>
      <c r="IW90" s="53"/>
      <c r="IX90" s="53"/>
      <c r="IY90" s="53"/>
      <c r="IZ90" s="53"/>
      <c r="JA90" s="53"/>
      <c r="JB90" s="53"/>
      <c r="JC90" s="53"/>
      <c r="JD90" s="53"/>
      <c r="JE90" s="53"/>
      <c r="JF90" s="53"/>
      <c r="JG90" s="53"/>
      <c r="JH90" s="53"/>
      <c r="JI90" s="53"/>
      <c r="JJ90" s="53"/>
      <c r="JK90" s="53"/>
      <c r="JL90" s="53"/>
      <c r="JM90" s="53"/>
      <c r="JN90" s="53"/>
      <c r="JO90" s="53"/>
      <c r="JP90" s="53"/>
      <c r="JQ90" s="53"/>
      <c r="JR90" s="53"/>
      <c r="JS90" s="53"/>
      <c r="JT90" s="53"/>
      <c r="JU90" s="53"/>
      <c r="JV90" s="53"/>
      <c r="JW90" s="53"/>
      <c r="JX90" s="53"/>
      <c r="JY90" s="53"/>
      <c r="JZ90" s="53"/>
      <c r="KA90" s="53"/>
      <c r="KB90" s="53"/>
      <c r="KC90" s="53"/>
      <c r="KD90" s="53"/>
      <c r="KE90" s="53"/>
      <c r="KF90" s="53"/>
      <c r="KG90" s="53"/>
      <c r="KH90" s="53"/>
      <c r="KI90" s="53"/>
      <c r="KJ90" s="53"/>
      <c r="KK90" s="53"/>
      <c r="KL90" s="53"/>
      <c r="KM90" s="53"/>
      <c r="KN90" s="53"/>
      <c r="KO90" s="53"/>
      <c r="KP90" s="53"/>
      <c r="KQ90" s="53"/>
      <c r="KR90" s="53"/>
      <c r="KS90" s="53"/>
      <c r="KT90" s="53"/>
      <c r="KU90" s="53"/>
      <c r="KV90" s="53"/>
      <c r="KW90" s="53"/>
      <c r="KX90" s="53"/>
      <c r="KY90" s="53"/>
      <c r="KZ90" s="53"/>
      <c r="LA90" s="53"/>
      <c r="LB90" s="53"/>
      <c r="LC90" s="53"/>
      <c r="LD90" s="53"/>
      <c r="LE90" s="53"/>
      <c r="LF90" s="53"/>
      <c r="LG90" s="53"/>
      <c r="LH90" s="53"/>
      <c r="LI90" s="53"/>
      <c r="LJ90" s="53"/>
      <c r="LK90" s="53"/>
      <c r="LL90" s="53"/>
      <c r="LM90" s="53"/>
      <c r="LN90" s="53"/>
      <c r="LO90" s="53"/>
      <c r="LP90" s="53"/>
      <c r="LQ90" s="53"/>
      <c r="LR90" s="53"/>
      <c r="LS90" s="53"/>
      <c r="LT90" s="53"/>
      <c r="LU90" s="53"/>
      <c r="LV90" s="53"/>
      <c r="LW90" s="53"/>
      <c r="LX90" s="53"/>
      <c r="LY90" s="53"/>
      <c r="LZ90" s="53"/>
      <c r="MA90" s="53"/>
      <c r="MB90" s="53"/>
      <c r="MC90" s="53"/>
      <c r="MD90" s="53"/>
      <c r="ME90" s="53"/>
      <c r="MF90" s="53"/>
      <c r="MG90" s="53"/>
      <c r="MH90" s="53"/>
    </row>
    <row r="91" ht="12.75" customHeight="1">
      <c r="A91" s="155">
        <v>43284.0</v>
      </c>
      <c r="B91" s="156">
        <v>0.4583333333333333</v>
      </c>
      <c r="C91" s="157" t="str">
        <f>IF(N62=3,L62,"1º do grupo F")</f>
        <v>Bélgica</v>
      </c>
      <c r="D91" s="162">
        <v>5.0</v>
      </c>
      <c r="E91" s="259">
        <v>0.0</v>
      </c>
      <c r="F91" s="115" t="s">
        <v>72</v>
      </c>
      <c r="G91" s="260">
        <v>0.0</v>
      </c>
      <c r="H91" s="162">
        <v>3.0</v>
      </c>
      <c r="I91" s="157" t="str">
        <f>IF(N55=3,L55,"2º do grupo E")</f>
        <v>Espanha</v>
      </c>
      <c r="J91" s="159" t="s">
        <v>199</v>
      </c>
      <c r="K91" s="160">
        <v>55.0</v>
      </c>
      <c r="L91" s="168"/>
      <c r="U91" s="53"/>
      <c r="V91" s="53"/>
      <c r="W91" s="53"/>
      <c r="X91" s="218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  <c r="IW91" s="53"/>
      <c r="IX91" s="53"/>
      <c r="IY91" s="53"/>
      <c r="IZ91" s="53"/>
      <c r="JA91" s="53"/>
      <c r="JB91" s="53"/>
      <c r="JC91" s="53"/>
      <c r="JD91" s="53"/>
      <c r="JE91" s="53"/>
      <c r="JF91" s="53"/>
      <c r="JG91" s="53"/>
      <c r="JH91" s="53"/>
      <c r="JI91" s="53"/>
      <c r="JJ91" s="53"/>
      <c r="JK91" s="53"/>
      <c r="JL91" s="53"/>
      <c r="JM91" s="53"/>
      <c r="JN91" s="53"/>
      <c r="JO91" s="53"/>
      <c r="JP91" s="53"/>
      <c r="JQ91" s="53"/>
      <c r="JR91" s="53"/>
      <c r="JS91" s="53"/>
      <c r="JT91" s="53"/>
      <c r="JU91" s="53"/>
      <c r="JV91" s="53"/>
      <c r="JW91" s="53"/>
      <c r="JX91" s="53"/>
      <c r="JY91" s="53"/>
      <c r="JZ91" s="53"/>
      <c r="KA91" s="53"/>
      <c r="KB91" s="53"/>
      <c r="KC91" s="53"/>
      <c r="KD91" s="53"/>
      <c r="KE91" s="53"/>
      <c r="KF91" s="53"/>
      <c r="KG91" s="53"/>
      <c r="KH91" s="53"/>
      <c r="KI91" s="53"/>
      <c r="KJ91" s="53"/>
      <c r="KK91" s="53"/>
      <c r="KL91" s="53"/>
      <c r="KM91" s="53"/>
      <c r="KN91" s="53"/>
      <c r="KO91" s="53"/>
      <c r="KP91" s="53"/>
      <c r="KQ91" s="53"/>
      <c r="KR91" s="53"/>
      <c r="KS91" s="53"/>
      <c r="KT91" s="53"/>
      <c r="KU91" s="53"/>
      <c r="KV91" s="53"/>
      <c r="KW91" s="53"/>
      <c r="KX91" s="53"/>
      <c r="KY91" s="53"/>
      <c r="KZ91" s="53"/>
      <c r="LA91" s="53"/>
      <c r="LB91" s="53"/>
      <c r="LC91" s="53"/>
      <c r="LD91" s="53"/>
      <c r="LE91" s="53"/>
      <c r="LF91" s="53"/>
      <c r="LG91" s="53"/>
      <c r="LH91" s="53"/>
      <c r="LI91" s="53"/>
      <c r="LJ91" s="53"/>
      <c r="LK91" s="53"/>
      <c r="LL91" s="53"/>
      <c r="LM91" s="53"/>
      <c r="LN91" s="53"/>
      <c r="LO91" s="53"/>
      <c r="LP91" s="53"/>
      <c r="LQ91" s="53"/>
      <c r="LR91" s="53"/>
      <c r="LS91" s="53"/>
      <c r="LT91" s="53"/>
      <c r="LU91" s="53"/>
      <c r="LV91" s="53"/>
      <c r="LW91" s="53"/>
      <c r="LX91" s="53"/>
      <c r="LY91" s="53"/>
      <c r="LZ91" s="53"/>
      <c r="MA91" s="53"/>
      <c r="MB91" s="53"/>
      <c r="MC91" s="53"/>
      <c r="MD91" s="53"/>
      <c r="ME91" s="53"/>
      <c r="MF91" s="53"/>
      <c r="MG91" s="53"/>
      <c r="MH91" s="53"/>
    </row>
    <row r="92" ht="12.75" customHeight="1">
      <c r="A92" s="155">
        <v>43284.0</v>
      </c>
      <c r="B92" s="156">
        <v>0.625</v>
      </c>
      <c r="C92" s="157" t="str">
        <f>IF(N78=3,L78,"1º do grupo H")</f>
        <v>Gana</v>
      </c>
      <c r="D92" s="158"/>
      <c r="E92" s="259">
        <v>1.0</v>
      </c>
      <c r="F92" s="115" t="s">
        <v>72</v>
      </c>
      <c r="G92" s="260">
        <v>0.0</v>
      </c>
      <c r="H92" s="158"/>
      <c r="I92" s="157" t="str">
        <f>IF(N71=3,L71,"2º do grupo G")</f>
        <v>Sérvia</v>
      </c>
      <c r="J92" s="159" t="s">
        <v>200</v>
      </c>
      <c r="K92" s="160">
        <v>56.0</v>
      </c>
      <c r="L92" s="169"/>
      <c r="M92" s="164"/>
      <c r="U92" s="53"/>
      <c r="V92" s="53"/>
      <c r="W92" s="53"/>
      <c r="X92" s="218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</row>
    <row r="93" ht="12.75" customHeight="1">
      <c r="A93" s="170"/>
      <c r="B93" s="171"/>
      <c r="C93" s="172"/>
      <c r="D93" s="173"/>
      <c r="E93" s="174"/>
      <c r="F93" s="174"/>
      <c r="G93" s="174"/>
      <c r="H93" s="174"/>
      <c r="I93" s="172"/>
      <c r="J93" s="175"/>
      <c r="K93" s="58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218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  <c r="IW93" s="53"/>
      <c r="IX93" s="53"/>
      <c r="IY93" s="53"/>
      <c r="IZ93" s="53"/>
      <c r="JA93" s="53"/>
      <c r="JB93" s="53"/>
      <c r="JC93" s="53"/>
      <c r="JD93" s="53"/>
      <c r="JE93" s="53"/>
      <c r="JF93" s="53"/>
      <c r="JG93" s="53"/>
      <c r="JH93" s="53"/>
      <c r="JI93" s="53"/>
      <c r="JJ93" s="53"/>
      <c r="JK93" s="53"/>
      <c r="JL93" s="53"/>
      <c r="JM93" s="53"/>
      <c r="JN93" s="53"/>
      <c r="JO93" s="53"/>
      <c r="JP93" s="53"/>
      <c r="JQ93" s="53"/>
      <c r="JR93" s="53"/>
      <c r="JS93" s="53"/>
      <c r="JT93" s="53"/>
      <c r="JU93" s="53"/>
      <c r="JV93" s="53"/>
      <c r="JW93" s="53"/>
      <c r="JX93" s="53"/>
      <c r="JY93" s="53"/>
      <c r="JZ93" s="53"/>
      <c r="KA93" s="53"/>
      <c r="KB93" s="53"/>
      <c r="KC93" s="53"/>
      <c r="KD93" s="53"/>
      <c r="KE93" s="53"/>
      <c r="KF93" s="53"/>
      <c r="KG93" s="53"/>
      <c r="KH93" s="53"/>
      <c r="KI93" s="53"/>
      <c r="KJ93" s="53"/>
      <c r="KK93" s="53"/>
      <c r="KL93" s="53"/>
      <c r="KM93" s="53"/>
      <c r="KN93" s="53"/>
      <c r="KO93" s="53"/>
      <c r="KP93" s="53"/>
      <c r="KQ93" s="53"/>
      <c r="KR93" s="53"/>
      <c r="KS93" s="53"/>
      <c r="KT93" s="53"/>
      <c r="KU93" s="53"/>
      <c r="KV93" s="53"/>
      <c r="KW93" s="53"/>
      <c r="KX93" s="53"/>
      <c r="KY93" s="53"/>
      <c r="KZ93" s="53"/>
      <c r="LA93" s="53"/>
      <c r="LB93" s="53"/>
      <c r="LC93" s="53"/>
      <c r="LD93" s="53"/>
      <c r="LE93" s="53"/>
      <c r="LF93" s="53"/>
      <c r="LG93" s="53"/>
      <c r="LH93" s="53"/>
      <c r="LI93" s="53"/>
      <c r="LJ93" s="53"/>
      <c r="LK93" s="53"/>
      <c r="LL93" s="53"/>
      <c r="LM93" s="53"/>
      <c r="LN93" s="53"/>
      <c r="LO93" s="53"/>
      <c r="LP93" s="53"/>
      <c r="LQ93" s="53"/>
      <c r="LR93" s="53"/>
      <c r="LS93" s="53"/>
      <c r="LT93" s="53"/>
      <c r="LU93" s="53"/>
      <c r="LV93" s="53"/>
      <c r="LW93" s="53"/>
      <c r="LX93" s="53"/>
      <c r="LY93" s="53"/>
      <c r="LZ93" s="53"/>
      <c r="MA93" s="53"/>
      <c r="MB93" s="53"/>
      <c r="MC93" s="53"/>
      <c r="MD93" s="53"/>
      <c r="ME93" s="53"/>
      <c r="MF93" s="53"/>
      <c r="MG93" s="53"/>
      <c r="MH93" s="53"/>
    </row>
    <row r="94" ht="12.75" customHeight="1">
      <c r="A94" s="176" t="s">
        <v>133</v>
      </c>
      <c r="B94" s="177"/>
      <c r="C94" s="178"/>
      <c r="D94" s="179"/>
      <c r="E94" s="180"/>
      <c r="F94" s="180"/>
      <c r="G94" s="180"/>
      <c r="H94" s="180"/>
      <c r="I94" s="178"/>
      <c r="J94" s="181"/>
      <c r="K94" s="58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218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</row>
    <row r="95" ht="12.75" customHeight="1">
      <c r="A95" s="155">
        <v>43287.0</v>
      </c>
      <c r="B95" s="156">
        <v>0.4583333333333333</v>
      </c>
      <c r="C95" s="157" t="str">
        <f>IF(OR(E85="",G85="",AND(E85=G85,OR(D85="",H85=""))),"Vencedor do 49",IF(E85=G85,IF(D85&gt;H85,C85,I85),IF(E85&gt;G85,C85,I85)))</f>
        <v>Holanda</v>
      </c>
      <c r="D95" s="162">
        <v>5.0</v>
      </c>
      <c r="E95" s="259">
        <v>1.0</v>
      </c>
      <c r="F95" s="115" t="s">
        <v>72</v>
      </c>
      <c r="G95" s="260">
        <v>1.0</v>
      </c>
      <c r="H95" s="162">
        <v>6.0</v>
      </c>
      <c r="I95" s="157" t="str">
        <f>IF(OR(G86="",E86="",AND(G86=E86,OR(H86="",D86=""))),"Vencedor do 50",IF(G86=E86,IF(H86&gt;D86,I86,C86),IF(G86&gt;E86,I86,C86)))</f>
        <v>Argentina</v>
      </c>
      <c r="J95" s="159" t="s">
        <v>196</v>
      </c>
      <c r="K95" s="58">
        <v>57.0</v>
      </c>
      <c r="L95" s="58"/>
      <c r="M95" s="182" t="str">
        <f>IF(OR($E$108="",$G$108="",AND($E$108=$G$108,OR($D$108="",$H$108=""))),"",IF($E$108=$G$108,IF($D$108&gt;$H$108,$C$108,$I$108),IF($E$108&gt;$G$108,$C$108,$I$108)))</f>
        <v>Brasil</v>
      </c>
      <c r="T95" s="53"/>
      <c r="U95" s="53"/>
      <c r="V95" s="53"/>
      <c r="W95" s="53"/>
      <c r="X95" s="218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  <c r="HN95" s="53"/>
      <c r="HO95" s="53"/>
      <c r="HP95" s="53"/>
      <c r="HQ95" s="53"/>
      <c r="HR95" s="53"/>
      <c r="HS95" s="53"/>
      <c r="HT95" s="53"/>
      <c r="HU95" s="53"/>
      <c r="HV95" s="53"/>
      <c r="HW95" s="53"/>
      <c r="HX95" s="53"/>
      <c r="HY95" s="53"/>
      <c r="HZ95" s="53"/>
      <c r="IA95" s="53"/>
      <c r="IB95" s="53"/>
      <c r="IC95" s="53"/>
      <c r="ID95" s="53"/>
      <c r="IE95" s="53"/>
      <c r="IF95" s="53"/>
      <c r="IG95" s="53"/>
      <c r="IH95" s="53"/>
      <c r="II95" s="53"/>
      <c r="IJ95" s="53"/>
      <c r="IK95" s="53"/>
      <c r="IL95" s="53"/>
      <c r="IM95" s="53"/>
      <c r="IN95" s="53"/>
      <c r="IO95" s="53"/>
      <c r="IP95" s="53"/>
      <c r="IQ95" s="53"/>
      <c r="IR95" s="53"/>
      <c r="IS95" s="53"/>
      <c r="IT95" s="53"/>
      <c r="IU95" s="53"/>
      <c r="IV95" s="53"/>
      <c r="IW95" s="53"/>
      <c r="IX95" s="53"/>
      <c r="IY95" s="53"/>
      <c r="IZ95" s="53"/>
      <c r="JA95" s="53"/>
      <c r="JB95" s="53"/>
      <c r="JC95" s="53"/>
      <c r="JD95" s="53"/>
      <c r="JE95" s="53"/>
      <c r="JF95" s="53"/>
      <c r="JG95" s="53"/>
      <c r="JH95" s="53"/>
      <c r="JI95" s="53"/>
      <c r="JJ95" s="53"/>
      <c r="JK95" s="53"/>
      <c r="JL95" s="53"/>
      <c r="JM95" s="53"/>
      <c r="JN95" s="53"/>
      <c r="JO95" s="53"/>
      <c r="JP95" s="53"/>
      <c r="JQ95" s="53"/>
      <c r="JR95" s="53"/>
      <c r="JS95" s="53"/>
      <c r="JT95" s="53"/>
      <c r="JU95" s="53"/>
      <c r="JV95" s="53"/>
      <c r="JW95" s="53"/>
      <c r="JX95" s="53"/>
      <c r="JY95" s="53"/>
      <c r="JZ95" s="53"/>
      <c r="KA95" s="53"/>
      <c r="KB95" s="53"/>
      <c r="KC95" s="53"/>
      <c r="KD95" s="53"/>
      <c r="KE95" s="53"/>
      <c r="KF95" s="53"/>
      <c r="KG95" s="53"/>
      <c r="KH95" s="53"/>
      <c r="KI95" s="53"/>
      <c r="KJ95" s="53"/>
      <c r="KK95" s="53"/>
      <c r="KL95" s="53"/>
      <c r="KM95" s="53"/>
      <c r="KN95" s="53"/>
      <c r="KO95" s="53"/>
      <c r="KP95" s="53"/>
      <c r="KQ95" s="53"/>
      <c r="KR95" s="53"/>
      <c r="KS95" s="53"/>
      <c r="KT95" s="53"/>
      <c r="KU95" s="53"/>
      <c r="KV95" s="53"/>
      <c r="KW95" s="53"/>
      <c r="KX95" s="53"/>
      <c r="KY95" s="53"/>
      <c r="KZ95" s="53"/>
      <c r="LA95" s="53"/>
      <c r="LB95" s="53"/>
      <c r="LC95" s="53"/>
      <c r="LD95" s="53"/>
      <c r="LE95" s="53"/>
      <c r="LF95" s="53"/>
      <c r="LG95" s="53"/>
      <c r="LH95" s="53"/>
      <c r="LI95" s="53"/>
      <c r="LJ95" s="53"/>
      <c r="LK95" s="53"/>
      <c r="LL95" s="53"/>
      <c r="LM95" s="53"/>
      <c r="LN95" s="53"/>
      <c r="LO95" s="53"/>
      <c r="LP95" s="53"/>
      <c r="LQ95" s="53"/>
      <c r="LR95" s="53"/>
      <c r="LS95" s="53"/>
      <c r="LT95" s="53"/>
      <c r="LU95" s="53"/>
      <c r="LV95" s="53"/>
      <c r="LW95" s="53"/>
      <c r="LX95" s="53"/>
      <c r="LY95" s="53"/>
      <c r="LZ95" s="53"/>
      <c r="MA95" s="53"/>
      <c r="MB95" s="53"/>
      <c r="MC95" s="53"/>
      <c r="MD95" s="53"/>
      <c r="ME95" s="53"/>
      <c r="MF95" s="53"/>
      <c r="MG95" s="53"/>
      <c r="MH95" s="53"/>
    </row>
    <row r="96" ht="12.75" customHeight="1">
      <c r="A96" s="155">
        <v>43287.0</v>
      </c>
      <c r="B96" s="156">
        <v>0.625</v>
      </c>
      <c r="C96" s="157" t="str">
        <f>IF(OR(E89="",G89="",AND(E89=G89,OR(D89="",H89=""))),"Vencedor do 51",IF(E89=G89,IF(D89&gt;H89,C89,I89),IF(E89&gt;G89,C89,I89)))</f>
        <v>Alemanha</v>
      </c>
      <c r="D96" s="158"/>
      <c r="E96" s="259">
        <v>0.0</v>
      </c>
      <c r="F96" s="115" t="s">
        <v>72</v>
      </c>
      <c r="G96" s="260">
        <v>2.0</v>
      </c>
      <c r="H96" s="158"/>
      <c r="I96" s="157" t="str">
        <f>IF(OR(G90="",E90="",AND(G90=E90,OR(H90="",D90=""))),"Vencedor do 52",IF(G90=E90,IF(H90&gt;D90,I90,C90),IF(G90&gt;E90,I90,C90)))</f>
        <v>Brasil</v>
      </c>
      <c r="J96" s="159" t="s">
        <v>194</v>
      </c>
      <c r="K96" s="58">
        <v>58.0</v>
      </c>
      <c r="L96" s="58"/>
      <c r="T96" s="53"/>
      <c r="U96" s="53"/>
      <c r="V96" s="53"/>
      <c r="W96" s="53"/>
      <c r="X96" s="218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  <c r="GS96" s="53"/>
      <c r="GT96" s="53"/>
      <c r="GU96" s="53"/>
      <c r="GV96" s="53"/>
      <c r="GW96" s="53"/>
      <c r="GX96" s="53"/>
      <c r="GY96" s="53"/>
      <c r="GZ96" s="53"/>
      <c r="HA96" s="53"/>
      <c r="HB96" s="53"/>
      <c r="HC96" s="53"/>
      <c r="HD96" s="53"/>
      <c r="HE96" s="53"/>
      <c r="HF96" s="53"/>
      <c r="HG96" s="53"/>
      <c r="HH96" s="53"/>
      <c r="HI96" s="53"/>
      <c r="HJ96" s="53"/>
      <c r="HK96" s="53"/>
      <c r="HL96" s="53"/>
      <c r="HM96" s="53"/>
      <c r="HN96" s="53"/>
      <c r="HO96" s="53"/>
      <c r="HP96" s="53"/>
      <c r="HQ96" s="53"/>
      <c r="HR96" s="53"/>
      <c r="HS96" s="53"/>
      <c r="HT96" s="53"/>
      <c r="HU96" s="53"/>
      <c r="HV96" s="53"/>
      <c r="HW96" s="53"/>
      <c r="HX96" s="53"/>
      <c r="HY96" s="53"/>
      <c r="HZ96" s="53"/>
      <c r="IA96" s="53"/>
      <c r="IB96" s="53"/>
      <c r="IC96" s="53"/>
      <c r="ID96" s="53"/>
      <c r="IE96" s="53"/>
      <c r="IF96" s="53"/>
      <c r="IG96" s="53"/>
      <c r="IH96" s="53"/>
      <c r="II96" s="53"/>
      <c r="IJ96" s="53"/>
      <c r="IK96" s="53"/>
      <c r="IL96" s="53"/>
      <c r="IM96" s="53"/>
      <c r="IN96" s="53"/>
      <c r="IO96" s="53"/>
      <c r="IP96" s="53"/>
      <c r="IQ96" s="53"/>
      <c r="IR96" s="53"/>
      <c r="IS96" s="53"/>
      <c r="IT96" s="53"/>
      <c r="IU96" s="53"/>
      <c r="IV96" s="53"/>
      <c r="IW96" s="53"/>
      <c r="IX96" s="53"/>
      <c r="IY96" s="53"/>
      <c r="IZ96" s="53"/>
      <c r="JA96" s="53"/>
      <c r="JB96" s="53"/>
      <c r="JC96" s="53"/>
      <c r="JD96" s="53"/>
      <c r="JE96" s="53"/>
      <c r="JF96" s="53"/>
      <c r="JG96" s="53"/>
      <c r="JH96" s="53"/>
      <c r="JI96" s="53"/>
      <c r="JJ96" s="53"/>
      <c r="JK96" s="53"/>
      <c r="JL96" s="53"/>
      <c r="JM96" s="53"/>
      <c r="JN96" s="53"/>
      <c r="JO96" s="53"/>
      <c r="JP96" s="53"/>
      <c r="JQ96" s="53"/>
      <c r="JR96" s="53"/>
      <c r="JS96" s="53"/>
      <c r="JT96" s="53"/>
      <c r="JU96" s="53"/>
      <c r="JV96" s="53"/>
      <c r="JW96" s="53"/>
      <c r="JX96" s="53"/>
      <c r="JY96" s="53"/>
      <c r="JZ96" s="53"/>
      <c r="KA96" s="53"/>
      <c r="KB96" s="53"/>
      <c r="KC96" s="53"/>
      <c r="KD96" s="53"/>
      <c r="KE96" s="53"/>
      <c r="KF96" s="53"/>
      <c r="KG96" s="53"/>
      <c r="KH96" s="53"/>
      <c r="KI96" s="53"/>
      <c r="KJ96" s="53"/>
      <c r="KK96" s="53"/>
      <c r="KL96" s="53"/>
      <c r="KM96" s="53"/>
      <c r="KN96" s="53"/>
      <c r="KO96" s="53"/>
      <c r="KP96" s="53"/>
      <c r="KQ96" s="53"/>
      <c r="KR96" s="53"/>
      <c r="KS96" s="53"/>
      <c r="KT96" s="53"/>
      <c r="KU96" s="53"/>
      <c r="KV96" s="53"/>
      <c r="KW96" s="53"/>
      <c r="KX96" s="53"/>
      <c r="KY96" s="53"/>
      <c r="KZ96" s="53"/>
      <c r="LA96" s="53"/>
      <c r="LB96" s="53"/>
      <c r="LC96" s="53"/>
      <c r="LD96" s="53"/>
      <c r="LE96" s="53"/>
      <c r="LF96" s="53"/>
      <c r="LG96" s="53"/>
      <c r="LH96" s="53"/>
      <c r="LI96" s="53"/>
      <c r="LJ96" s="53"/>
      <c r="LK96" s="53"/>
      <c r="LL96" s="53"/>
      <c r="LM96" s="53"/>
      <c r="LN96" s="53"/>
      <c r="LO96" s="53"/>
      <c r="LP96" s="53"/>
      <c r="LQ96" s="53"/>
      <c r="LR96" s="53"/>
      <c r="LS96" s="53"/>
      <c r="LT96" s="53"/>
      <c r="LU96" s="53"/>
      <c r="LV96" s="53"/>
      <c r="LW96" s="53"/>
      <c r="LX96" s="53"/>
      <c r="LY96" s="53"/>
      <c r="LZ96" s="53"/>
      <c r="MA96" s="53"/>
      <c r="MB96" s="53"/>
      <c r="MC96" s="53"/>
      <c r="MD96" s="53"/>
      <c r="ME96" s="53"/>
      <c r="MF96" s="53"/>
      <c r="MG96" s="53"/>
      <c r="MH96" s="53"/>
    </row>
    <row r="97" ht="12.75" customHeight="1">
      <c r="A97" s="155">
        <v>43288.0</v>
      </c>
      <c r="B97" s="156">
        <v>0.625</v>
      </c>
      <c r="C97" s="157" t="str">
        <f>IF(OR(E87="",G87="",AND(E87=G87,OR(D87="",H87=""))),"Vencedor do 53",IF(E87=G87,IF(D87&gt;H87,C87,I87),IF(E87&gt;G87,C87,I87)))</f>
        <v>Inglaterra</v>
      </c>
      <c r="D97" s="158"/>
      <c r="E97" s="259">
        <v>1.0</v>
      </c>
      <c r="F97" s="115" t="s">
        <v>72</v>
      </c>
      <c r="G97" s="260">
        <v>0.0</v>
      </c>
      <c r="H97" s="158"/>
      <c r="I97" s="157" t="str">
        <f>IF(OR(G88="",E88="",AND(G88=E88,OR(H88="",D88=""))),"Vencedor do 54",IF(G88=E88,IF(H88&gt;D88,I88,C88),IF(G88&gt;E88,I88,C88)))</f>
        <v>França</v>
      </c>
      <c r="J97" s="159" t="s">
        <v>193</v>
      </c>
      <c r="K97" s="58">
        <v>59.0</v>
      </c>
      <c r="L97" s="183"/>
      <c r="M97" s="184" t="str">
        <f>IF(M95="","  ","A Seleção campeã da Copa do Mundo, de 2018")</f>
        <v>A Seleção campeã da Copa do Mundo, de 2018</v>
      </c>
      <c r="T97" s="53"/>
      <c r="U97" s="53"/>
      <c r="V97" s="53"/>
      <c r="W97" s="53"/>
      <c r="X97" s="218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  <c r="HK97" s="53"/>
      <c r="HL97" s="53"/>
      <c r="HM97" s="53"/>
      <c r="HN97" s="53"/>
      <c r="HO97" s="53"/>
      <c r="HP97" s="53"/>
      <c r="HQ97" s="53"/>
      <c r="HR97" s="53"/>
      <c r="HS97" s="53"/>
      <c r="HT97" s="53"/>
      <c r="HU97" s="53"/>
      <c r="HV97" s="53"/>
      <c r="HW97" s="53"/>
      <c r="HX97" s="53"/>
      <c r="HY97" s="53"/>
      <c r="HZ97" s="53"/>
      <c r="IA97" s="53"/>
      <c r="IB97" s="53"/>
      <c r="IC97" s="53"/>
      <c r="ID97" s="53"/>
      <c r="IE97" s="53"/>
      <c r="IF97" s="53"/>
      <c r="IG97" s="53"/>
      <c r="IH97" s="53"/>
      <c r="II97" s="53"/>
      <c r="IJ97" s="53"/>
      <c r="IK97" s="53"/>
      <c r="IL97" s="53"/>
      <c r="IM97" s="53"/>
      <c r="IN97" s="53"/>
      <c r="IO97" s="53"/>
      <c r="IP97" s="53"/>
      <c r="IQ97" s="53"/>
      <c r="IR97" s="53"/>
      <c r="IS97" s="53"/>
      <c r="IT97" s="53"/>
      <c r="IU97" s="53"/>
      <c r="IV97" s="53"/>
      <c r="IW97" s="53"/>
      <c r="IX97" s="53"/>
      <c r="IY97" s="53"/>
      <c r="IZ97" s="53"/>
      <c r="JA97" s="53"/>
      <c r="JB97" s="53"/>
      <c r="JC97" s="53"/>
      <c r="JD97" s="53"/>
      <c r="JE97" s="53"/>
      <c r="JF97" s="53"/>
      <c r="JG97" s="53"/>
      <c r="JH97" s="53"/>
      <c r="JI97" s="53"/>
      <c r="JJ97" s="53"/>
      <c r="JK97" s="53"/>
      <c r="JL97" s="53"/>
      <c r="JM97" s="53"/>
      <c r="JN97" s="53"/>
      <c r="JO97" s="53"/>
      <c r="JP97" s="53"/>
      <c r="JQ97" s="53"/>
      <c r="JR97" s="53"/>
      <c r="JS97" s="53"/>
      <c r="JT97" s="53"/>
      <c r="JU97" s="53"/>
      <c r="JV97" s="53"/>
      <c r="JW97" s="53"/>
      <c r="JX97" s="53"/>
      <c r="JY97" s="53"/>
      <c r="JZ97" s="53"/>
      <c r="KA97" s="53"/>
      <c r="KB97" s="53"/>
      <c r="KC97" s="53"/>
      <c r="KD97" s="53"/>
      <c r="KE97" s="53"/>
      <c r="KF97" s="53"/>
      <c r="KG97" s="53"/>
      <c r="KH97" s="53"/>
      <c r="KI97" s="53"/>
      <c r="KJ97" s="53"/>
      <c r="KK97" s="53"/>
      <c r="KL97" s="53"/>
      <c r="KM97" s="53"/>
      <c r="KN97" s="53"/>
      <c r="KO97" s="53"/>
      <c r="KP97" s="53"/>
      <c r="KQ97" s="53"/>
      <c r="KR97" s="53"/>
      <c r="KS97" s="53"/>
      <c r="KT97" s="53"/>
      <c r="KU97" s="53"/>
      <c r="KV97" s="53"/>
      <c r="KW97" s="53"/>
      <c r="KX97" s="53"/>
      <c r="KY97" s="53"/>
      <c r="KZ97" s="53"/>
      <c r="LA97" s="53"/>
      <c r="LB97" s="53"/>
      <c r="LC97" s="53"/>
      <c r="LD97" s="53"/>
      <c r="LE97" s="53"/>
      <c r="LF97" s="53"/>
      <c r="LG97" s="53"/>
      <c r="LH97" s="53"/>
      <c r="LI97" s="53"/>
      <c r="LJ97" s="53"/>
      <c r="LK97" s="53"/>
      <c r="LL97" s="53"/>
      <c r="LM97" s="53"/>
      <c r="LN97" s="53"/>
      <c r="LO97" s="53"/>
      <c r="LP97" s="53"/>
      <c r="LQ97" s="53"/>
      <c r="LR97" s="53"/>
      <c r="LS97" s="53"/>
      <c r="LT97" s="53"/>
      <c r="LU97" s="53"/>
      <c r="LV97" s="53"/>
      <c r="LW97" s="53"/>
      <c r="LX97" s="53"/>
      <c r="LY97" s="53"/>
      <c r="LZ97" s="53"/>
      <c r="MA97" s="53"/>
      <c r="MB97" s="53"/>
      <c r="MC97" s="53"/>
      <c r="MD97" s="53"/>
      <c r="ME97" s="53"/>
      <c r="MF97" s="53"/>
      <c r="MG97" s="53"/>
      <c r="MH97" s="53"/>
    </row>
    <row r="98" ht="12.75" customHeight="1">
      <c r="A98" s="155">
        <v>43288.0</v>
      </c>
      <c r="B98" s="156">
        <v>0.4583333333333333</v>
      </c>
      <c r="C98" s="157" t="str">
        <f>IF(OR(E91="",G91="",AND(E91=G91,OR(D91="",H91=""))),"Vencedor do 55",IF(E91=G91,IF(D91&gt;H91,C91,I91),IF(E91&gt;G91,C91,I91)))</f>
        <v>Bélgica</v>
      </c>
      <c r="D98" s="162">
        <v>7.0</v>
      </c>
      <c r="E98" s="259">
        <v>1.0</v>
      </c>
      <c r="F98" s="115" t="s">
        <v>72</v>
      </c>
      <c r="G98" s="260">
        <v>1.0</v>
      </c>
      <c r="H98" s="162">
        <v>6.0</v>
      </c>
      <c r="I98" s="157" t="str">
        <f>IF(OR(G92="",E92="",AND(G92=E92,OR(H92="",D92=""))),"Vencedor do 56",IF(G92=E92,IF(H92&gt;D92,I92,C92),IF(G92&gt;E92,I92,C92)))</f>
        <v>Gana</v>
      </c>
      <c r="J98" s="159" t="s">
        <v>197</v>
      </c>
      <c r="K98" s="58">
        <v>60.0</v>
      </c>
      <c r="L98" s="53"/>
      <c r="T98" s="53"/>
      <c r="U98" s="53"/>
      <c r="V98" s="53"/>
      <c r="W98" s="53"/>
      <c r="X98" s="218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  <c r="HK98" s="53"/>
      <c r="HL98" s="53"/>
      <c r="HM98" s="53"/>
      <c r="HN98" s="53"/>
      <c r="HO98" s="53"/>
      <c r="HP98" s="53"/>
      <c r="HQ98" s="53"/>
      <c r="HR98" s="53"/>
      <c r="HS98" s="53"/>
      <c r="HT98" s="53"/>
      <c r="HU98" s="53"/>
      <c r="HV98" s="53"/>
      <c r="HW98" s="53"/>
      <c r="HX98" s="53"/>
      <c r="HY98" s="53"/>
      <c r="HZ98" s="53"/>
      <c r="IA98" s="53"/>
      <c r="IB98" s="53"/>
      <c r="IC98" s="53"/>
      <c r="ID98" s="53"/>
      <c r="IE98" s="53"/>
      <c r="IF98" s="53"/>
      <c r="IG98" s="53"/>
      <c r="IH98" s="53"/>
      <c r="II98" s="53"/>
      <c r="IJ98" s="53"/>
      <c r="IK98" s="53"/>
      <c r="IL98" s="53"/>
      <c r="IM98" s="53"/>
      <c r="IN98" s="53"/>
      <c r="IO98" s="53"/>
      <c r="IP98" s="53"/>
      <c r="IQ98" s="53"/>
      <c r="IR98" s="53"/>
      <c r="IS98" s="53"/>
      <c r="IT98" s="53"/>
      <c r="IU98" s="53"/>
      <c r="IV98" s="53"/>
      <c r="IW98" s="53"/>
      <c r="IX98" s="53"/>
      <c r="IY98" s="53"/>
      <c r="IZ98" s="53"/>
      <c r="JA98" s="53"/>
      <c r="JB98" s="53"/>
      <c r="JC98" s="53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53"/>
      <c r="JO98" s="53"/>
      <c r="JP98" s="53"/>
      <c r="JQ98" s="53"/>
      <c r="JR98" s="53"/>
      <c r="JS98" s="53"/>
      <c r="JT98" s="53"/>
      <c r="JU98" s="53"/>
      <c r="JV98" s="53"/>
      <c r="JW98" s="53"/>
      <c r="JX98" s="53"/>
      <c r="JY98" s="53"/>
      <c r="JZ98" s="53"/>
      <c r="KA98" s="53"/>
      <c r="KB98" s="53"/>
      <c r="KC98" s="53"/>
      <c r="KD98" s="53"/>
      <c r="KE98" s="53"/>
      <c r="KF98" s="53"/>
      <c r="KG98" s="53"/>
      <c r="KH98" s="53"/>
      <c r="KI98" s="53"/>
      <c r="KJ98" s="53"/>
      <c r="KK98" s="53"/>
      <c r="KL98" s="53"/>
      <c r="KM98" s="53"/>
      <c r="KN98" s="53"/>
      <c r="KO98" s="53"/>
      <c r="KP98" s="53"/>
      <c r="KQ98" s="53"/>
      <c r="KR98" s="53"/>
      <c r="KS98" s="53"/>
      <c r="KT98" s="53"/>
      <c r="KU98" s="53"/>
      <c r="KV98" s="53"/>
      <c r="KW98" s="53"/>
      <c r="KX98" s="53"/>
      <c r="KY98" s="53"/>
      <c r="KZ98" s="53"/>
      <c r="LA98" s="53"/>
      <c r="LB98" s="53"/>
      <c r="LC98" s="53"/>
      <c r="LD98" s="53"/>
      <c r="LE98" s="53"/>
      <c r="LF98" s="53"/>
      <c r="LG98" s="53"/>
      <c r="LH98" s="53"/>
      <c r="LI98" s="53"/>
      <c r="LJ98" s="53"/>
      <c r="LK98" s="53"/>
      <c r="LL98" s="53"/>
      <c r="LM98" s="53"/>
      <c r="LN98" s="53"/>
      <c r="LO98" s="53"/>
      <c r="LP98" s="53"/>
      <c r="LQ98" s="53"/>
      <c r="LR98" s="53"/>
      <c r="LS98" s="53"/>
      <c r="LT98" s="53"/>
      <c r="LU98" s="53"/>
      <c r="LV98" s="53"/>
      <c r="LW98" s="53"/>
      <c r="LX98" s="53"/>
      <c r="LY98" s="53"/>
      <c r="LZ98" s="53"/>
      <c r="MA98" s="53"/>
      <c r="MB98" s="53"/>
      <c r="MC98" s="53"/>
      <c r="MD98" s="53"/>
      <c r="ME98" s="53"/>
      <c r="MF98" s="53"/>
      <c r="MG98" s="53"/>
      <c r="MH98" s="53"/>
    </row>
    <row r="99" ht="12.75" customHeight="1">
      <c r="A99" s="170"/>
      <c r="B99" s="171"/>
      <c r="C99" s="185"/>
      <c r="D99" s="186"/>
      <c r="E99" s="132"/>
      <c r="F99" s="132"/>
      <c r="G99" s="132"/>
      <c r="H99" s="132"/>
      <c r="I99" s="185"/>
      <c r="J99" s="175"/>
      <c r="K99" s="58"/>
      <c r="L99" s="53"/>
      <c r="T99" s="53"/>
      <c r="U99" s="53"/>
      <c r="V99" s="53"/>
      <c r="W99" s="53"/>
      <c r="X99" s="218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  <c r="HK99" s="53"/>
      <c r="HL99" s="53"/>
      <c r="HM99" s="53"/>
      <c r="HN99" s="53"/>
      <c r="HO99" s="53"/>
      <c r="HP99" s="53"/>
      <c r="HQ99" s="53"/>
      <c r="HR99" s="53"/>
      <c r="HS99" s="53"/>
      <c r="HT99" s="53"/>
      <c r="HU99" s="53"/>
      <c r="HV99" s="53"/>
      <c r="HW99" s="53"/>
      <c r="HX99" s="53"/>
      <c r="HY99" s="53"/>
      <c r="HZ99" s="53"/>
      <c r="IA99" s="53"/>
      <c r="IB99" s="53"/>
      <c r="IC99" s="53"/>
      <c r="ID99" s="53"/>
      <c r="IE99" s="53"/>
      <c r="IF99" s="53"/>
      <c r="IG99" s="53"/>
      <c r="IH99" s="53"/>
      <c r="II99" s="53"/>
      <c r="IJ99" s="53"/>
      <c r="IK99" s="53"/>
      <c r="IL99" s="53"/>
      <c r="IM99" s="53"/>
      <c r="IN99" s="53"/>
      <c r="IO99" s="53"/>
      <c r="IP99" s="53"/>
      <c r="IQ99" s="53"/>
      <c r="IR99" s="53"/>
      <c r="IS99" s="53"/>
      <c r="IT99" s="53"/>
      <c r="IU99" s="53"/>
      <c r="IV99" s="53"/>
      <c r="IW99" s="53"/>
      <c r="IX99" s="53"/>
      <c r="IY99" s="53"/>
      <c r="IZ99" s="53"/>
      <c r="JA99" s="53"/>
      <c r="JB99" s="53"/>
      <c r="JC99" s="53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53"/>
      <c r="JO99" s="53"/>
      <c r="JP99" s="53"/>
      <c r="JQ99" s="53"/>
      <c r="JR99" s="53"/>
      <c r="JS99" s="53"/>
      <c r="JT99" s="53"/>
      <c r="JU99" s="53"/>
      <c r="JV99" s="53"/>
      <c r="JW99" s="53"/>
      <c r="JX99" s="53"/>
      <c r="JY99" s="53"/>
      <c r="JZ99" s="53"/>
      <c r="KA99" s="53"/>
      <c r="KB99" s="53"/>
      <c r="KC99" s="53"/>
      <c r="KD99" s="53"/>
      <c r="KE99" s="53"/>
      <c r="KF99" s="53"/>
      <c r="KG99" s="53"/>
      <c r="KH99" s="53"/>
      <c r="KI99" s="53"/>
      <c r="KJ99" s="53"/>
      <c r="KK99" s="53"/>
      <c r="KL99" s="53"/>
      <c r="KM99" s="53"/>
      <c r="KN99" s="53"/>
      <c r="KO99" s="53"/>
      <c r="KP99" s="53"/>
      <c r="KQ99" s="53"/>
      <c r="KR99" s="53"/>
      <c r="KS99" s="53"/>
      <c r="KT99" s="53"/>
      <c r="KU99" s="53"/>
      <c r="KV99" s="53"/>
      <c r="KW99" s="53"/>
      <c r="KX99" s="53"/>
      <c r="KY99" s="53"/>
      <c r="KZ99" s="53"/>
      <c r="LA99" s="53"/>
      <c r="LB99" s="53"/>
      <c r="LC99" s="53"/>
      <c r="LD99" s="53"/>
      <c r="LE99" s="53"/>
      <c r="LF99" s="53"/>
      <c r="LG99" s="53"/>
      <c r="LH99" s="53"/>
      <c r="LI99" s="53"/>
      <c r="LJ99" s="53"/>
      <c r="LK99" s="53"/>
      <c r="LL99" s="53"/>
      <c r="LM99" s="53"/>
      <c r="LN99" s="53"/>
      <c r="LO99" s="53"/>
      <c r="LP99" s="53"/>
      <c r="LQ99" s="53"/>
      <c r="LR99" s="53"/>
      <c r="LS99" s="53"/>
      <c r="LT99" s="53"/>
      <c r="LU99" s="53"/>
      <c r="LV99" s="53"/>
      <c r="LW99" s="53"/>
      <c r="LX99" s="53"/>
      <c r="LY99" s="53"/>
      <c r="LZ99" s="53"/>
      <c r="MA99" s="53"/>
      <c r="MB99" s="53"/>
      <c r="MC99" s="53"/>
      <c r="MD99" s="53"/>
      <c r="ME99" s="53"/>
      <c r="MF99" s="53"/>
      <c r="MG99" s="53"/>
      <c r="MH99" s="53"/>
    </row>
    <row r="100" ht="12.75" customHeight="1">
      <c r="A100" s="187" t="s">
        <v>134</v>
      </c>
      <c r="B100" s="177"/>
      <c r="C100" s="188"/>
      <c r="D100" s="189"/>
      <c r="E100" s="190"/>
      <c r="F100" s="190"/>
      <c r="G100" s="190"/>
      <c r="H100" s="190"/>
      <c r="I100" s="188"/>
      <c r="J100" s="181"/>
      <c r="K100" s="58"/>
      <c r="L100" s="53"/>
      <c r="T100" s="53"/>
      <c r="U100" s="53"/>
      <c r="V100" s="53"/>
      <c r="W100" s="53"/>
      <c r="X100" s="21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  <c r="HK100" s="53"/>
      <c r="HL100" s="53"/>
      <c r="HM100" s="53"/>
      <c r="HN100" s="53"/>
      <c r="HO100" s="53"/>
      <c r="HP100" s="53"/>
      <c r="HQ100" s="53"/>
      <c r="HR100" s="53"/>
      <c r="HS100" s="53"/>
      <c r="HT100" s="53"/>
      <c r="HU100" s="53"/>
      <c r="HV100" s="53"/>
      <c r="HW100" s="53"/>
      <c r="HX100" s="53"/>
      <c r="HY100" s="53"/>
      <c r="HZ100" s="53"/>
      <c r="IA100" s="53"/>
      <c r="IB100" s="53"/>
      <c r="IC100" s="53"/>
      <c r="ID100" s="53"/>
      <c r="IE100" s="53"/>
      <c r="IF100" s="53"/>
      <c r="IG100" s="53"/>
      <c r="IH100" s="53"/>
      <c r="II100" s="53"/>
      <c r="IJ100" s="53"/>
      <c r="IK100" s="53"/>
      <c r="IL100" s="53"/>
      <c r="IM100" s="53"/>
      <c r="IN100" s="53"/>
      <c r="IO100" s="53"/>
      <c r="IP100" s="53"/>
      <c r="IQ100" s="53"/>
      <c r="IR100" s="53"/>
      <c r="IS100" s="53"/>
      <c r="IT100" s="53"/>
      <c r="IU100" s="53"/>
      <c r="IV100" s="53"/>
      <c r="IW100" s="53"/>
      <c r="IX100" s="53"/>
      <c r="IY100" s="53"/>
      <c r="IZ100" s="53"/>
      <c r="JA100" s="53"/>
      <c r="JB100" s="53"/>
      <c r="JC100" s="53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53"/>
      <c r="JO100" s="53"/>
      <c r="JP100" s="53"/>
      <c r="JQ100" s="53"/>
      <c r="JR100" s="53"/>
      <c r="JS100" s="53"/>
      <c r="JT100" s="53"/>
      <c r="JU100" s="53"/>
      <c r="JV100" s="53"/>
      <c r="JW100" s="53"/>
      <c r="JX100" s="53"/>
      <c r="JY100" s="53"/>
      <c r="JZ100" s="53"/>
      <c r="KA100" s="53"/>
      <c r="KB100" s="53"/>
      <c r="KC100" s="53"/>
      <c r="KD100" s="53"/>
      <c r="KE100" s="53"/>
      <c r="KF100" s="53"/>
      <c r="KG100" s="53"/>
      <c r="KH100" s="53"/>
      <c r="KI100" s="53"/>
      <c r="KJ100" s="53"/>
      <c r="KK100" s="53"/>
      <c r="KL100" s="53"/>
      <c r="KM100" s="53"/>
      <c r="KN100" s="53"/>
      <c r="KO100" s="53"/>
      <c r="KP100" s="53"/>
      <c r="KQ100" s="53"/>
      <c r="KR100" s="53"/>
      <c r="KS100" s="53"/>
      <c r="KT100" s="53"/>
      <c r="KU100" s="53"/>
      <c r="KV100" s="53"/>
      <c r="KW100" s="53"/>
      <c r="KX100" s="53"/>
      <c r="KY100" s="53"/>
      <c r="KZ100" s="53"/>
      <c r="LA100" s="53"/>
      <c r="LB100" s="53"/>
      <c r="LC100" s="53"/>
      <c r="LD100" s="53"/>
      <c r="LE100" s="53"/>
      <c r="LF100" s="53"/>
      <c r="LG100" s="53"/>
      <c r="LH100" s="53"/>
      <c r="LI100" s="53"/>
      <c r="LJ100" s="53"/>
      <c r="LK100" s="53"/>
      <c r="LL100" s="53"/>
      <c r="LM100" s="53"/>
      <c r="LN100" s="53"/>
      <c r="LO100" s="53"/>
      <c r="LP100" s="53"/>
      <c r="LQ100" s="53"/>
      <c r="LR100" s="53"/>
      <c r="LS100" s="53"/>
      <c r="LT100" s="53"/>
      <c r="LU100" s="53"/>
      <c r="LV100" s="53"/>
      <c r="LW100" s="53"/>
      <c r="LX100" s="53"/>
      <c r="LY100" s="53"/>
      <c r="LZ100" s="53"/>
      <c r="MA100" s="53"/>
      <c r="MB100" s="53"/>
      <c r="MC100" s="53"/>
      <c r="MD100" s="53"/>
      <c r="ME100" s="53"/>
      <c r="MF100" s="53"/>
      <c r="MG100" s="53"/>
      <c r="MH100" s="53"/>
    </row>
    <row r="101" ht="12.75" customHeight="1">
      <c r="A101" s="155">
        <v>43291.0</v>
      </c>
      <c r="B101" s="156">
        <v>0.625</v>
      </c>
      <c r="C101" s="157" t="str">
        <f>IF(OR(E95="",G95="",AND(E95=G95,OR(D95="",H95=""))),"Vencedor do 57",IF(E95=G95,IF(D95&gt;H95,C95,I95),IF(E95&gt;G95,C95,I95)))</f>
        <v>Argentina</v>
      </c>
      <c r="D101" s="158"/>
      <c r="E101" s="259">
        <v>1.0</v>
      </c>
      <c r="F101" s="115" t="s">
        <v>72</v>
      </c>
      <c r="G101" s="260">
        <v>2.0</v>
      </c>
      <c r="H101" s="158"/>
      <c r="I101" s="157" t="str">
        <f>IF(OR(G96="",E96="",AND(G96=E96,OR(H96="",D96=""))),"Vencedor do 58",IF(G96=E96,IF(H96&gt;D96,I96,C96),IF(G96&gt;E96,I96,C96)))</f>
        <v>Brasil</v>
      </c>
      <c r="J101" s="159" t="s">
        <v>201</v>
      </c>
      <c r="K101" s="58">
        <v>61.0</v>
      </c>
      <c r="L101" s="53"/>
      <c r="T101" s="53"/>
      <c r="U101" s="53"/>
      <c r="V101" s="53"/>
      <c r="W101" s="53"/>
      <c r="X101" s="218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  <c r="IX101" s="53"/>
      <c r="IY101" s="53"/>
      <c r="IZ101" s="53"/>
      <c r="JA101" s="53"/>
      <c r="JB101" s="53"/>
      <c r="JC101" s="53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53"/>
      <c r="JO101" s="53"/>
      <c r="JP101" s="53"/>
      <c r="JQ101" s="53"/>
      <c r="JR101" s="53"/>
      <c r="JS101" s="53"/>
      <c r="JT101" s="53"/>
      <c r="JU101" s="53"/>
      <c r="JV101" s="53"/>
      <c r="JW101" s="53"/>
      <c r="JX101" s="53"/>
      <c r="JY101" s="53"/>
      <c r="JZ101" s="53"/>
      <c r="KA101" s="53"/>
      <c r="KB101" s="53"/>
      <c r="KC101" s="53"/>
      <c r="KD101" s="53"/>
      <c r="KE101" s="53"/>
      <c r="KF101" s="53"/>
      <c r="KG101" s="53"/>
      <c r="KH101" s="53"/>
      <c r="KI101" s="53"/>
      <c r="KJ101" s="53"/>
      <c r="KK101" s="53"/>
      <c r="KL101" s="53"/>
      <c r="KM101" s="53"/>
      <c r="KN101" s="53"/>
      <c r="KO101" s="53"/>
      <c r="KP101" s="53"/>
      <c r="KQ101" s="53"/>
      <c r="KR101" s="53"/>
      <c r="KS101" s="53"/>
      <c r="KT101" s="53"/>
      <c r="KU101" s="53"/>
      <c r="KV101" s="53"/>
      <c r="KW101" s="53"/>
      <c r="KX101" s="53"/>
      <c r="KY101" s="53"/>
      <c r="KZ101" s="53"/>
      <c r="LA101" s="53"/>
      <c r="LB101" s="53"/>
      <c r="LC101" s="53"/>
      <c r="LD101" s="53"/>
      <c r="LE101" s="53"/>
      <c r="LF101" s="53"/>
      <c r="LG101" s="53"/>
      <c r="LH101" s="53"/>
      <c r="LI101" s="53"/>
      <c r="LJ101" s="53"/>
      <c r="LK101" s="53"/>
      <c r="LL101" s="53"/>
      <c r="LM101" s="53"/>
      <c r="LN101" s="53"/>
      <c r="LO101" s="53"/>
      <c r="LP101" s="53"/>
      <c r="LQ101" s="53"/>
      <c r="LR101" s="53"/>
      <c r="LS101" s="53"/>
      <c r="LT101" s="53"/>
      <c r="LU101" s="53"/>
      <c r="LV101" s="53"/>
      <c r="LW101" s="53"/>
      <c r="LX101" s="53"/>
      <c r="LY101" s="53"/>
      <c r="LZ101" s="53"/>
      <c r="MA101" s="53"/>
      <c r="MB101" s="53"/>
      <c r="MC101" s="53"/>
      <c r="MD101" s="53"/>
      <c r="ME101" s="53"/>
      <c r="MF101" s="53"/>
      <c r="MG101" s="53"/>
      <c r="MH101" s="53"/>
    </row>
    <row r="102" ht="12.75" customHeight="1">
      <c r="A102" s="155">
        <v>43292.0</v>
      </c>
      <c r="B102" s="156">
        <v>0.4583333333333333</v>
      </c>
      <c r="C102" s="157" t="str">
        <f>IF(OR(E97="",G97="",AND(E97=G97,OR(D97="",H97=""))),"Vencedor do 59",IF(E97=G97,IF(D97&gt;H97,C97,I97),IF(E97&gt;G97,C97,I97)))</f>
        <v>Inglaterra</v>
      </c>
      <c r="D102" s="162">
        <v>5.0</v>
      </c>
      <c r="E102" s="259">
        <v>0.0</v>
      </c>
      <c r="F102" s="115" t="s">
        <v>72</v>
      </c>
      <c r="G102" s="260">
        <v>0.0</v>
      </c>
      <c r="H102" s="162">
        <v>3.0</v>
      </c>
      <c r="I102" s="157" t="str">
        <f>IF(OR(G98="",E98="",AND(G98=E98,OR(H98="",D98=""))),"Vencedor do 60",IF(G98=E98,IF(H98&gt;D98,I98,C98),IF(G98&gt;E98,I98,C98)))</f>
        <v>Bélgica</v>
      </c>
      <c r="J102" s="159" t="s">
        <v>195</v>
      </c>
      <c r="K102" s="58">
        <v>62.0</v>
      </c>
      <c r="L102" s="53"/>
      <c r="T102" s="53"/>
      <c r="U102" s="53"/>
      <c r="V102" s="53"/>
      <c r="W102" s="53"/>
      <c r="X102" s="218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</row>
    <row r="103" ht="12.75" customHeight="1">
      <c r="A103" s="170"/>
      <c r="B103" s="171"/>
      <c r="C103" s="183"/>
      <c r="D103" s="191"/>
      <c r="E103" s="132"/>
      <c r="F103" s="132"/>
      <c r="G103" s="132"/>
      <c r="H103" s="132"/>
      <c r="I103" s="183"/>
      <c r="J103" s="175"/>
      <c r="K103" s="58"/>
      <c r="L103" s="53"/>
      <c r="T103" s="53"/>
      <c r="U103" s="53"/>
      <c r="V103" s="53"/>
      <c r="W103" s="53"/>
      <c r="X103" s="218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</row>
    <row r="104" ht="12.75" customHeight="1">
      <c r="A104" s="192" t="s">
        <v>135</v>
      </c>
      <c r="B104" s="147"/>
      <c r="C104" s="148"/>
      <c r="D104" s="193"/>
      <c r="E104" s="193"/>
      <c r="F104" s="193"/>
      <c r="G104" s="193"/>
      <c r="H104" s="193"/>
      <c r="I104" s="148"/>
      <c r="J104" s="153"/>
      <c r="K104" s="58"/>
      <c r="L104" s="53"/>
      <c r="T104" s="53"/>
      <c r="U104" s="53"/>
      <c r="V104" s="53"/>
      <c r="W104" s="53"/>
      <c r="X104" s="218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  <c r="GS104" s="53"/>
      <c r="GT104" s="53"/>
      <c r="GU104" s="53"/>
      <c r="GV104" s="53"/>
      <c r="GW104" s="53"/>
      <c r="GX104" s="53"/>
      <c r="GY104" s="53"/>
      <c r="GZ104" s="53"/>
      <c r="HA104" s="53"/>
      <c r="HB104" s="53"/>
      <c r="HC104" s="53"/>
      <c r="HD104" s="53"/>
      <c r="HE104" s="53"/>
      <c r="HF104" s="53"/>
      <c r="HG104" s="53"/>
      <c r="HH104" s="53"/>
      <c r="HI104" s="53"/>
      <c r="HJ104" s="53"/>
      <c r="HK104" s="53"/>
      <c r="HL104" s="53"/>
      <c r="HM104" s="53"/>
      <c r="HN104" s="53"/>
      <c r="HO104" s="53"/>
      <c r="HP104" s="53"/>
      <c r="HQ104" s="53"/>
      <c r="HR104" s="53"/>
      <c r="HS104" s="53"/>
      <c r="HT104" s="53"/>
      <c r="HU104" s="53"/>
      <c r="HV104" s="53"/>
      <c r="HW104" s="53"/>
      <c r="HX104" s="53"/>
      <c r="HY104" s="53"/>
      <c r="HZ104" s="53"/>
      <c r="IA104" s="53"/>
      <c r="IB104" s="53"/>
      <c r="IC104" s="53"/>
      <c r="ID104" s="53"/>
      <c r="IE104" s="53"/>
      <c r="IF104" s="53"/>
      <c r="IG104" s="53"/>
      <c r="IH104" s="53"/>
      <c r="II104" s="53"/>
      <c r="IJ104" s="53"/>
      <c r="IK104" s="53"/>
      <c r="IL104" s="53"/>
      <c r="IM104" s="53"/>
      <c r="IN104" s="53"/>
      <c r="IO104" s="53"/>
      <c r="IP104" s="53"/>
      <c r="IQ104" s="53"/>
      <c r="IR104" s="53"/>
      <c r="IS104" s="53"/>
      <c r="IT104" s="53"/>
      <c r="IU104" s="53"/>
      <c r="IV104" s="53"/>
      <c r="IW104" s="53"/>
      <c r="IX104" s="53"/>
      <c r="IY104" s="53"/>
      <c r="IZ104" s="53"/>
      <c r="JA104" s="53"/>
      <c r="JB104" s="53"/>
      <c r="JC104" s="53"/>
      <c r="JD104" s="53"/>
      <c r="JE104" s="53"/>
      <c r="JF104" s="53"/>
      <c r="JG104" s="53"/>
      <c r="JH104" s="53"/>
      <c r="JI104" s="53"/>
      <c r="JJ104" s="53"/>
      <c r="JK104" s="53"/>
      <c r="JL104" s="53"/>
      <c r="JM104" s="53"/>
      <c r="JN104" s="53"/>
      <c r="JO104" s="53"/>
      <c r="JP104" s="53"/>
      <c r="JQ104" s="53"/>
      <c r="JR104" s="53"/>
      <c r="JS104" s="53"/>
      <c r="JT104" s="53"/>
      <c r="JU104" s="53"/>
      <c r="JV104" s="53"/>
      <c r="JW104" s="53"/>
      <c r="JX104" s="53"/>
      <c r="JY104" s="53"/>
      <c r="JZ104" s="53"/>
      <c r="KA104" s="53"/>
      <c r="KB104" s="53"/>
      <c r="KC104" s="53"/>
      <c r="KD104" s="53"/>
      <c r="KE104" s="53"/>
      <c r="KF104" s="53"/>
      <c r="KG104" s="53"/>
      <c r="KH104" s="53"/>
      <c r="KI104" s="53"/>
      <c r="KJ104" s="53"/>
      <c r="KK104" s="53"/>
      <c r="KL104" s="53"/>
      <c r="KM104" s="53"/>
      <c r="KN104" s="53"/>
      <c r="KO104" s="53"/>
      <c r="KP104" s="53"/>
      <c r="KQ104" s="53"/>
      <c r="KR104" s="53"/>
      <c r="KS104" s="53"/>
      <c r="KT104" s="53"/>
      <c r="KU104" s="53"/>
      <c r="KV104" s="53"/>
      <c r="KW104" s="53"/>
      <c r="KX104" s="53"/>
      <c r="KY104" s="53"/>
      <c r="KZ104" s="53"/>
      <c r="LA104" s="53"/>
      <c r="LB104" s="53"/>
      <c r="LC104" s="53"/>
      <c r="LD104" s="53"/>
      <c r="LE104" s="53"/>
      <c r="LF104" s="53"/>
      <c r="LG104" s="53"/>
      <c r="LH104" s="53"/>
      <c r="LI104" s="53"/>
      <c r="LJ104" s="53"/>
      <c r="LK104" s="53"/>
      <c r="LL104" s="53"/>
      <c r="LM104" s="53"/>
      <c r="LN104" s="53"/>
      <c r="LO104" s="53"/>
      <c r="LP104" s="53"/>
      <c r="LQ104" s="53"/>
      <c r="LR104" s="53"/>
      <c r="LS104" s="53"/>
      <c r="LT104" s="53"/>
      <c r="LU104" s="53"/>
      <c r="LV104" s="53"/>
      <c r="LW104" s="53"/>
      <c r="LX104" s="53"/>
      <c r="LY104" s="53"/>
      <c r="LZ104" s="53"/>
      <c r="MA104" s="53"/>
      <c r="MB104" s="53"/>
      <c r="MC104" s="53"/>
      <c r="MD104" s="53"/>
      <c r="ME104" s="53"/>
      <c r="MF104" s="53"/>
      <c r="MG104" s="53"/>
      <c r="MH104" s="53"/>
    </row>
    <row r="105" ht="16.5" customHeight="1">
      <c r="A105" s="155">
        <v>43295.0</v>
      </c>
      <c r="B105" s="156">
        <v>0.4583333333333333</v>
      </c>
      <c r="C105" s="183" t="str">
        <f>IF(OR(E101="",G101="",AND(E101=G101,OR(D101="",H101="")))," ",IF(E101=G101,IF(D101&lt;H101,C101,I101),IF(E101&lt;G101,C101,I101)))</f>
        <v>Argentina</v>
      </c>
      <c r="D105" s="158"/>
      <c r="E105" s="259">
        <v>1.0</v>
      </c>
      <c r="F105" s="115" t="s">
        <v>72</v>
      </c>
      <c r="G105" s="260">
        <v>0.0</v>
      </c>
      <c r="H105" s="158"/>
      <c r="I105" s="183" t="str">
        <f>IF(OR(G102="",E102="",AND(G102=E102,OR(H102="",D102=""))),"    ",IF(G102=E102,IF(H102&lt;D102,I102,C102),IF(G102&lt;E102,I102,C102)))</f>
        <v>Bélgica</v>
      </c>
      <c r="J105" s="159" t="s">
        <v>201</v>
      </c>
      <c r="K105" s="58">
        <v>63.0</v>
      </c>
      <c r="L105" s="53"/>
      <c r="T105" s="53"/>
      <c r="U105" s="53"/>
      <c r="V105" s="53"/>
      <c r="W105" s="53"/>
      <c r="X105" s="218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  <c r="HK105" s="53"/>
      <c r="HL105" s="53"/>
      <c r="HM105" s="53"/>
      <c r="HN105" s="53"/>
      <c r="HO105" s="53"/>
      <c r="HP105" s="53"/>
      <c r="HQ105" s="53"/>
      <c r="HR105" s="53"/>
      <c r="HS105" s="53"/>
      <c r="HT105" s="53"/>
      <c r="HU105" s="53"/>
      <c r="HV105" s="53"/>
      <c r="HW105" s="53"/>
      <c r="HX105" s="53"/>
      <c r="HY105" s="53"/>
      <c r="HZ105" s="53"/>
      <c r="IA105" s="53"/>
      <c r="IB105" s="53"/>
      <c r="IC105" s="53"/>
      <c r="ID105" s="53"/>
      <c r="IE105" s="53"/>
      <c r="IF105" s="53"/>
      <c r="IG105" s="53"/>
      <c r="IH105" s="53"/>
      <c r="II105" s="53"/>
      <c r="IJ105" s="53"/>
      <c r="IK105" s="53"/>
      <c r="IL105" s="53"/>
      <c r="IM105" s="53"/>
      <c r="IN105" s="53"/>
      <c r="IO105" s="53"/>
      <c r="IP105" s="53"/>
      <c r="IQ105" s="53"/>
      <c r="IR105" s="53"/>
      <c r="IS105" s="53"/>
      <c r="IT105" s="53"/>
      <c r="IU105" s="53"/>
      <c r="IV105" s="53"/>
      <c r="IW105" s="53"/>
      <c r="IX105" s="53"/>
      <c r="IY105" s="53"/>
      <c r="IZ105" s="53"/>
      <c r="JA105" s="53"/>
      <c r="JB105" s="53"/>
      <c r="JC105" s="53"/>
      <c r="JD105" s="53"/>
      <c r="JE105" s="53"/>
      <c r="JF105" s="53"/>
      <c r="JG105" s="53"/>
      <c r="JH105" s="53"/>
      <c r="JI105" s="53"/>
      <c r="JJ105" s="53"/>
      <c r="JK105" s="53"/>
      <c r="JL105" s="53"/>
      <c r="JM105" s="53"/>
      <c r="JN105" s="53"/>
      <c r="JO105" s="53"/>
      <c r="JP105" s="53"/>
      <c r="JQ105" s="53"/>
      <c r="JR105" s="53"/>
      <c r="JS105" s="53"/>
      <c r="JT105" s="53"/>
      <c r="JU105" s="53"/>
      <c r="JV105" s="53"/>
      <c r="JW105" s="53"/>
      <c r="JX105" s="53"/>
      <c r="JY105" s="53"/>
      <c r="JZ105" s="53"/>
      <c r="KA105" s="53"/>
      <c r="KB105" s="53"/>
      <c r="KC105" s="53"/>
      <c r="KD105" s="53"/>
      <c r="KE105" s="53"/>
      <c r="KF105" s="53"/>
      <c r="KG105" s="53"/>
      <c r="KH105" s="53"/>
      <c r="KI105" s="53"/>
      <c r="KJ105" s="53"/>
      <c r="KK105" s="53"/>
      <c r="KL105" s="53"/>
      <c r="KM105" s="53"/>
      <c r="KN105" s="53"/>
      <c r="KO105" s="53"/>
      <c r="KP105" s="53"/>
      <c r="KQ105" s="53"/>
      <c r="KR105" s="53"/>
      <c r="KS105" s="53"/>
      <c r="KT105" s="53"/>
      <c r="KU105" s="53"/>
      <c r="KV105" s="53"/>
      <c r="KW105" s="53"/>
      <c r="KX105" s="53"/>
      <c r="KY105" s="53"/>
      <c r="KZ105" s="53"/>
      <c r="LA105" s="53"/>
      <c r="LB105" s="53"/>
      <c r="LC105" s="53"/>
      <c r="LD105" s="53"/>
      <c r="LE105" s="53"/>
      <c r="LF105" s="53"/>
      <c r="LG105" s="53"/>
      <c r="LH105" s="53"/>
      <c r="LI105" s="53"/>
      <c r="LJ105" s="53"/>
      <c r="LK105" s="53"/>
      <c r="LL105" s="53"/>
      <c r="LM105" s="53"/>
      <c r="LN105" s="53"/>
      <c r="LO105" s="53"/>
      <c r="LP105" s="53"/>
      <c r="LQ105" s="53"/>
      <c r="LR105" s="53"/>
      <c r="LS105" s="53"/>
      <c r="LT105" s="53"/>
      <c r="LU105" s="53"/>
      <c r="LV105" s="53"/>
      <c r="LW105" s="53"/>
      <c r="LX105" s="53"/>
      <c r="LY105" s="53"/>
      <c r="LZ105" s="53"/>
      <c r="MA105" s="53"/>
      <c r="MB105" s="53"/>
      <c r="MC105" s="53"/>
      <c r="MD105" s="53"/>
      <c r="ME105" s="53"/>
      <c r="MF105" s="53"/>
      <c r="MG105" s="53"/>
      <c r="MH105" s="53"/>
    </row>
    <row r="106" ht="12.75" customHeight="1">
      <c r="A106" s="51"/>
      <c r="B106" s="51"/>
      <c r="C106" s="52"/>
      <c r="D106" s="53"/>
      <c r="E106" s="53"/>
      <c r="F106" s="53"/>
      <c r="G106" s="53"/>
      <c r="H106" s="53"/>
      <c r="I106" s="52"/>
      <c r="J106" s="54"/>
      <c r="K106" s="58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218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  <c r="HK106" s="53"/>
      <c r="HL106" s="53"/>
      <c r="HM106" s="53"/>
      <c r="HN106" s="53"/>
      <c r="HO106" s="53"/>
      <c r="HP106" s="53"/>
      <c r="HQ106" s="53"/>
      <c r="HR106" s="53"/>
      <c r="HS106" s="53"/>
      <c r="HT106" s="53"/>
      <c r="HU106" s="53"/>
      <c r="HV106" s="53"/>
      <c r="HW106" s="53"/>
      <c r="HX106" s="53"/>
      <c r="HY106" s="53"/>
      <c r="HZ106" s="53"/>
      <c r="IA106" s="53"/>
      <c r="IB106" s="53"/>
      <c r="IC106" s="53"/>
      <c r="ID106" s="53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O106" s="53"/>
      <c r="IP106" s="53"/>
      <c r="IQ106" s="53"/>
      <c r="IR106" s="53"/>
      <c r="IS106" s="53"/>
      <c r="IT106" s="53"/>
      <c r="IU106" s="53"/>
      <c r="IV106" s="53"/>
      <c r="IW106" s="53"/>
      <c r="IX106" s="53"/>
      <c r="IY106" s="53"/>
      <c r="IZ106" s="53"/>
      <c r="JA106" s="53"/>
      <c r="JB106" s="53"/>
      <c r="JC106" s="53"/>
      <c r="JD106" s="53"/>
      <c r="JE106" s="53"/>
      <c r="JF106" s="53"/>
      <c r="JG106" s="53"/>
      <c r="JH106" s="53"/>
      <c r="JI106" s="53"/>
      <c r="JJ106" s="53"/>
      <c r="JK106" s="53"/>
      <c r="JL106" s="53"/>
      <c r="JM106" s="53"/>
      <c r="JN106" s="53"/>
      <c r="JO106" s="53"/>
      <c r="JP106" s="53"/>
      <c r="JQ106" s="53"/>
      <c r="JR106" s="53"/>
      <c r="JS106" s="53"/>
      <c r="JT106" s="53"/>
      <c r="JU106" s="53"/>
      <c r="JV106" s="53"/>
      <c r="JW106" s="53"/>
      <c r="JX106" s="53"/>
      <c r="JY106" s="53"/>
      <c r="JZ106" s="53"/>
      <c r="KA106" s="53"/>
      <c r="KB106" s="53"/>
      <c r="KC106" s="53"/>
      <c r="KD106" s="53"/>
      <c r="KE106" s="53"/>
      <c r="KF106" s="53"/>
      <c r="KG106" s="53"/>
      <c r="KH106" s="53"/>
      <c r="KI106" s="53"/>
      <c r="KJ106" s="53"/>
      <c r="KK106" s="53"/>
      <c r="KL106" s="53"/>
      <c r="KM106" s="53"/>
      <c r="KN106" s="53"/>
      <c r="KO106" s="53"/>
      <c r="KP106" s="53"/>
      <c r="KQ106" s="53"/>
      <c r="KR106" s="53"/>
      <c r="KS106" s="53"/>
      <c r="KT106" s="53"/>
      <c r="KU106" s="53"/>
      <c r="KV106" s="53"/>
      <c r="KW106" s="53"/>
      <c r="KX106" s="53"/>
      <c r="KY106" s="53"/>
      <c r="KZ106" s="53"/>
      <c r="LA106" s="53"/>
      <c r="LB106" s="53"/>
      <c r="LC106" s="53"/>
      <c r="LD106" s="53"/>
      <c r="LE106" s="53"/>
      <c r="LF106" s="53"/>
      <c r="LG106" s="53"/>
      <c r="LH106" s="53"/>
      <c r="LI106" s="53"/>
      <c r="LJ106" s="53"/>
      <c r="LK106" s="53"/>
      <c r="LL106" s="53"/>
      <c r="LM106" s="53"/>
      <c r="LN106" s="53"/>
      <c r="LO106" s="53"/>
      <c r="LP106" s="53"/>
      <c r="LQ106" s="53"/>
      <c r="LR106" s="53"/>
      <c r="LS106" s="53"/>
      <c r="LT106" s="53"/>
      <c r="LU106" s="53"/>
      <c r="LV106" s="53"/>
      <c r="LW106" s="53"/>
      <c r="LX106" s="53"/>
      <c r="LY106" s="53"/>
      <c r="LZ106" s="53"/>
      <c r="MA106" s="53"/>
      <c r="MB106" s="53"/>
      <c r="MC106" s="53"/>
      <c r="MD106" s="53"/>
      <c r="ME106" s="53"/>
      <c r="MF106" s="53"/>
      <c r="MG106" s="53"/>
      <c r="MH106" s="53"/>
    </row>
    <row r="107" ht="12.75" customHeight="1">
      <c r="A107" s="187" t="s">
        <v>211</v>
      </c>
      <c r="B107" s="195"/>
      <c r="C107" s="196"/>
      <c r="D107" s="197"/>
      <c r="E107" s="198"/>
      <c r="F107" s="198"/>
      <c r="G107" s="198"/>
      <c r="H107" s="198"/>
      <c r="I107" s="199"/>
      <c r="J107" s="200"/>
      <c r="K107" s="58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218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  <c r="HK107" s="53"/>
      <c r="HL107" s="53"/>
      <c r="HM107" s="53"/>
      <c r="HN107" s="53"/>
      <c r="HO107" s="53"/>
      <c r="HP107" s="53"/>
      <c r="HQ107" s="53"/>
      <c r="HR107" s="53"/>
      <c r="HS107" s="53"/>
      <c r="HT107" s="53"/>
      <c r="HU107" s="53"/>
      <c r="HV107" s="53"/>
      <c r="HW107" s="53"/>
      <c r="HX107" s="53"/>
      <c r="HY107" s="53"/>
      <c r="HZ107" s="53"/>
      <c r="IA107" s="53"/>
      <c r="IB107" s="53"/>
      <c r="IC107" s="53"/>
      <c r="ID107" s="53"/>
      <c r="IE107" s="53"/>
      <c r="IF107" s="53"/>
      <c r="IG107" s="53"/>
      <c r="IH107" s="53"/>
      <c r="II107" s="53"/>
      <c r="IJ107" s="53"/>
      <c r="IK107" s="53"/>
      <c r="IL107" s="53"/>
      <c r="IM107" s="53"/>
      <c r="IN107" s="53"/>
      <c r="IO107" s="53"/>
      <c r="IP107" s="53"/>
      <c r="IQ107" s="53"/>
      <c r="IR107" s="53"/>
      <c r="IS107" s="53"/>
      <c r="IT107" s="53"/>
      <c r="IU107" s="53"/>
      <c r="IV107" s="53"/>
      <c r="IW107" s="53"/>
      <c r="IX107" s="53"/>
      <c r="IY107" s="53"/>
      <c r="IZ107" s="53"/>
      <c r="JA107" s="53"/>
      <c r="JB107" s="53"/>
      <c r="JC107" s="53"/>
      <c r="JD107" s="53"/>
      <c r="JE107" s="53"/>
      <c r="JF107" s="53"/>
      <c r="JG107" s="53"/>
      <c r="JH107" s="53"/>
      <c r="JI107" s="53"/>
      <c r="JJ107" s="53"/>
      <c r="JK107" s="53"/>
      <c r="JL107" s="53"/>
      <c r="JM107" s="53"/>
      <c r="JN107" s="53"/>
      <c r="JO107" s="53"/>
      <c r="JP107" s="53"/>
      <c r="JQ107" s="53"/>
      <c r="JR107" s="53"/>
      <c r="JS107" s="53"/>
      <c r="JT107" s="53"/>
      <c r="JU107" s="53"/>
      <c r="JV107" s="53"/>
      <c r="JW107" s="53"/>
      <c r="JX107" s="53"/>
      <c r="JY107" s="53"/>
      <c r="JZ107" s="53"/>
      <c r="KA107" s="53"/>
      <c r="KB107" s="53"/>
      <c r="KC107" s="53"/>
      <c r="KD107" s="53"/>
      <c r="KE107" s="53"/>
      <c r="KF107" s="53"/>
      <c r="KG107" s="53"/>
      <c r="KH107" s="53"/>
      <c r="KI107" s="53"/>
      <c r="KJ107" s="53"/>
      <c r="KK107" s="53"/>
      <c r="KL107" s="53"/>
      <c r="KM107" s="53"/>
      <c r="KN107" s="53"/>
      <c r="KO107" s="53"/>
      <c r="KP107" s="53"/>
      <c r="KQ107" s="53"/>
      <c r="KR107" s="53"/>
      <c r="KS107" s="53"/>
      <c r="KT107" s="53"/>
      <c r="KU107" s="53"/>
      <c r="KV107" s="53"/>
      <c r="KW107" s="53"/>
      <c r="KX107" s="53"/>
      <c r="KY107" s="53"/>
      <c r="KZ107" s="53"/>
      <c r="LA107" s="53"/>
      <c r="LB107" s="53"/>
      <c r="LC107" s="53"/>
      <c r="LD107" s="53"/>
      <c r="LE107" s="53"/>
      <c r="LF107" s="53"/>
      <c r="LG107" s="53"/>
      <c r="LH107" s="53"/>
      <c r="LI107" s="53"/>
      <c r="LJ107" s="53"/>
      <c r="LK107" s="53"/>
      <c r="LL107" s="53"/>
      <c r="LM107" s="53"/>
      <c r="LN107" s="53"/>
      <c r="LO107" s="53"/>
      <c r="LP107" s="53"/>
      <c r="LQ107" s="53"/>
      <c r="LR107" s="53"/>
      <c r="LS107" s="53"/>
      <c r="LT107" s="53"/>
      <c r="LU107" s="53"/>
      <c r="LV107" s="53"/>
      <c r="LW107" s="53"/>
      <c r="LX107" s="53"/>
      <c r="LY107" s="53"/>
      <c r="LZ107" s="53"/>
      <c r="MA107" s="53"/>
      <c r="MB107" s="53"/>
      <c r="MC107" s="53"/>
      <c r="MD107" s="53"/>
      <c r="ME107" s="53"/>
      <c r="MF107" s="53"/>
      <c r="MG107" s="53"/>
      <c r="MH107" s="53"/>
    </row>
    <row r="108" ht="18.0" customHeight="1">
      <c r="A108" s="247">
        <v>43296.0</v>
      </c>
      <c r="B108" s="248">
        <v>0.5</v>
      </c>
      <c r="C108" s="201" t="str">
        <f>IF(OR(E101="",G101="",AND(E101=G101,OR(D101="",H101=""))),"  ",IF(E101=G101,IF(D101&gt;H101,C101,I101),IF(E101&gt;G101,C101,I101)))</f>
        <v>Brasil</v>
      </c>
      <c r="D108" s="249"/>
      <c r="E108" s="261">
        <v>2.0</v>
      </c>
      <c r="F108" s="251" t="s">
        <v>72</v>
      </c>
      <c r="G108" s="262">
        <v>0.0</v>
      </c>
      <c r="H108" s="249"/>
      <c r="I108" s="202" t="str">
        <f>IF(OR(G102="",E102="",AND(G102=E102,OR(H102="",D102=""))),"  ",IF(G102=E102,IF(H102&gt;D102,I102,C102),IF(G102&gt;E102,I102,C102)))</f>
        <v>Inglaterra</v>
      </c>
      <c r="J108" s="253" t="s">
        <v>195</v>
      </c>
      <c r="K108" s="58">
        <v>64.0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218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53"/>
      <c r="KD108" s="53"/>
      <c r="KE108" s="53"/>
      <c r="KF108" s="53"/>
      <c r="KG108" s="53"/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53"/>
      <c r="LS108" s="53"/>
      <c r="LT108" s="53"/>
      <c r="LU108" s="53"/>
      <c r="LV108" s="53"/>
      <c r="LW108" s="53"/>
      <c r="LX108" s="53"/>
      <c r="LY108" s="53"/>
      <c r="LZ108" s="53"/>
      <c r="MA108" s="53"/>
      <c r="MB108" s="53"/>
      <c r="MC108" s="53"/>
      <c r="MD108" s="53"/>
      <c r="ME108" s="53"/>
      <c r="MF108" s="53"/>
      <c r="MG108" s="53"/>
      <c r="MH108" s="53"/>
    </row>
    <row r="109" ht="12.75" customHeight="1">
      <c r="A109" s="51"/>
      <c r="B109" s="51"/>
      <c r="C109" s="52"/>
      <c r="D109" s="53"/>
      <c r="E109" s="53"/>
      <c r="F109" s="53"/>
      <c r="G109" s="53"/>
      <c r="H109" s="53"/>
      <c r="I109" s="52"/>
      <c r="J109" s="54"/>
      <c r="K109" s="5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218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  <c r="HK109" s="53"/>
      <c r="HL109" s="53"/>
      <c r="HM109" s="53"/>
      <c r="HN109" s="53"/>
      <c r="HO109" s="53"/>
      <c r="HP109" s="53"/>
      <c r="HQ109" s="53"/>
      <c r="HR109" s="53"/>
      <c r="HS109" s="53"/>
      <c r="HT109" s="53"/>
      <c r="HU109" s="53"/>
      <c r="HV109" s="53"/>
      <c r="HW109" s="53"/>
      <c r="HX109" s="53"/>
      <c r="HY109" s="53"/>
      <c r="HZ109" s="53"/>
      <c r="IA109" s="53"/>
      <c r="IB109" s="53"/>
      <c r="IC109" s="53"/>
      <c r="ID109" s="53"/>
      <c r="IE109" s="53"/>
      <c r="IF109" s="53"/>
      <c r="IG109" s="53"/>
      <c r="IH109" s="53"/>
      <c r="II109" s="53"/>
      <c r="IJ109" s="53"/>
      <c r="IK109" s="53"/>
      <c r="IL109" s="53"/>
      <c r="IM109" s="53"/>
      <c r="IN109" s="53"/>
      <c r="IO109" s="53"/>
      <c r="IP109" s="53"/>
      <c r="IQ109" s="53"/>
      <c r="IR109" s="53"/>
      <c r="IS109" s="53"/>
      <c r="IT109" s="53"/>
      <c r="IU109" s="53"/>
      <c r="IV109" s="53"/>
      <c r="IW109" s="53"/>
      <c r="IX109" s="53"/>
      <c r="IY109" s="53"/>
      <c r="IZ109" s="53"/>
      <c r="JA109" s="53"/>
      <c r="JB109" s="53"/>
      <c r="JC109" s="53"/>
      <c r="JD109" s="53"/>
      <c r="JE109" s="53"/>
      <c r="JF109" s="53"/>
      <c r="JG109" s="53"/>
      <c r="JH109" s="53"/>
      <c r="JI109" s="53"/>
      <c r="JJ109" s="53"/>
      <c r="JK109" s="53"/>
      <c r="JL109" s="53"/>
      <c r="JM109" s="53"/>
      <c r="JN109" s="53"/>
      <c r="JO109" s="53"/>
      <c r="JP109" s="53"/>
      <c r="JQ109" s="53"/>
      <c r="JR109" s="53"/>
      <c r="JS109" s="53"/>
      <c r="JT109" s="53"/>
      <c r="JU109" s="53"/>
      <c r="JV109" s="53"/>
      <c r="JW109" s="53"/>
      <c r="JX109" s="53"/>
      <c r="JY109" s="53"/>
      <c r="JZ109" s="53"/>
      <c r="KA109" s="53"/>
      <c r="KB109" s="53"/>
      <c r="KC109" s="53"/>
      <c r="KD109" s="53"/>
      <c r="KE109" s="53"/>
      <c r="KF109" s="53"/>
      <c r="KG109" s="53"/>
      <c r="KH109" s="53"/>
      <c r="KI109" s="53"/>
      <c r="KJ109" s="53"/>
      <c r="KK109" s="53"/>
      <c r="KL109" s="53"/>
      <c r="KM109" s="53"/>
      <c r="KN109" s="53"/>
      <c r="KO109" s="53"/>
      <c r="KP109" s="53"/>
      <c r="KQ109" s="53"/>
      <c r="KR109" s="53"/>
      <c r="KS109" s="53"/>
      <c r="KT109" s="53"/>
      <c r="KU109" s="53"/>
      <c r="KV109" s="53"/>
      <c r="KW109" s="53"/>
      <c r="KX109" s="53"/>
      <c r="KY109" s="53"/>
      <c r="KZ109" s="53"/>
      <c r="LA109" s="53"/>
      <c r="LB109" s="53"/>
      <c r="LC109" s="53"/>
      <c r="LD109" s="53"/>
      <c r="LE109" s="53"/>
      <c r="LF109" s="53"/>
      <c r="LG109" s="53"/>
      <c r="LH109" s="53"/>
      <c r="LI109" s="53"/>
      <c r="LJ109" s="53"/>
      <c r="LK109" s="53"/>
      <c r="LL109" s="53"/>
      <c r="LM109" s="53"/>
      <c r="LN109" s="53"/>
      <c r="LO109" s="53"/>
      <c r="LP109" s="53"/>
      <c r="LQ109" s="53"/>
      <c r="LR109" s="53"/>
      <c r="LS109" s="53"/>
      <c r="LT109" s="53"/>
      <c r="LU109" s="53"/>
      <c r="LV109" s="53"/>
      <c r="LW109" s="53"/>
      <c r="LX109" s="53"/>
      <c r="LY109" s="53"/>
      <c r="LZ109" s="53"/>
      <c r="MA109" s="53"/>
      <c r="MB109" s="53"/>
      <c r="MC109" s="53"/>
      <c r="MD109" s="53"/>
      <c r="ME109" s="53"/>
      <c r="MF109" s="53"/>
      <c r="MG109" s="53"/>
      <c r="MH109" s="53"/>
    </row>
    <row r="110" ht="12.75" customHeight="1">
      <c r="A110" s="51"/>
      <c r="B110" s="51"/>
      <c r="C110" s="52"/>
      <c r="D110" s="53"/>
      <c r="E110" s="53"/>
      <c r="F110" s="53"/>
      <c r="G110" s="53"/>
      <c r="H110" s="53"/>
      <c r="I110" s="52"/>
      <c r="J110" s="54"/>
      <c r="K110" s="5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218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  <c r="HK110" s="53"/>
      <c r="HL110" s="53"/>
      <c r="HM110" s="53"/>
      <c r="HN110" s="53"/>
      <c r="HO110" s="53"/>
      <c r="HP110" s="53"/>
      <c r="HQ110" s="53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53"/>
      <c r="KD110" s="53"/>
      <c r="KE110" s="53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53"/>
      <c r="LS110" s="53"/>
      <c r="LT110" s="53"/>
      <c r="LU110" s="53"/>
      <c r="LV110" s="53"/>
      <c r="LW110" s="53"/>
      <c r="LX110" s="53"/>
      <c r="LY110" s="53"/>
      <c r="LZ110" s="53"/>
      <c r="MA110" s="53"/>
      <c r="MB110" s="53"/>
      <c r="MC110" s="53"/>
      <c r="MD110" s="53"/>
      <c r="ME110" s="53"/>
      <c r="MF110" s="53"/>
      <c r="MG110" s="53"/>
      <c r="MH110" s="53"/>
    </row>
    <row r="111" ht="12.75" customHeight="1">
      <c r="A111" s="254"/>
      <c r="B111" s="51"/>
      <c r="C111" s="52"/>
      <c r="D111" s="53"/>
      <c r="E111" s="53"/>
      <c r="F111" s="53"/>
      <c r="G111" s="53"/>
      <c r="H111" s="53"/>
      <c r="I111" s="52"/>
      <c r="J111" s="54"/>
      <c r="K111" s="5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218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3"/>
      <c r="HL111" s="53"/>
      <c r="HM111" s="53"/>
      <c r="HN111" s="53"/>
      <c r="HO111" s="53"/>
      <c r="HP111" s="53"/>
      <c r="HQ111" s="53"/>
      <c r="HR111" s="53"/>
      <c r="HS111" s="53"/>
      <c r="HT111" s="53"/>
      <c r="HU111" s="53"/>
      <c r="HV111" s="53"/>
      <c r="HW111" s="53"/>
      <c r="HX111" s="53"/>
      <c r="HY111" s="53"/>
      <c r="HZ111" s="53"/>
      <c r="IA111" s="53"/>
      <c r="IB111" s="53"/>
      <c r="IC111" s="53"/>
      <c r="ID111" s="53"/>
      <c r="IE111" s="53"/>
      <c r="IF111" s="53"/>
      <c r="IG111" s="53"/>
      <c r="IH111" s="53"/>
      <c r="II111" s="53"/>
      <c r="IJ111" s="53"/>
      <c r="IK111" s="53"/>
      <c r="IL111" s="53"/>
      <c r="IM111" s="53"/>
      <c r="IN111" s="53"/>
      <c r="IO111" s="53"/>
      <c r="IP111" s="53"/>
      <c r="IQ111" s="53"/>
      <c r="IR111" s="53"/>
      <c r="IS111" s="53"/>
      <c r="IT111" s="53"/>
      <c r="IU111" s="53"/>
      <c r="IV111" s="53"/>
      <c r="IW111" s="53"/>
      <c r="IX111" s="53"/>
      <c r="IY111" s="53"/>
      <c r="IZ111" s="53"/>
      <c r="JA111" s="53"/>
      <c r="JB111" s="53"/>
      <c r="JC111" s="53"/>
      <c r="JD111" s="53"/>
      <c r="JE111" s="53"/>
      <c r="JF111" s="53"/>
      <c r="JG111" s="53"/>
      <c r="JH111" s="53"/>
      <c r="JI111" s="53"/>
      <c r="JJ111" s="53"/>
      <c r="JK111" s="53"/>
      <c r="JL111" s="53"/>
      <c r="JM111" s="53"/>
      <c r="JN111" s="53"/>
      <c r="JO111" s="53"/>
      <c r="JP111" s="53"/>
      <c r="JQ111" s="53"/>
      <c r="JR111" s="53"/>
      <c r="JS111" s="53"/>
      <c r="JT111" s="53"/>
      <c r="JU111" s="53"/>
      <c r="JV111" s="53"/>
      <c r="JW111" s="53"/>
      <c r="JX111" s="53"/>
      <c r="JY111" s="53"/>
      <c r="JZ111" s="53"/>
      <c r="KA111" s="53"/>
      <c r="KB111" s="53"/>
      <c r="KC111" s="53"/>
      <c r="KD111" s="53"/>
      <c r="KE111" s="53"/>
      <c r="KF111" s="53"/>
      <c r="KG111" s="53"/>
      <c r="KH111" s="53"/>
      <c r="KI111" s="53"/>
      <c r="KJ111" s="53"/>
      <c r="KK111" s="53"/>
      <c r="KL111" s="53"/>
      <c r="KM111" s="53"/>
      <c r="KN111" s="53"/>
      <c r="KO111" s="53"/>
      <c r="KP111" s="53"/>
      <c r="KQ111" s="53"/>
      <c r="KR111" s="53"/>
      <c r="KS111" s="53"/>
      <c r="KT111" s="53"/>
      <c r="KU111" s="53"/>
      <c r="KV111" s="53"/>
      <c r="KW111" s="53"/>
      <c r="KX111" s="53"/>
      <c r="KY111" s="53"/>
      <c r="KZ111" s="53"/>
      <c r="LA111" s="53"/>
      <c r="LB111" s="53"/>
      <c r="LC111" s="53"/>
      <c r="LD111" s="53"/>
      <c r="LE111" s="53"/>
      <c r="LF111" s="53"/>
      <c r="LG111" s="53"/>
      <c r="LH111" s="53"/>
      <c r="LI111" s="53"/>
      <c r="LJ111" s="53"/>
      <c r="LK111" s="53"/>
      <c r="LL111" s="53"/>
      <c r="LM111" s="53"/>
      <c r="LN111" s="53"/>
      <c r="LO111" s="53"/>
      <c r="LP111" s="53"/>
      <c r="LQ111" s="53"/>
      <c r="LR111" s="53"/>
      <c r="LS111" s="53"/>
      <c r="LT111" s="53"/>
      <c r="LU111" s="53"/>
      <c r="LV111" s="53"/>
      <c r="LW111" s="53"/>
      <c r="LX111" s="53"/>
      <c r="LY111" s="53"/>
      <c r="LZ111" s="53"/>
      <c r="MA111" s="53"/>
      <c r="MB111" s="53"/>
      <c r="MC111" s="53"/>
      <c r="MD111" s="53"/>
      <c r="ME111" s="53"/>
      <c r="MF111" s="53"/>
      <c r="MG111" s="53"/>
      <c r="MH111" s="53"/>
    </row>
    <row r="112" ht="12.75" customHeight="1">
      <c r="A112" s="255"/>
      <c r="B112" s="51"/>
      <c r="C112" s="52"/>
      <c r="D112" s="53"/>
      <c r="E112" s="53"/>
      <c r="F112" s="53"/>
      <c r="G112" s="53"/>
      <c r="H112" s="53"/>
      <c r="I112" s="52"/>
      <c r="J112" s="54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218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  <c r="GS112" s="53"/>
      <c r="GT112" s="53"/>
      <c r="GU112" s="53"/>
      <c r="GV112" s="53"/>
      <c r="GW112" s="53"/>
      <c r="GX112" s="53"/>
      <c r="GY112" s="53"/>
      <c r="GZ112" s="53"/>
      <c r="HA112" s="53"/>
      <c r="HB112" s="53"/>
      <c r="HC112" s="53"/>
      <c r="HD112" s="53"/>
      <c r="HE112" s="53"/>
      <c r="HF112" s="53"/>
      <c r="HG112" s="53"/>
      <c r="HH112" s="53"/>
      <c r="HI112" s="53"/>
      <c r="HJ112" s="53"/>
      <c r="HK112" s="53"/>
      <c r="HL112" s="53"/>
      <c r="HM112" s="53"/>
      <c r="HN112" s="53"/>
      <c r="HO112" s="53"/>
      <c r="HP112" s="53"/>
      <c r="HQ112" s="53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/>
      <c r="ID112" s="53"/>
      <c r="IE112" s="53"/>
      <c r="IF112" s="53"/>
      <c r="IG112" s="53"/>
      <c r="IH112" s="53"/>
      <c r="II112" s="53"/>
      <c r="IJ112" s="53"/>
      <c r="IK112" s="53"/>
      <c r="IL112" s="53"/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/>
      <c r="IX112" s="53"/>
      <c r="IY112" s="53"/>
      <c r="IZ112" s="53"/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53"/>
      <c r="KD112" s="53"/>
      <c r="KE112" s="53"/>
      <c r="KF112" s="53"/>
      <c r="KG112" s="53"/>
      <c r="KH112" s="53"/>
      <c r="KI112" s="53"/>
      <c r="KJ112" s="53"/>
      <c r="KK112" s="53"/>
      <c r="KL112" s="53"/>
      <c r="KM112" s="53"/>
      <c r="KN112" s="53"/>
      <c r="KO112" s="53"/>
      <c r="KP112" s="53"/>
      <c r="KQ112" s="53"/>
      <c r="KR112" s="53"/>
      <c r="KS112" s="53"/>
      <c r="KT112" s="53"/>
      <c r="KU112" s="53"/>
      <c r="KV112" s="53"/>
      <c r="KW112" s="53"/>
      <c r="KX112" s="53"/>
      <c r="KY112" s="53"/>
      <c r="KZ112" s="53"/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53"/>
      <c r="LS112" s="53"/>
      <c r="LT112" s="53"/>
      <c r="LU112" s="53"/>
      <c r="LV112" s="53"/>
      <c r="LW112" s="53"/>
      <c r="LX112" s="53"/>
      <c r="LY112" s="53"/>
      <c r="LZ112" s="53"/>
      <c r="MA112" s="53"/>
      <c r="MB112" s="53"/>
      <c r="MC112" s="53"/>
      <c r="MD112" s="53"/>
      <c r="ME112" s="53"/>
      <c r="MF112" s="53"/>
      <c r="MG112" s="53"/>
      <c r="MH112" s="53"/>
    </row>
    <row r="113" ht="12.75" customHeight="1">
      <c r="A113" s="51"/>
      <c r="B113" s="51"/>
      <c r="C113" s="52"/>
      <c r="D113" s="53"/>
      <c r="E113" s="53"/>
      <c r="F113" s="53"/>
      <c r="G113" s="53"/>
      <c r="H113" s="53"/>
      <c r="I113" s="52"/>
      <c r="J113" s="54"/>
      <c r="K113" s="5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218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  <c r="IX113" s="53"/>
      <c r="IY113" s="53"/>
      <c r="IZ113" s="53"/>
      <c r="JA113" s="53"/>
      <c r="JB113" s="53"/>
      <c r="JC113" s="53"/>
      <c r="JD113" s="53"/>
      <c r="JE113" s="53"/>
      <c r="JF113" s="53"/>
      <c r="JG113" s="53"/>
      <c r="JH113" s="53"/>
      <c r="JI113" s="53"/>
      <c r="JJ113" s="53"/>
      <c r="JK113" s="53"/>
      <c r="JL113" s="53"/>
      <c r="JM113" s="53"/>
      <c r="JN113" s="53"/>
      <c r="JO113" s="53"/>
      <c r="JP113" s="53"/>
      <c r="JQ113" s="53"/>
      <c r="JR113" s="53"/>
      <c r="JS113" s="53"/>
      <c r="JT113" s="53"/>
      <c r="JU113" s="53"/>
      <c r="JV113" s="53"/>
      <c r="JW113" s="53"/>
      <c r="JX113" s="53"/>
      <c r="JY113" s="53"/>
      <c r="JZ113" s="53"/>
      <c r="KA113" s="53"/>
      <c r="KB113" s="53"/>
      <c r="KC113" s="53"/>
      <c r="KD113" s="53"/>
      <c r="KE113" s="53"/>
      <c r="KF113" s="53"/>
      <c r="KG113" s="53"/>
      <c r="KH113" s="53"/>
      <c r="KI113" s="53"/>
      <c r="KJ113" s="53"/>
      <c r="KK113" s="53"/>
      <c r="KL113" s="53"/>
      <c r="KM113" s="53"/>
      <c r="KN113" s="53"/>
      <c r="KO113" s="53"/>
      <c r="KP113" s="53"/>
      <c r="KQ113" s="53"/>
      <c r="KR113" s="53"/>
      <c r="KS113" s="53"/>
      <c r="KT113" s="53"/>
      <c r="KU113" s="53"/>
      <c r="KV113" s="53"/>
      <c r="KW113" s="53"/>
      <c r="KX113" s="53"/>
      <c r="KY113" s="53"/>
      <c r="KZ113" s="53"/>
      <c r="LA113" s="53"/>
      <c r="LB113" s="53"/>
      <c r="LC113" s="53"/>
      <c r="LD113" s="53"/>
      <c r="LE113" s="53"/>
      <c r="LF113" s="53"/>
      <c r="LG113" s="53"/>
      <c r="LH113" s="53"/>
      <c r="LI113" s="53"/>
      <c r="LJ113" s="53"/>
      <c r="LK113" s="53"/>
      <c r="LL113" s="53"/>
      <c r="LM113" s="53"/>
      <c r="LN113" s="53"/>
      <c r="LO113" s="53"/>
      <c r="LP113" s="53"/>
      <c r="LQ113" s="53"/>
      <c r="LR113" s="53"/>
      <c r="LS113" s="53"/>
      <c r="LT113" s="53"/>
      <c r="LU113" s="53"/>
      <c r="LV113" s="53"/>
      <c r="LW113" s="53"/>
      <c r="LX113" s="53"/>
      <c r="LY113" s="53"/>
      <c r="LZ113" s="53"/>
      <c r="MA113" s="53"/>
      <c r="MB113" s="53"/>
      <c r="MC113" s="53"/>
      <c r="MD113" s="53"/>
      <c r="ME113" s="53"/>
      <c r="MF113" s="53"/>
      <c r="MG113" s="53"/>
      <c r="MH113" s="53"/>
    </row>
    <row r="114" ht="12.75" customHeight="1">
      <c r="A114" s="51"/>
      <c r="B114" s="51"/>
      <c r="C114" s="52"/>
      <c r="D114" s="53"/>
      <c r="E114" s="53"/>
      <c r="F114" s="53"/>
      <c r="G114" s="53"/>
      <c r="H114" s="53"/>
      <c r="I114" s="52"/>
      <c r="J114" s="54"/>
      <c r="K114" s="5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21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  <c r="GS114" s="53"/>
      <c r="GT114" s="53"/>
      <c r="GU114" s="53"/>
      <c r="GV114" s="53"/>
      <c r="GW114" s="53"/>
      <c r="GX114" s="53"/>
      <c r="GY114" s="53"/>
      <c r="GZ114" s="53"/>
      <c r="HA114" s="53"/>
      <c r="HB114" s="53"/>
      <c r="HC114" s="53"/>
      <c r="HD114" s="53"/>
      <c r="HE114" s="53"/>
      <c r="HF114" s="53"/>
      <c r="HG114" s="53"/>
      <c r="HH114" s="53"/>
      <c r="HI114" s="53"/>
      <c r="HJ114" s="53"/>
      <c r="HK114" s="53"/>
      <c r="HL114" s="53"/>
      <c r="HM114" s="53"/>
      <c r="HN114" s="53"/>
      <c r="HO114" s="53"/>
      <c r="HP114" s="53"/>
      <c r="HQ114" s="53"/>
      <c r="HR114" s="53"/>
      <c r="HS114" s="53"/>
      <c r="HT114" s="53"/>
      <c r="HU114" s="53"/>
      <c r="HV114" s="53"/>
      <c r="HW114" s="53"/>
      <c r="HX114" s="53"/>
      <c r="HY114" s="53"/>
      <c r="HZ114" s="53"/>
      <c r="IA114" s="53"/>
      <c r="IB114" s="53"/>
      <c r="IC114" s="53"/>
      <c r="ID114" s="53"/>
      <c r="IE114" s="53"/>
      <c r="IF114" s="53"/>
      <c r="IG114" s="53"/>
      <c r="IH114" s="53"/>
      <c r="II114" s="53"/>
      <c r="IJ114" s="53"/>
      <c r="IK114" s="53"/>
      <c r="IL114" s="53"/>
      <c r="IM114" s="53"/>
      <c r="IN114" s="53"/>
      <c r="IO114" s="53"/>
      <c r="IP114" s="53"/>
      <c r="IQ114" s="53"/>
      <c r="IR114" s="53"/>
      <c r="IS114" s="53"/>
      <c r="IT114" s="53"/>
      <c r="IU114" s="53"/>
      <c r="IV114" s="53"/>
      <c r="IW114" s="53"/>
      <c r="IX114" s="53"/>
      <c r="IY114" s="53"/>
      <c r="IZ114" s="53"/>
      <c r="JA114" s="53"/>
      <c r="JB114" s="53"/>
      <c r="JC114" s="53"/>
      <c r="JD114" s="53"/>
      <c r="JE114" s="53"/>
      <c r="JF114" s="53"/>
      <c r="JG114" s="53"/>
      <c r="JH114" s="53"/>
      <c r="JI114" s="53"/>
      <c r="JJ114" s="53"/>
      <c r="JK114" s="53"/>
      <c r="JL114" s="53"/>
      <c r="JM114" s="53"/>
      <c r="JN114" s="53"/>
      <c r="JO114" s="53"/>
      <c r="JP114" s="53"/>
      <c r="JQ114" s="53"/>
      <c r="JR114" s="53"/>
      <c r="JS114" s="53"/>
      <c r="JT114" s="53"/>
      <c r="JU114" s="53"/>
      <c r="JV114" s="53"/>
      <c r="JW114" s="53"/>
      <c r="JX114" s="53"/>
      <c r="JY114" s="53"/>
      <c r="JZ114" s="53"/>
      <c r="KA114" s="53"/>
      <c r="KB114" s="53"/>
      <c r="KC114" s="53"/>
      <c r="KD114" s="53"/>
      <c r="KE114" s="53"/>
      <c r="KF114" s="53"/>
      <c r="KG114" s="53"/>
      <c r="KH114" s="53"/>
      <c r="KI114" s="53"/>
      <c r="KJ114" s="53"/>
      <c r="KK114" s="53"/>
      <c r="KL114" s="53"/>
      <c r="KM114" s="53"/>
      <c r="KN114" s="53"/>
      <c r="KO114" s="53"/>
      <c r="KP114" s="53"/>
      <c r="KQ114" s="53"/>
      <c r="KR114" s="53"/>
      <c r="KS114" s="53"/>
      <c r="KT114" s="53"/>
      <c r="KU114" s="53"/>
      <c r="KV114" s="53"/>
      <c r="KW114" s="53"/>
      <c r="KX114" s="53"/>
      <c r="KY114" s="53"/>
      <c r="KZ114" s="53"/>
      <c r="LA114" s="53"/>
      <c r="LB114" s="53"/>
      <c r="LC114" s="53"/>
      <c r="LD114" s="53"/>
      <c r="LE114" s="53"/>
      <c r="LF114" s="53"/>
      <c r="LG114" s="53"/>
      <c r="LH114" s="53"/>
      <c r="LI114" s="53"/>
      <c r="LJ114" s="53"/>
      <c r="LK114" s="53"/>
      <c r="LL114" s="53"/>
      <c r="LM114" s="53"/>
      <c r="LN114" s="53"/>
      <c r="LO114" s="53"/>
      <c r="LP114" s="53"/>
      <c r="LQ114" s="53"/>
      <c r="LR114" s="53"/>
      <c r="LS114" s="53"/>
      <c r="LT114" s="53"/>
      <c r="LU114" s="53"/>
      <c r="LV114" s="53"/>
      <c r="LW114" s="53"/>
      <c r="LX114" s="53"/>
      <c r="LY114" s="53"/>
      <c r="LZ114" s="53"/>
      <c r="MA114" s="53"/>
      <c r="MB114" s="53"/>
      <c r="MC114" s="53"/>
      <c r="MD114" s="53"/>
      <c r="ME114" s="53"/>
      <c r="MF114" s="53"/>
      <c r="MG114" s="53"/>
      <c r="MH114" s="53"/>
    </row>
    <row r="115" ht="12.75" customHeight="1">
      <c r="A115" s="51"/>
      <c r="B115" s="51"/>
      <c r="C115" s="52"/>
      <c r="D115" s="53"/>
      <c r="E115" s="53"/>
      <c r="F115" s="53"/>
      <c r="G115" s="53"/>
      <c r="H115" s="53"/>
      <c r="I115" s="52"/>
      <c r="J115" s="54"/>
      <c r="K115" s="5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218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  <c r="GT115" s="53"/>
      <c r="GU115" s="53"/>
      <c r="GV115" s="53"/>
      <c r="GW115" s="53"/>
      <c r="GX115" s="53"/>
      <c r="GY115" s="53"/>
      <c r="GZ115" s="53"/>
      <c r="HA115" s="53"/>
      <c r="HB115" s="53"/>
      <c r="HC115" s="53"/>
      <c r="HD115" s="53"/>
      <c r="HE115" s="53"/>
      <c r="HF115" s="53"/>
      <c r="HG115" s="53"/>
      <c r="HH115" s="53"/>
      <c r="HI115" s="53"/>
      <c r="HJ115" s="53"/>
      <c r="HK115" s="53"/>
      <c r="HL115" s="53"/>
      <c r="HM115" s="53"/>
      <c r="HN115" s="53"/>
      <c r="HO115" s="53"/>
      <c r="HP115" s="53"/>
      <c r="HQ115" s="53"/>
      <c r="HR115" s="53"/>
      <c r="HS115" s="53"/>
      <c r="HT115" s="53"/>
      <c r="HU115" s="53"/>
      <c r="HV115" s="53"/>
      <c r="HW115" s="53"/>
      <c r="HX115" s="53"/>
      <c r="HY115" s="53"/>
      <c r="HZ115" s="53"/>
      <c r="IA115" s="53"/>
      <c r="IB115" s="53"/>
      <c r="IC115" s="53"/>
      <c r="ID115" s="53"/>
      <c r="IE115" s="53"/>
      <c r="IF115" s="53"/>
      <c r="IG115" s="53"/>
      <c r="IH115" s="53"/>
      <c r="II115" s="53"/>
      <c r="IJ115" s="53"/>
      <c r="IK115" s="53"/>
      <c r="IL115" s="53"/>
      <c r="IM115" s="53"/>
      <c r="IN115" s="53"/>
      <c r="IO115" s="53"/>
      <c r="IP115" s="53"/>
      <c r="IQ115" s="53"/>
      <c r="IR115" s="53"/>
      <c r="IS115" s="53"/>
      <c r="IT115" s="53"/>
      <c r="IU115" s="53"/>
      <c r="IV115" s="53"/>
      <c r="IW115" s="53"/>
      <c r="IX115" s="53"/>
      <c r="IY115" s="53"/>
      <c r="IZ115" s="53"/>
      <c r="JA115" s="53"/>
      <c r="JB115" s="53"/>
      <c r="JC115" s="53"/>
      <c r="JD115" s="53"/>
      <c r="JE115" s="53"/>
      <c r="JF115" s="53"/>
      <c r="JG115" s="53"/>
      <c r="JH115" s="53"/>
      <c r="JI115" s="53"/>
      <c r="JJ115" s="53"/>
      <c r="JK115" s="53"/>
      <c r="JL115" s="53"/>
      <c r="JM115" s="53"/>
      <c r="JN115" s="53"/>
      <c r="JO115" s="53"/>
      <c r="JP115" s="53"/>
      <c r="JQ115" s="53"/>
      <c r="JR115" s="53"/>
      <c r="JS115" s="53"/>
      <c r="JT115" s="53"/>
      <c r="JU115" s="53"/>
      <c r="JV115" s="53"/>
      <c r="JW115" s="53"/>
      <c r="JX115" s="53"/>
      <c r="JY115" s="53"/>
      <c r="JZ115" s="53"/>
      <c r="KA115" s="53"/>
      <c r="KB115" s="53"/>
      <c r="KC115" s="53"/>
      <c r="KD115" s="53"/>
      <c r="KE115" s="53"/>
      <c r="KF115" s="53"/>
      <c r="KG115" s="53"/>
      <c r="KH115" s="53"/>
      <c r="KI115" s="53"/>
      <c r="KJ115" s="53"/>
      <c r="KK115" s="53"/>
      <c r="KL115" s="53"/>
      <c r="KM115" s="53"/>
      <c r="KN115" s="53"/>
      <c r="KO115" s="53"/>
      <c r="KP115" s="53"/>
      <c r="KQ115" s="53"/>
      <c r="KR115" s="53"/>
      <c r="KS115" s="53"/>
      <c r="KT115" s="53"/>
      <c r="KU115" s="53"/>
      <c r="KV115" s="53"/>
      <c r="KW115" s="53"/>
      <c r="KX115" s="53"/>
      <c r="KY115" s="53"/>
      <c r="KZ115" s="53"/>
      <c r="LA115" s="53"/>
      <c r="LB115" s="53"/>
      <c r="LC115" s="53"/>
      <c r="LD115" s="53"/>
      <c r="LE115" s="53"/>
      <c r="LF115" s="53"/>
      <c r="LG115" s="53"/>
      <c r="LH115" s="53"/>
      <c r="LI115" s="53"/>
      <c r="LJ115" s="53"/>
      <c r="LK115" s="53"/>
      <c r="LL115" s="53"/>
      <c r="LM115" s="53"/>
      <c r="LN115" s="53"/>
      <c r="LO115" s="53"/>
      <c r="LP115" s="53"/>
      <c r="LQ115" s="53"/>
      <c r="LR115" s="53"/>
      <c r="LS115" s="53"/>
      <c r="LT115" s="53"/>
      <c r="LU115" s="53"/>
      <c r="LV115" s="53"/>
      <c r="LW115" s="53"/>
      <c r="LX115" s="53"/>
      <c r="LY115" s="53"/>
      <c r="LZ115" s="53"/>
      <c r="MA115" s="53"/>
      <c r="MB115" s="53"/>
      <c r="MC115" s="53"/>
      <c r="MD115" s="53"/>
      <c r="ME115" s="53"/>
      <c r="MF115" s="53"/>
      <c r="MG115" s="53"/>
      <c r="MH115" s="53"/>
    </row>
    <row r="116" ht="12.75" customHeight="1">
      <c r="A116" s="51"/>
      <c r="B116" s="51"/>
      <c r="C116" s="52"/>
      <c r="D116" s="53"/>
      <c r="E116" s="53"/>
      <c r="F116" s="53"/>
      <c r="G116" s="53"/>
      <c r="H116" s="53"/>
      <c r="I116" s="52"/>
      <c r="J116" s="54"/>
      <c r="K116" s="5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218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  <c r="GS116" s="53"/>
      <c r="GT116" s="53"/>
      <c r="GU116" s="53"/>
      <c r="GV116" s="53"/>
      <c r="GW116" s="53"/>
      <c r="GX116" s="53"/>
      <c r="GY116" s="53"/>
      <c r="GZ116" s="53"/>
      <c r="HA116" s="53"/>
      <c r="HB116" s="53"/>
      <c r="HC116" s="53"/>
      <c r="HD116" s="53"/>
      <c r="HE116" s="53"/>
      <c r="HF116" s="53"/>
      <c r="HG116" s="53"/>
      <c r="HH116" s="53"/>
      <c r="HI116" s="53"/>
      <c r="HJ116" s="53"/>
      <c r="HK116" s="53"/>
      <c r="HL116" s="53"/>
      <c r="HM116" s="53"/>
      <c r="HN116" s="53"/>
      <c r="HO116" s="53"/>
      <c r="HP116" s="53"/>
      <c r="HQ116" s="53"/>
      <c r="HR116" s="53"/>
      <c r="HS116" s="53"/>
      <c r="HT116" s="53"/>
      <c r="HU116" s="53"/>
      <c r="HV116" s="53"/>
      <c r="HW116" s="53"/>
      <c r="HX116" s="53"/>
      <c r="HY116" s="53"/>
      <c r="HZ116" s="53"/>
      <c r="IA116" s="53"/>
      <c r="IB116" s="53"/>
      <c r="IC116" s="53"/>
      <c r="ID116" s="53"/>
      <c r="IE116" s="53"/>
      <c r="IF116" s="53"/>
      <c r="IG116" s="53"/>
      <c r="IH116" s="53"/>
      <c r="II116" s="53"/>
      <c r="IJ116" s="53"/>
      <c r="IK116" s="53"/>
      <c r="IL116" s="53"/>
      <c r="IM116" s="53"/>
      <c r="IN116" s="53"/>
      <c r="IO116" s="53"/>
      <c r="IP116" s="53"/>
      <c r="IQ116" s="53"/>
      <c r="IR116" s="53"/>
      <c r="IS116" s="53"/>
      <c r="IT116" s="53"/>
      <c r="IU116" s="53"/>
      <c r="IV116" s="53"/>
      <c r="IW116" s="53"/>
      <c r="IX116" s="53"/>
      <c r="IY116" s="53"/>
      <c r="IZ116" s="53"/>
      <c r="JA116" s="53"/>
      <c r="JB116" s="53"/>
      <c r="JC116" s="53"/>
      <c r="JD116" s="53"/>
      <c r="JE116" s="53"/>
      <c r="JF116" s="53"/>
      <c r="JG116" s="53"/>
      <c r="JH116" s="53"/>
      <c r="JI116" s="53"/>
      <c r="JJ116" s="53"/>
      <c r="JK116" s="53"/>
      <c r="JL116" s="53"/>
      <c r="JM116" s="53"/>
      <c r="JN116" s="53"/>
      <c r="JO116" s="53"/>
      <c r="JP116" s="53"/>
      <c r="JQ116" s="53"/>
      <c r="JR116" s="53"/>
      <c r="JS116" s="53"/>
      <c r="JT116" s="53"/>
      <c r="JU116" s="53"/>
      <c r="JV116" s="53"/>
      <c r="JW116" s="53"/>
      <c r="JX116" s="53"/>
      <c r="JY116" s="53"/>
      <c r="JZ116" s="53"/>
      <c r="KA116" s="53"/>
      <c r="KB116" s="53"/>
      <c r="KC116" s="53"/>
      <c r="KD116" s="53"/>
      <c r="KE116" s="53"/>
      <c r="KF116" s="53"/>
      <c r="KG116" s="53"/>
      <c r="KH116" s="53"/>
      <c r="KI116" s="53"/>
      <c r="KJ116" s="53"/>
      <c r="KK116" s="53"/>
      <c r="KL116" s="53"/>
      <c r="KM116" s="53"/>
      <c r="KN116" s="53"/>
      <c r="KO116" s="53"/>
      <c r="KP116" s="53"/>
      <c r="KQ116" s="53"/>
      <c r="KR116" s="53"/>
      <c r="KS116" s="53"/>
      <c r="KT116" s="53"/>
      <c r="KU116" s="53"/>
      <c r="KV116" s="53"/>
      <c r="KW116" s="53"/>
      <c r="KX116" s="53"/>
      <c r="KY116" s="53"/>
      <c r="KZ116" s="53"/>
      <c r="LA116" s="53"/>
      <c r="LB116" s="53"/>
      <c r="LC116" s="53"/>
      <c r="LD116" s="53"/>
      <c r="LE116" s="53"/>
      <c r="LF116" s="53"/>
      <c r="LG116" s="53"/>
      <c r="LH116" s="53"/>
      <c r="LI116" s="53"/>
      <c r="LJ116" s="53"/>
      <c r="LK116" s="53"/>
      <c r="LL116" s="53"/>
      <c r="LM116" s="53"/>
      <c r="LN116" s="53"/>
      <c r="LO116" s="53"/>
      <c r="LP116" s="53"/>
      <c r="LQ116" s="53"/>
      <c r="LR116" s="53"/>
      <c r="LS116" s="53"/>
      <c r="LT116" s="53"/>
      <c r="LU116" s="53"/>
      <c r="LV116" s="53"/>
      <c r="LW116" s="53"/>
      <c r="LX116" s="53"/>
      <c r="LY116" s="53"/>
      <c r="LZ116" s="53"/>
      <c r="MA116" s="53"/>
      <c r="MB116" s="53"/>
      <c r="MC116" s="53"/>
      <c r="MD116" s="53"/>
      <c r="ME116" s="53"/>
      <c r="MF116" s="53"/>
      <c r="MG116" s="53"/>
      <c r="MH116" s="53"/>
    </row>
    <row r="117" ht="12.75" customHeight="1">
      <c r="A117" s="51"/>
      <c r="B117" s="51"/>
      <c r="C117" s="52"/>
      <c r="D117" s="53"/>
      <c r="E117" s="53"/>
      <c r="F117" s="53"/>
      <c r="G117" s="53"/>
      <c r="H117" s="53"/>
      <c r="I117" s="52"/>
      <c r="J117" s="54"/>
      <c r="K117" s="5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218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  <c r="GS117" s="53"/>
      <c r="GT117" s="53"/>
      <c r="GU117" s="53"/>
      <c r="GV117" s="53"/>
      <c r="GW117" s="53"/>
      <c r="GX117" s="53"/>
      <c r="GY117" s="53"/>
      <c r="GZ117" s="53"/>
      <c r="HA117" s="53"/>
      <c r="HB117" s="53"/>
      <c r="HC117" s="53"/>
      <c r="HD117" s="53"/>
      <c r="HE117" s="53"/>
      <c r="HF117" s="53"/>
      <c r="HG117" s="53"/>
      <c r="HH117" s="53"/>
      <c r="HI117" s="53"/>
      <c r="HJ117" s="53"/>
      <c r="HK117" s="53"/>
      <c r="HL117" s="53"/>
      <c r="HM117" s="53"/>
      <c r="HN117" s="53"/>
      <c r="HO117" s="53"/>
      <c r="HP117" s="53"/>
      <c r="HQ117" s="53"/>
      <c r="HR117" s="53"/>
      <c r="HS117" s="53"/>
      <c r="HT117" s="53"/>
      <c r="HU117" s="53"/>
      <c r="HV117" s="53"/>
      <c r="HW117" s="53"/>
      <c r="HX117" s="53"/>
      <c r="HY117" s="53"/>
      <c r="HZ117" s="53"/>
      <c r="IA117" s="53"/>
      <c r="IB117" s="53"/>
      <c r="IC117" s="53"/>
      <c r="ID117" s="53"/>
      <c r="IE117" s="53"/>
      <c r="IF117" s="53"/>
      <c r="IG117" s="53"/>
      <c r="IH117" s="53"/>
      <c r="II117" s="53"/>
      <c r="IJ117" s="53"/>
      <c r="IK117" s="53"/>
      <c r="IL117" s="53"/>
      <c r="IM117" s="53"/>
      <c r="IN117" s="53"/>
      <c r="IO117" s="53"/>
      <c r="IP117" s="53"/>
      <c r="IQ117" s="53"/>
      <c r="IR117" s="53"/>
      <c r="IS117" s="53"/>
      <c r="IT117" s="53"/>
      <c r="IU117" s="53"/>
      <c r="IV117" s="53"/>
      <c r="IW117" s="53"/>
      <c r="IX117" s="53"/>
      <c r="IY117" s="53"/>
      <c r="IZ117" s="53"/>
      <c r="JA117" s="53"/>
      <c r="JB117" s="53"/>
      <c r="JC117" s="53"/>
      <c r="JD117" s="53"/>
      <c r="JE117" s="53"/>
      <c r="JF117" s="53"/>
      <c r="JG117" s="53"/>
      <c r="JH117" s="53"/>
      <c r="JI117" s="53"/>
      <c r="JJ117" s="53"/>
      <c r="JK117" s="53"/>
      <c r="JL117" s="53"/>
      <c r="JM117" s="53"/>
      <c r="JN117" s="53"/>
      <c r="JO117" s="53"/>
      <c r="JP117" s="53"/>
      <c r="JQ117" s="53"/>
      <c r="JR117" s="53"/>
      <c r="JS117" s="53"/>
      <c r="JT117" s="53"/>
      <c r="JU117" s="53"/>
      <c r="JV117" s="53"/>
      <c r="JW117" s="53"/>
      <c r="JX117" s="53"/>
      <c r="JY117" s="53"/>
      <c r="JZ117" s="53"/>
      <c r="KA117" s="53"/>
      <c r="KB117" s="53"/>
      <c r="KC117" s="53"/>
      <c r="KD117" s="53"/>
      <c r="KE117" s="53"/>
      <c r="KF117" s="53"/>
      <c r="KG117" s="53"/>
      <c r="KH117" s="53"/>
      <c r="KI117" s="53"/>
      <c r="KJ117" s="53"/>
      <c r="KK117" s="53"/>
      <c r="KL117" s="53"/>
      <c r="KM117" s="53"/>
      <c r="KN117" s="53"/>
      <c r="KO117" s="53"/>
      <c r="KP117" s="53"/>
      <c r="KQ117" s="53"/>
      <c r="KR117" s="53"/>
      <c r="KS117" s="53"/>
      <c r="KT117" s="53"/>
      <c r="KU117" s="53"/>
      <c r="KV117" s="53"/>
      <c r="KW117" s="53"/>
      <c r="KX117" s="53"/>
      <c r="KY117" s="53"/>
      <c r="KZ117" s="53"/>
      <c r="LA117" s="53"/>
      <c r="LB117" s="53"/>
      <c r="LC117" s="53"/>
      <c r="LD117" s="53"/>
      <c r="LE117" s="53"/>
      <c r="LF117" s="53"/>
      <c r="LG117" s="53"/>
      <c r="LH117" s="53"/>
      <c r="LI117" s="53"/>
      <c r="LJ117" s="53"/>
      <c r="LK117" s="53"/>
      <c r="LL117" s="53"/>
      <c r="LM117" s="53"/>
      <c r="LN117" s="53"/>
      <c r="LO117" s="53"/>
      <c r="LP117" s="53"/>
      <c r="LQ117" s="53"/>
      <c r="LR117" s="53"/>
      <c r="LS117" s="53"/>
      <c r="LT117" s="53"/>
      <c r="LU117" s="53"/>
      <c r="LV117" s="53"/>
      <c r="LW117" s="53"/>
      <c r="LX117" s="53"/>
      <c r="LY117" s="53"/>
      <c r="LZ117" s="53"/>
      <c r="MA117" s="53"/>
      <c r="MB117" s="53"/>
      <c r="MC117" s="53"/>
      <c r="MD117" s="53"/>
      <c r="ME117" s="53"/>
      <c r="MF117" s="53"/>
      <c r="MG117" s="53"/>
      <c r="MH117" s="53"/>
    </row>
    <row r="118" ht="12.75" customHeight="1">
      <c r="A118" s="51"/>
      <c r="B118" s="51"/>
      <c r="C118" s="52"/>
      <c r="D118" s="53"/>
      <c r="E118" s="53"/>
      <c r="F118" s="53"/>
      <c r="G118" s="53"/>
      <c r="H118" s="53"/>
      <c r="I118" s="52"/>
      <c r="J118" s="54"/>
      <c r="K118" s="5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218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</row>
    <row r="119" ht="12.75" customHeight="1">
      <c r="A119" s="51"/>
      <c r="B119" s="51"/>
      <c r="C119" s="52"/>
      <c r="D119" s="53"/>
      <c r="E119" s="53"/>
      <c r="F119" s="53"/>
      <c r="G119" s="209"/>
      <c r="H119" s="53"/>
      <c r="I119" s="52"/>
      <c r="J119" s="54"/>
      <c r="K119" s="5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218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  <c r="GS119" s="53"/>
      <c r="GT119" s="53"/>
      <c r="GU119" s="53"/>
      <c r="GV119" s="53"/>
      <c r="GW119" s="53"/>
      <c r="GX119" s="53"/>
      <c r="GY119" s="53"/>
      <c r="GZ119" s="53"/>
      <c r="HA119" s="53"/>
      <c r="HB119" s="53"/>
      <c r="HC119" s="53"/>
      <c r="HD119" s="53"/>
      <c r="HE119" s="53"/>
      <c r="HF119" s="53"/>
      <c r="HG119" s="53"/>
      <c r="HH119" s="53"/>
      <c r="HI119" s="53"/>
      <c r="HJ119" s="53"/>
      <c r="HK119" s="53"/>
      <c r="HL119" s="53"/>
      <c r="HM119" s="53"/>
      <c r="HN119" s="53"/>
      <c r="HO119" s="53"/>
      <c r="HP119" s="53"/>
      <c r="HQ119" s="53"/>
      <c r="HR119" s="53"/>
      <c r="HS119" s="53"/>
      <c r="HT119" s="53"/>
      <c r="HU119" s="53"/>
      <c r="HV119" s="53"/>
      <c r="HW119" s="53"/>
      <c r="HX119" s="53"/>
      <c r="HY119" s="53"/>
      <c r="HZ119" s="53"/>
      <c r="IA119" s="53"/>
      <c r="IB119" s="53"/>
      <c r="IC119" s="53"/>
      <c r="ID119" s="53"/>
      <c r="IE119" s="53"/>
      <c r="IF119" s="53"/>
      <c r="IG119" s="53"/>
      <c r="IH119" s="53"/>
      <c r="II119" s="53"/>
      <c r="IJ119" s="53"/>
      <c r="IK119" s="53"/>
      <c r="IL119" s="53"/>
      <c r="IM119" s="53"/>
      <c r="IN119" s="53"/>
      <c r="IO119" s="53"/>
      <c r="IP119" s="53"/>
      <c r="IQ119" s="53"/>
      <c r="IR119" s="53"/>
      <c r="IS119" s="53"/>
      <c r="IT119" s="53"/>
      <c r="IU119" s="53"/>
      <c r="IV119" s="53"/>
      <c r="IW119" s="53"/>
      <c r="IX119" s="53"/>
      <c r="IY119" s="53"/>
      <c r="IZ119" s="53"/>
      <c r="JA119" s="53"/>
      <c r="JB119" s="53"/>
      <c r="JC119" s="53"/>
      <c r="JD119" s="53"/>
      <c r="JE119" s="53"/>
      <c r="JF119" s="53"/>
      <c r="JG119" s="53"/>
      <c r="JH119" s="53"/>
      <c r="JI119" s="53"/>
      <c r="JJ119" s="53"/>
      <c r="JK119" s="53"/>
      <c r="JL119" s="53"/>
      <c r="JM119" s="53"/>
      <c r="JN119" s="53"/>
      <c r="JO119" s="53"/>
      <c r="JP119" s="53"/>
      <c r="JQ119" s="53"/>
      <c r="JR119" s="53"/>
      <c r="JS119" s="53"/>
      <c r="JT119" s="53"/>
      <c r="JU119" s="53"/>
      <c r="JV119" s="53"/>
      <c r="JW119" s="53"/>
      <c r="JX119" s="53"/>
      <c r="JY119" s="53"/>
      <c r="JZ119" s="53"/>
      <c r="KA119" s="53"/>
      <c r="KB119" s="53"/>
      <c r="KC119" s="53"/>
      <c r="KD119" s="53"/>
      <c r="KE119" s="53"/>
      <c r="KF119" s="53"/>
      <c r="KG119" s="53"/>
      <c r="KH119" s="53"/>
      <c r="KI119" s="53"/>
      <c r="KJ119" s="53"/>
      <c r="KK119" s="53"/>
      <c r="KL119" s="53"/>
      <c r="KM119" s="53"/>
      <c r="KN119" s="53"/>
      <c r="KO119" s="53"/>
      <c r="KP119" s="53"/>
      <c r="KQ119" s="53"/>
      <c r="KR119" s="53"/>
      <c r="KS119" s="53"/>
      <c r="KT119" s="53"/>
      <c r="KU119" s="53"/>
      <c r="KV119" s="53"/>
      <c r="KW119" s="53"/>
      <c r="KX119" s="53"/>
      <c r="KY119" s="53"/>
      <c r="KZ119" s="53"/>
      <c r="LA119" s="53"/>
      <c r="LB119" s="53"/>
      <c r="LC119" s="53"/>
      <c r="LD119" s="53"/>
      <c r="LE119" s="53"/>
      <c r="LF119" s="53"/>
      <c r="LG119" s="53"/>
      <c r="LH119" s="53"/>
      <c r="LI119" s="53"/>
      <c r="LJ119" s="53"/>
      <c r="LK119" s="53"/>
      <c r="LL119" s="53"/>
      <c r="LM119" s="53"/>
      <c r="LN119" s="53"/>
      <c r="LO119" s="53"/>
      <c r="LP119" s="53"/>
      <c r="LQ119" s="53"/>
      <c r="LR119" s="53"/>
      <c r="LS119" s="53"/>
      <c r="LT119" s="53"/>
      <c r="LU119" s="53"/>
      <c r="LV119" s="53"/>
      <c r="LW119" s="53"/>
      <c r="LX119" s="53"/>
      <c r="LY119" s="53"/>
      <c r="LZ119" s="53"/>
      <c r="MA119" s="53"/>
      <c r="MB119" s="53"/>
      <c r="MC119" s="53"/>
      <c r="MD119" s="53"/>
      <c r="ME119" s="53"/>
      <c r="MF119" s="53"/>
      <c r="MG119" s="53"/>
      <c r="MH119" s="53"/>
    </row>
  </sheetData>
  <mergeCells count="35">
    <mergeCell ref="L6:T6"/>
    <mergeCell ref="L7:T7"/>
    <mergeCell ref="D9:J9"/>
    <mergeCell ref="L9:T9"/>
    <mergeCell ref="D11:J11"/>
    <mergeCell ref="L11:T11"/>
    <mergeCell ref="L12:T12"/>
    <mergeCell ref="E51:G51"/>
    <mergeCell ref="E59:G59"/>
    <mergeCell ref="E67:G67"/>
    <mergeCell ref="E75:G75"/>
    <mergeCell ref="E84:G84"/>
    <mergeCell ref="D12:J12"/>
    <mergeCell ref="D13:J13"/>
    <mergeCell ref="D14:J14"/>
    <mergeCell ref="E19:G19"/>
    <mergeCell ref="E27:G27"/>
    <mergeCell ref="E35:G35"/>
    <mergeCell ref="E43:G43"/>
    <mergeCell ref="L13:T13"/>
    <mergeCell ref="L14:T14"/>
    <mergeCell ref="L20:T20"/>
    <mergeCell ref="L28:T28"/>
    <mergeCell ref="L36:T36"/>
    <mergeCell ref="L44:T44"/>
    <mergeCell ref="L52:T52"/>
    <mergeCell ref="M95:S96"/>
    <mergeCell ref="M97:S105"/>
    <mergeCell ref="L60:T60"/>
    <mergeCell ref="L68:T68"/>
    <mergeCell ref="L76:T76"/>
    <mergeCell ref="L84:T88"/>
    <mergeCell ref="M89:T89"/>
    <mergeCell ref="L91:T91"/>
    <mergeCell ref="M92:T92"/>
  </mergeCells>
  <conditionalFormatting sqref="U30:U33">
    <cfRule type="cellIs" dxfId="0" priority="1" stopIfTrue="1" operator="notEqual">
      <formula>0</formula>
    </cfRule>
  </conditionalFormatting>
  <conditionalFormatting sqref="L22">
    <cfRule type="expression" dxfId="1" priority="2" stopIfTrue="1">
      <formula>$N$22=3</formula>
    </cfRule>
  </conditionalFormatting>
  <conditionalFormatting sqref="L23">
    <cfRule type="expression" dxfId="1" priority="3" stopIfTrue="1">
      <formula>$N$23=3</formula>
    </cfRule>
  </conditionalFormatting>
  <conditionalFormatting sqref="H85:H92 H95:H98 H101:H102 H105 H108">
    <cfRule type="expression" dxfId="2" priority="4" stopIfTrue="1">
      <formula>IF(AND(E85=G85,E85&lt;&gt;"",G85&lt;&gt;""),1,0)</formula>
    </cfRule>
  </conditionalFormatting>
  <conditionalFormatting sqref="D85:D92 D95:D98 D101:D102 D105 D108">
    <cfRule type="expression" dxfId="2" priority="5" stopIfTrue="1">
      <formula>IF(AND(E85=G85,E85&lt;&gt;"",G85&lt;&gt;""),1,0)</formula>
    </cfRule>
  </conditionalFormatting>
  <conditionalFormatting sqref="M22:T25 M30:T33 M38:T41 M46:T49 M54:T57 M62:T65 M70:T73 M78:T81">
    <cfRule type="cellIs" dxfId="3" priority="6" stopIfTrue="1" operator="greaterThan">
      <formula>0</formula>
    </cfRule>
  </conditionalFormatting>
  <conditionalFormatting sqref="M22:T25 M30:T33 M38:T41 M46:T49 M54:T57 M62:T65 M70:T73 M78:T81">
    <cfRule type="cellIs" dxfId="4" priority="7" stopIfTrue="1" operator="lessThan">
      <formula>0</formula>
    </cfRule>
  </conditionalFormatting>
  <conditionalFormatting sqref="L30">
    <cfRule type="expression" dxfId="1" priority="8" stopIfTrue="1">
      <formula>$N$22=3</formula>
    </cfRule>
  </conditionalFormatting>
  <conditionalFormatting sqref="L31">
    <cfRule type="expression" dxfId="1" priority="9" stopIfTrue="1">
      <formula>$N$23=3</formula>
    </cfRule>
  </conditionalFormatting>
  <conditionalFormatting sqref="L38">
    <cfRule type="expression" dxfId="1" priority="10" stopIfTrue="1">
      <formula>$N$22=3</formula>
    </cfRule>
  </conditionalFormatting>
  <conditionalFormatting sqref="L39">
    <cfRule type="expression" dxfId="1" priority="11" stopIfTrue="1">
      <formula>$N$23=3</formula>
    </cfRule>
  </conditionalFormatting>
  <conditionalFormatting sqref="L46">
    <cfRule type="expression" dxfId="1" priority="12" stopIfTrue="1">
      <formula>$N$22=3</formula>
    </cfRule>
  </conditionalFormatting>
  <conditionalFormatting sqref="L47">
    <cfRule type="expression" dxfId="1" priority="13" stopIfTrue="1">
      <formula>$N$23=3</formula>
    </cfRule>
  </conditionalFormatting>
  <conditionalFormatting sqref="L54">
    <cfRule type="expression" dxfId="1" priority="14" stopIfTrue="1">
      <formula>$N$22=3</formula>
    </cfRule>
  </conditionalFormatting>
  <conditionalFormatting sqref="L55">
    <cfRule type="expression" dxfId="1" priority="15" stopIfTrue="1">
      <formula>$N$23=3</formula>
    </cfRule>
  </conditionalFormatting>
  <conditionalFormatting sqref="L62">
    <cfRule type="expression" dxfId="1" priority="16" stopIfTrue="1">
      <formula>$N$22=3</formula>
    </cfRule>
  </conditionalFormatting>
  <conditionalFormatting sqref="L63">
    <cfRule type="expression" dxfId="1" priority="17" stopIfTrue="1">
      <formula>$N$23=3</formula>
    </cfRule>
  </conditionalFormatting>
  <conditionalFormatting sqref="L70">
    <cfRule type="expression" dxfId="1" priority="18" stopIfTrue="1">
      <formula>$N$22=3</formula>
    </cfRule>
  </conditionalFormatting>
  <conditionalFormatting sqref="L71">
    <cfRule type="expression" dxfId="1" priority="19" stopIfTrue="1">
      <formula>$N$23=3</formula>
    </cfRule>
  </conditionalFormatting>
  <conditionalFormatting sqref="L78">
    <cfRule type="expression" dxfId="1" priority="20" stopIfTrue="1">
      <formula>$N$22=3</formula>
    </cfRule>
  </conditionalFormatting>
  <conditionalFormatting sqref="L79">
    <cfRule type="expression" dxfId="1" priority="21" stopIfTrue="1">
      <formula>$N$23=3</formula>
    </cfRule>
  </conditionalFormatting>
  <printOptions horizontalCentered="1"/>
  <pageMargins bottom="0.7874015748031497" footer="0.0" header="0.0" left="0.3937007874015748" right="0.3937007874015748" top="0.5905511811023623"/>
  <pageSetup paperSize="9" scale="87" orientation="portrait"/>
  <drawing r:id="rId1"/>
</worksheet>
</file>