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Araujo\Documents\Mestrado - UFBA\Disciplinas\Engenharia Economica e Avaliação de Projetos\atividade 10\"/>
    </mc:Choice>
  </mc:AlternateContent>
  <xr:revisionPtr revIDLastSave="0" documentId="13_ncr:1_{21E1304B-F1CA-4930-8D70-F11773BCC83E}" xr6:coauthVersionLast="47" xr6:coauthVersionMax="47" xr10:uidLastSave="{00000000-0000-0000-0000-000000000000}"/>
  <bookViews>
    <workbookView xWindow="-108" yWindow="-108" windowWidth="23256" windowHeight="12576" activeTab="11" xr2:uid="{310F99C8-E9F0-4E34-8611-67075DC81E2E}"/>
  </bookViews>
  <sheets>
    <sheet name="Investimento_I" sheetId="1" r:id="rId1"/>
    <sheet name="CF" sheetId="14" r:id="rId2"/>
    <sheet name="Premissas" sheetId="3" r:id="rId3"/>
    <sheet name="CV" sheetId="13" r:id="rId4"/>
    <sheet name="RB" sheetId="4" r:id="rId5"/>
    <sheet name="EP" sheetId="15" r:id="rId6"/>
    <sheet name="BC" sheetId="2" r:id="rId7"/>
    <sheet name="CG" sheetId="19" r:id="rId8"/>
    <sheet name="BI" sheetId="20" r:id="rId9"/>
    <sheet name="FCD" sheetId="9" r:id="rId10"/>
    <sheet name="Indicadores" sheetId="16" r:id="rId11"/>
    <sheet name="FCP" sheetId="17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9" l="1"/>
  <c r="C5" i="19"/>
  <c r="E1" i="9"/>
  <c r="F4" i="13"/>
  <c r="G13" i="15"/>
  <c r="G19" i="15"/>
  <c r="G20" i="15"/>
  <c r="G21" i="15"/>
  <c r="G22" i="15"/>
  <c r="H19" i="15"/>
  <c r="H20" i="15"/>
  <c r="H21" i="15"/>
  <c r="H22" i="15"/>
  <c r="AF5" i="9"/>
  <c r="AF6" i="9"/>
  <c r="AF7" i="9"/>
  <c r="AF8" i="9"/>
  <c r="AF9" i="9"/>
  <c r="AF10" i="9"/>
  <c r="AF11" i="9"/>
  <c r="AF12" i="9"/>
  <c r="AF13" i="9"/>
  <c r="AF14" i="9"/>
  <c r="AF4" i="9"/>
  <c r="G7" i="1" l="1"/>
  <c r="G8" i="1"/>
  <c r="G9" i="1"/>
  <c r="G10" i="1"/>
  <c r="G11" i="1"/>
  <c r="G12" i="1"/>
  <c r="G13" i="1"/>
  <c r="G14" i="1"/>
  <c r="G6" i="1"/>
  <c r="C31" i="1"/>
  <c r="J4" i="9"/>
  <c r="BD4" i="9"/>
  <c r="BD5" i="9"/>
  <c r="BD6" i="9"/>
  <c r="BD7" i="9"/>
  <c r="BD8" i="9"/>
  <c r="BD9" i="9"/>
  <c r="BD10" i="9"/>
  <c r="BD11" i="9"/>
  <c r="BD12" i="9"/>
  <c r="BD13" i="9"/>
  <c r="BD14" i="9"/>
  <c r="AY4" i="9"/>
  <c r="AY5" i="9"/>
  <c r="AY6" i="9"/>
  <c r="AY7" i="9"/>
  <c r="AY8" i="9"/>
  <c r="AY9" i="9"/>
  <c r="AY10" i="9"/>
  <c r="AY11" i="9"/>
  <c r="AY12" i="9"/>
  <c r="AY13" i="9"/>
  <c r="AY14" i="9"/>
  <c r="AT4" i="9"/>
  <c r="AT5" i="9"/>
  <c r="AT6" i="9"/>
  <c r="AT7" i="9"/>
  <c r="AT8" i="9"/>
  <c r="AT9" i="9"/>
  <c r="AT10" i="9"/>
  <c r="AT11" i="9"/>
  <c r="AT12" i="9"/>
  <c r="AT13" i="9"/>
  <c r="AT14" i="9"/>
  <c r="B4" i="9"/>
  <c r="B5" i="9"/>
  <c r="B6" i="9"/>
  <c r="B7" i="9"/>
  <c r="B8" i="9"/>
  <c r="B9" i="9"/>
  <c r="B10" i="9"/>
  <c r="B11" i="9"/>
  <c r="B12" i="9"/>
  <c r="B13" i="9"/>
  <c r="B14" i="9"/>
  <c r="P5" i="20"/>
  <c r="P6" i="20"/>
  <c r="P7" i="20"/>
  <c r="P8" i="20"/>
  <c r="P9" i="20"/>
  <c r="P10" i="20"/>
  <c r="P11" i="20"/>
  <c r="P12" i="20"/>
  <c r="P13" i="20"/>
  <c r="P4" i="20"/>
  <c r="H3" i="20"/>
  <c r="F3" i="19"/>
  <c r="E3" i="19"/>
  <c r="F8" i="2"/>
  <c r="F9" i="2" s="1"/>
  <c r="F10" i="2" s="1"/>
  <c r="F11" i="2" s="1"/>
  <c r="F12" i="2" s="1"/>
  <c r="F13" i="2" s="1"/>
  <c r="F14" i="2" s="1"/>
  <c r="F15" i="2" s="1"/>
  <c r="F7" i="2"/>
  <c r="E8" i="2"/>
  <c r="E9" i="2" s="1"/>
  <c r="E10" i="2" s="1"/>
  <c r="E11" i="2" s="1"/>
  <c r="E12" i="2" s="1"/>
  <c r="E13" i="2" s="1"/>
  <c r="E14" i="2" s="1"/>
  <c r="E15" i="2" s="1"/>
  <c r="E7" i="2"/>
  <c r="D8" i="2"/>
  <c r="D9" i="2" s="1"/>
  <c r="D10" i="2" s="1"/>
  <c r="D11" i="2" s="1"/>
  <c r="D12" i="2" s="1"/>
  <c r="D13" i="2" s="1"/>
  <c r="D14" i="2" s="1"/>
  <c r="D15" i="2" s="1"/>
  <c r="D7" i="2"/>
  <c r="B6" i="15"/>
  <c r="B5" i="15"/>
  <c r="B2" i="15"/>
  <c r="D6" i="15"/>
  <c r="D5" i="15"/>
  <c r="H4" i="20" l="1"/>
  <c r="H6" i="20"/>
  <c r="H5" i="20"/>
  <c r="H7" i="20" l="1"/>
  <c r="H8" i="20" l="1"/>
  <c r="H9" i="20" l="1"/>
  <c r="H10" i="20" l="1"/>
  <c r="H11" i="20" l="1"/>
  <c r="H13" i="20" l="1"/>
  <c r="H12" i="20"/>
  <c r="C5" i="13" l="1"/>
  <c r="C6" i="13"/>
  <c r="C7" i="13"/>
  <c r="C8" i="13"/>
  <c r="C9" i="13"/>
  <c r="C10" i="13"/>
  <c r="C11" i="13"/>
  <c r="C12" i="13"/>
  <c r="C13" i="13"/>
  <c r="C14" i="13"/>
  <c r="C4" i="13"/>
  <c r="C5" i="14"/>
  <c r="C7" i="14"/>
  <c r="C8" i="14"/>
  <c r="C9" i="14"/>
  <c r="C10" i="14"/>
  <c r="C11" i="14"/>
  <c r="C12" i="14"/>
  <c r="C13" i="14"/>
  <c r="C14" i="14"/>
  <c r="C4" i="14"/>
  <c r="E4" i="14"/>
  <c r="E5" i="14"/>
  <c r="E7" i="14"/>
  <c r="E8" i="14"/>
  <c r="E9" i="14"/>
  <c r="E10" i="14"/>
  <c r="E11" i="14"/>
  <c r="E12" i="14"/>
  <c r="E13" i="14"/>
  <c r="E14" i="14"/>
  <c r="AG4" i="14"/>
  <c r="AG5" i="14" s="1"/>
  <c r="AD4" i="14"/>
  <c r="AF4" i="14" s="1"/>
  <c r="AD5" i="14"/>
  <c r="C32" i="1"/>
  <c r="C25" i="16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2" i="17"/>
  <c r="B29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8" i="17"/>
  <c r="B7" i="17"/>
  <c r="B5" i="17"/>
  <c r="B4" i="17"/>
  <c r="B3" i="17"/>
  <c r="E18" i="3"/>
  <c r="Y4" i="9"/>
  <c r="N4" i="9"/>
  <c r="P3" i="20"/>
  <c r="F22" i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L25" i="16"/>
  <c r="I25" i="16"/>
  <c r="F25" i="16"/>
  <c r="D25" i="16"/>
  <c r="B4" i="20"/>
  <c r="B5" i="20"/>
  <c r="B6" i="20"/>
  <c r="B7" i="20"/>
  <c r="B8" i="20"/>
  <c r="B9" i="20"/>
  <c r="B10" i="20"/>
  <c r="B11" i="20"/>
  <c r="B12" i="20"/>
  <c r="B13" i="20"/>
  <c r="B3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K9" i="20"/>
  <c r="J9" i="20"/>
  <c r="L8" i="20"/>
  <c r="K8" i="20"/>
  <c r="J8" i="20"/>
  <c r="L7" i="20"/>
  <c r="K7" i="20"/>
  <c r="J7" i="20"/>
  <c r="L6" i="20"/>
  <c r="K6" i="20"/>
  <c r="J6" i="20"/>
  <c r="L5" i="20"/>
  <c r="K5" i="20"/>
  <c r="J5" i="20"/>
  <c r="L4" i="20"/>
  <c r="K4" i="20"/>
  <c r="J4" i="20"/>
  <c r="M3" i="20"/>
  <c r="G3" i="20" s="1"/>
  <c r="C3" i="20" s="1"/>
  <c r="L3" i="20"/>
  <c r="F4" i="20" s="1"/>
  <c r="F5" i="20" s="1"/>
  <c r="F6" i="20" s="1"/>
  <c r="F7" i="20" s="1"/>
  <c r="F8" i="20" s="1"/>
  <c r="F9" i="20" s="1"/>
  <c r="F10" i="20" s="1"/>
  <c r="F11" i="20" s="1"/>
  <c r="F12" i="20" s="1"/>
  <c r="F13" i="20" s="1"/>
  <c r="K3" i="20"/>
  <c r="E4" i="20" s="1"/>
  <c r="E5" i="20" s="1"/>
  <c r="E6" i="20" s="1"/>
  <c r="E7" i="20" s="1"/>
  <c r="E8" i="20" s="1"/>
  <c r="E9" i="20" s="1"/>
  <c r="E10" i="20" s="1"/>
  <c r="E11" i="20" s="1"/>
  <c r="E12" i="20" s="1"/>
  <c r="E13" i="20" s="1"/>
  <c r="J3" i="20"/>
  <c r="D4" i="20" s="1"/>
  <c r="D5" i="20" s="1"/>
  <c r="D6" i="20" s="1"/>
  <c r="D7" i="20" s="1"/>
  <c r="D8" i="20" s="1"/>
  <c r="D9" i="20" s="1"/>
  <c r="D10" i="20" s="1"/>
  <c r="D11" i="20" s="1"/>
  <c r="D12" i="20" s="1"/>
  <c r="D13" i="20" s="1"/>
  <c r="B5" i="19"/>
  <c r="B6" i="19"/>
  <c r="B7" i="19"/>
  <c r="B8" i="19"/>
  <c r="B9" i="19"/>
  <c r="B10" i="19"/>
  <c r="B11" i="19"/>
  <c r="B12" i="19"/>
  <c r="B13" i="19"/>
  <c r="B14" i="19"/>
  <c r="B4" i="19"/>
  <c r="E28" i="17"/>
  <c r="D11" i="17" a="1"/>
  <c r="D11" i="17" s="1"/>
  <c r="D10" i="17" a="1"/>
  <c r="E10" i="17" s="1"/>
  <c r="D9" i="17" a="1"/>
  <c r="D9" i="17" s="1"/>
  <c r="D7" i="17" a="1"/>
  <c r="D7" i="17" s="1"/>
  <c r="D6" i="17" a="1"/>
  <c r="D6" i="17" s="1"/>
  <c r="D4" i="17" a="1"/>
  <c r="D4" i="17" s="1"/>
  <c r="D2" i="17" a="1"/>
  <c r="D2" i="17" s="1"/>
  <c r="G2" i="17"/>
  <c r="K2" i="17"/>
  <c r="E26" i="16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C27" i="16"/>
  <c r="C28" i="16"/>
  <c r="C29" i="16"/>
  <c r="C30" i="16"/>
  <c r="C31" i="16"/>
  <c r="C32" i="16"/>
  <c r="C33" i="16"/>
  <c r="C34" i="16"/>
  <c r="C35" i="16"/>
  <c r="C36" i="16"/>
  <c r="C26" i="16"/>
  <c r="D27" i="16"/>
  <c r="D28" i="16"/>
  <c r="D29" i="16"/>
  <c r="D30" i="16"/>
  <c r="D31" i="16"/>
  <c r="D32" i="16"/>
  <c r="D33" i="16"/>
  <c r="D34" i="16"/>
  <c r="D35" i="16"/>
  <c r="D36" i="16"/>
  <c r="D26" i="16"/>
  <c r="C15" i="16"/>
  <c r="C19" i="16"/>
  <c r="C17" i="16"/>
  <c r="H2" i="16"/>
  <c r="F2" i="16"/>
  <c r="D2" i="16"/>
  <c r="H3" i="16"/>
  <c r="F3" i="16"/>
  <c r="D3" i="16"/>
  <c r="AG6" i="14" l="1"/>
  <c r="AI5" i="14"/>
  <c r="AI4" i="14"/>
  <c r="AD6" i="14"/>
  <c r="AF5" i="14"/>
  <c r="N5" i="9"/>
  <c r="I3" i="20"/>
  <c r="M10" i="20"/>
  <c r="G10" i="20" s="1"/>
  <c r="N6" i="9"/>
  <c r="M5" i="20"/>
  <c r="G5" i="20" s="1"/>
  <c r="M7" i="20"/>
  <c r="G7" i="20" s="1"/>
  <c r="M9" i="20"/>
  <c r="G9" i="20" s="1"/>
  <c r="M6" i="20"/>
  <c r="G6" i="20" s="1"/>
  <c r="M8" i="20"/>
  <c r="G8" i="20" s="1"/>
  <c r="M4" i="20"/>
  <c r="G4" i="20" s="1"/>
  <c r="C4" i="20" s="1"/>
  <c r="Y5" i="9" s="1"/>
  <c r="L9" i="20"/>
  <c r="N11" i="17"/>
  <c r="J11" i="17"/>
  <c r="F11" i="17"/>
  <c r="K11" i="17"/>
  <c r="G11" i="17"/>
  <c r="M11" i="17"/>
  <c r="I11" i="17"/>
  <c r="E11" i="17"/>
  <c r="L11" i="17"/>
  <c r="H11" i="17"/>
  <c r="N10" i="17"/>
  <c r="J10" i="17"/>
  <c r="F10" i="17"/>
  <c r="L10" i="17"/>
  <c r="H10" i="17"/>
  <c r="D10" i="17"/>
  <c r="D8" i="17" s="1"/>
  <c r="K10" i="17"/>
  <c r="G10" i="17"/>
  <c r="M10" i="17"/>
  <c r="I10" i="17"/>
  <c r="N9" i="17"/>
  <c r="J9" i="17"/>
  <c r="F9" i="17"/>
  <c r="G9" i="17"/>
  <c r="M9" i="17"/>
  <c r="I9" i="17"/>
  <c r="E9" i="17"/>
  <c r="K9" i="17"/>
  <c r="L9" i="17"/>
  <c r="L8" i="17" s="1"/>
  <c r="L12" i="17" s="1"/>
  <c r="H9" i="17"/>
  <c r="N7" i="17"/>
  <c r="J7" i="17"/>
  <c r="F7" i="17"/>
  <c r="K7" i="17"/>
  <c r="G7" i="17"/>
  <c r="M7" i="17"/>
  <c r="I7" i="17"/>
  <c r="E7" i="17"/>
  <c r="L7" i="17"/>
  <c r="H7" i="17"/>
  <c r="L5" i="17"/>
  <c r="N6" i="17"/>
  <c r="J6" i="17"/>
  <c r="F6" i="17"/>
  <c r="K6" i="17"/>
  <c r="K5" i="17" s="1"/>
  <c r="K3" i="17" s="1"/>
  <c r="G6" i="17"/>
  <c r="M6" i="17"/>
  <c r="I6" i="17"/>
  <c r="E6" i="17"/>
  <c r="D5" i="17"/>
  <c r="L6" i="17"/>
  <c r="H6" i="17"/>
  <c r="H5" i="17" s="1"/>
  <c r="H3" i="17" s="1"/>
  <c r="N4" i="17"/>
  <c r="J4" i="17"/>
  <c r="F4" i="17"/>
  <c r="M4" i="17"/>
  <c r="I4" i="17"/>
  <c r="E4" i="17"/>
  <c r="K4" i="17"/>
  <c r="G4" i="17"/>
  <c r="L4" i="17"/>
  <c r="L3" i="17" s="1"/>
  <c r="H4" i="17"/>
  <c r="N2" i="17"/>
  <c r="J2" i="17"/>
  <c r="F2" i="17"/>
  <c r="M2" i="17"/>
  <c r="I2" i="17"/>
  <c r="E2" i="17"/>
  <c r="L2" i="17"/>
  <c r="H2" i="17"/>
  <c r="E8" i="17"/>
  <c r="J5" i="17"/>
  <c r="E5" i="17"/>
  <c r="E3" i="17" s="1"/>
  <c r="M5" i="17"/>
  <c r="M3" i="17" s="1"/>
  <c r="K8" i="17"/>
  <c r="J8" i="17"/>
  <c r="M8" i="17"/>
  <c r="G5" i="17"/>
  <c r="H8" i="17"/>
  <c r="D3" i="17"/>
  <c r="AI6" i="14" l="1"/>
  <c r="AG7" i="14"/>
  <c r="AF6" i="14"/>
  <c r="AD7" i="14"/>
  <c r="I4" i="20"/>
  <c r="M11" i="20"/>
  <c r="G11" i="20" s="1"/>
  <c r="C5" i="20"/>
  <c r="Y6" i="9" s="1"/>
  <c r="I5" i="20"/>
  <c r="N8" i="17"/>
  <c r="I8" i="17"/>
  <c r="D12" i="17"/>
  <c r="E12" i="17"/>
  <c r="K12" i="17"/>
  <c r="F8" i="17"/>
  <c r="H12" i="17"/>
  <c r="I5" i="17"/>
  <c r="I3" i="17" s="1"/>
  <c r="M12" i="17"/>
  <c r="F5" i="17"/>
  <c r="F3" i="17" s="1"/>
  <c r="G3" i="17"/>
  <c r="G8" i="17"/>
  <c r="N5" i="17"/>
  <c r="N3" i="17" s="1"/>
  <c r="J3" i="17"/>
  <c r="J12" i="17" s="1"/>
  <c r="I6" i="20" l="1"/>
  <c r="N7" i="9"/>
  <c r="AG8" i="14"/>
  <c r="AI7" i="14"/>
  <c r="AD8" i="14"/>
  <c r="AF7" i="14"/>
  <c r="M12" i="20"/>
  <c r="G12" i="20" s="1"/>
  <c r="C6" i="20"/>
  <c r="Y7" i="9" s="1"/>
  <c r="N12" i="17"/>
  <c r="F12" i="17"/>
  <c r="I12" i="17"/>
  <c r="G12" i="17"/>
  <c r="I7" i="20" l="1"/>
  <c r="N8" i="9"/>
  <c r="AI8" i="14"/>
  <c r="AG9" i="14"/>
  <c r="AF8" i="14"/>
  <c r="AD9" i="14"/>
  <c r="C7" i="20"/>
  <c r="Y8" i="9" s="1"/>
  <c r="I8" i="20" l="1"/>
  <c r="N9" i="9"/>
  <c r="AG10" i="14"/>
  <c r="AI9" i="14"/>
  <c r="AD10" i="14"/>
  <c r="AF9" i="14"/>
  <c r="C8" i="20"/>
  <c r="Y9" i="9" s="1"/>
  <c r="I9" i="20" l="1"/>
  <c r="N10" i="9"/>
  <c r="AI10" i="14"/>
  <c r="AG11" i="14"/>
  <c r="AF10" i="14"/>
  <c r="AD11" i="14"/>
  <c r="C9" i="20"/>
  <c r="Y10" i="9" s="1"/>
  <c r="I10" i="20" l="1"/>
  <c r="N11" i="9"/>
  <c r="AG12" i="14"/>
  <c r="AI11" i="14"/>
  <c r="AD12" i="14"/>
  <c r="AF11" i="14"/>
  <c r="C10" i="20"/>
  <c r="Y11" i="9" s="1"/>
  <c r="I11" i="20" l="1"/>
  <c r="N12" i="9"/>
  <c r="AI12" i="14"/>
  <c r="AG13" i="14"/>
  <c r="AF12" i="14"/>
  <c r="AD13" i="14"/>
  <c r="C11" i="20"/>
  <c r="Y12" i="9" s="1"/>
  <c r="I12" i="20" l="1"/>
  <c r="N13" i="9"/>
  <c r="AG14" i="14"/>
  <c r="AI14" i="14" s="1"/>
  <c r="AI13" i="14"/>
  <c r="AD14" i="14"/>
  <c r="AF14" i="14" s="1"/>
  <c r="AF13" i="14"/>
  <c r="C12" i="20"/>
  <c r="Y13" i="9" s="1"/>
  <c r="M13" i="20" l="1"/>
  <c r="G13" i="20" s="1"/>
  <c r="C13" i="20" s="1"/>
  <c r="Y14" i="9" s="1"/>
  <c r="I13" i="20" l="1"/>
  <c r="N14" i="9"/>
  <c r="K26" i="16"/>
  <c r="N26" i="16"/>
  <c r="AG4" i="9"/>
  <c r="AA4" i="9"/>
  <c r="C4" i="15"/>
  <c r="C2" i="15"/>
  <c r="C1" i="15"/>
  <c r="H12" i="15" s="1"/>
  <c r="I12" i="15" s="1"/>
  <c r="C6" i="15"/>
  <c r="C3" i="15" s="1"/>
  <c r="D13" i="15" s="1"/>
  <c r="C5" i="15"/>
  <c r="P6" i="9"/>
  <c r="P7" i="9"/>
  <c r="P8" i="9"/>
  <c r="P9" i="9"/>
  <c r="P10" i="9"/>
  <c r="P11" i="9"/>
  <c r="P12" i="9"/>
  <c r="P13" i="9"/>
  <c r="P14" i="9"/>
  <c r="P4" i="9"/>
  <c r="D15" i="17" s="1" a="1"/>
  <c r="P5" i="9"/>
  <c r="G4" i="13"/>
  <c r="H4" i="13" s="1"/>
  <c r="E4" i="13" s="1"/>
  <c r="F5" i="14"/>
  <c r="F6" i="14" s="1"/>
  <c r="F7" i="14" s="1"/>
  <c r="F8" i="14" s="1"/>
  <c r="F9" i="14" s="1"/>
  <c r="F10" i="14" s="1"/>
  <c r="F11" i="14" s="1"/>
  <c r="F12" i="14" s="1"/>
  <c r="F13" i="14" s="1"/>
  <c r="F14" i="14" s="1"/>
  <c r="F4" i="14"/>
  <c r="H4" i="14" s="1"/>
  <c r="B5" i="14"/>
  <c r="B6" i="14"/>
  <c r="B7" i="14"/>
  <c r="B8" i="14"/>
  <c r="B9" i="14"/>
  <c r="B10" i="14"/>
  <c r="B11" i="14"/>
  <c r="B12" i="14"/>
  <c r="B13" i="14"/>
  <c r="B14" i="14"/>
  <c r="B4" i="14"/>
  <c r="B5" i="13"/>
  <c r="B6" i="13"/>
  <c r="B7" i="13"/>
  <c r="B8" i="13"/>
  <c r="B9" i="13"/>
  <c r="B10" i="13"/>
  <c r="B11" i="13"/>
  <c r="B12" i="13"/>
  <c r="B13" i="13"/>
  <c r="B14" i="13"/>
  <c r="B4" i="13"/>
  <c r="J5" i="14"/>
  <c r="J6" i="14" s="1"/>
  <c r="E5" i="13"/>
  <c r="E6" i="13"/>
  <c r="E7" i="13"/>
  <c r="E8" i="13"/>
  <c r="E9" i="13"/>
  <c r="E10" i="13"/>
  <c r="E11" i="13"/>
  <c r="E12" i="13"/>
  <c r="E13" i="13"/>
  <c r="E14" i="13"/>
  <c r="G6" i="13"/>
  <c r="G7" i="13"/>
  <c r="G8" i="13"/>
  <c r="G9" i="13"/>
  <c r="H9" i="13" s="1"/>
  <c r="G10" i="13"/>
  <c r="G11" i="13"/>
  <c r="G12" i="13"/>
  <c r="G13" i="13"/>
  <c r="H13" i="13" s="1"/>
  <c r="G14" i="13"/>
  <c r="G5" i="13"/>
  <c r="H5" i="13" s="1"/>
  <c r="H6" i="13"/>
  <c r="H7" i="13"/>
  <c r="H8" i="13"/>
  <c r="H10" i="13"/>
  <c r="H11" i="13"/>
  <c r="H12" i="13"/>
  <c r="H14" i="13"/>
  <c r="F6" i="13"/>
  <c r="F7" i="13"/>
  <c r="F8" i="13"/>
  <c r="F9" i="13"/>
  <c r="F10" i="13"/>
  <c r="F11" i="13"/>
  <c r="F12" i="13"/>
  <c r="F13" i="13"/>
  <c r="F14" i="13"/>
  <c r="F5" i="13"/>
  <c r="I14" i="4"/>
  <c r="I15" i="4"/>
  <c r="I16" i="4"/>
  <c r="I17" i="4"/>
  <c r="I18" i="4"/>
  <c r="I19" i="4"/>
  <c r="I20" i="4"/>
  <c r="I21" i="4"/>
  <c r="I13" i="4"/>
  <c r="M5" i="3"/>
  <c r="L5" i="3"/>
  <c r="K5" i="3"/>
  <c r="D15" i="17" l="1"/>
  <c r="F15" i="17"/>
  <c r="I15" i="17"/>
  <c r="K15" i="17"/>
  <c r="E15" i="17"/>
  <c r="N15" i="17"/>
  <c r="G15" i="17"/>
  <c r="L15" i="17"/>
  <c r="J15" i="17"/>
  <c r="M15" i="17"/>
  <c r="H15" i="17"/>
  <c r="H26" i="16"/>
  <c r="C11" i="15"/>
  <c r="C12" i="15" s="1"/>
  <c r="G12" i="15" s="1"/>
  <c r="D14" i="15"/>
  <c r="H6" i="14"/>
  <c r="H5" i="14"/>
  <c r="J12" i="15" l="1"/>
  <c r="H13" i="15" s="1"/>
  <c r="D15" i="15"/>
  <c r="H7" i="14"/>
  <c r="D4" i="13"/>
  <c r="K12" i="15" l="1"/>
  <c r="E13" i="15"/>
  <c r="AG5" i="9" s="1"/>
  <c r="D16" i="15"/>
  <c r="H8" i="14"/>
  <c r="D5" i="13"/>
  <c r="D17" i="15" l="1"/>
  <c r="H9" i="14"/>
  <c r="D6" i="13"/>
  <c r="J13" i="15" l="1"/>
  <c r="E14" i="15" s="1"/>
  <c r="AG6" i="9" s="1"/>
  <c r="K13" i="15"/>
  <c r="F13" i="15"/>
  <c r="AA5" i="9" s="1"/>
  <c r="D18" i="15"/>
  <c r="H10" i="14"/>
  <c r="D7" i="13"/>
  <c r="H14" i="15" l="1"/>
  <c r="G14" i="15" s="1"/>
  <c r="I13" i="15"/>
  <c r="D19" i="15"/>
  <c r="H11" i="14"/>
  <c r="D8" i="13"/>
  <c r="F14" i="15" l="1"/>
  <c r="K14" i="15"/>
  <c r="J14" i="15"/>
  <c r="H15" i="15" s="1"/>
  <c r="G15" i="15" s="1"/>
  <c r="D20" i="15"/>
  <c r="H12" i="14"/>
  <c r="D9" i="13"/>
  <c r="E15" i="15" l="1"/>
  <c r="AG7" i="9" s="1"/>
  <c r="I14" i="15"/>
  <c r="AA6" i="9"/>
  <c r="J15" i="15"/>
  <c r="H16" i="15" s="1"/>
  <c r="D21" i="15"/>
  <c r="H13" i="14"/>
  <c r="H14" i="14"/>
  <c r="D10" i="13"/>
  <c r="K15" i="15" l="1"/>
  <c r="F15" i="15"/>
  <c r="AA7" i="9" s="1"/>
  <c r="G16" i="15"/>
  <c r="E16" i="15"/>
  <c r="AG8" i="9" s="1"/>
  <c r="D22" i="15"/>
  <c r="D13" i="13"/>
  <c r="D11" i="13"/>
  <c r="I15" i="15" l="1"/>
  <c r="J16" i="15"/>
  <c r="H17" i="15" s="1"/>
  <c r="D12" i="13"/>
  <c r="G17" i="15" l="1"/>
  <c r="E17" i="15"/>
  <c r="AG9" i="9" s="1"/>
  <c r="F16" i="15"/>
  <c r="AA8" i="9" s="1"/>
  <c r="K16" i="15"/>
  <c r="F17" i="15" l="1"/>
  <c r="AA9" i="9" s="1"/>
  <c r="K17" i="15"/>
  <c r="I16" i="15"/>
  <c r="J17" i="15"/>
  <c r="H18" i="15" s="1"/>
  <c r="E18" i="15" l="1"/>
  <c r="AG10" i="9" s="1"/>
  <c r="D21" i="17" s="1" a="1"/>
  <c r="G18" i="15"/>
  <c r="I17" i="15"/>
  <c r="E21" i="17" l="1"/>
  <c r="L21" i="17"/>
  <c r="G21" i="17"/>
  <c r="N21" i="17"/>
  <c r="H21" i="17"/>
  <c r="M21" i="17"/>
  <c r="J21" i="17"/>
  <c r="D21" i="17"/>
  <c r="I21" i="17"/>
  <c r="F21" i="17"/>
  <c r="K21" i="17"/>
  <c r="K18" i="15"/>
  <c r="F18" i="15"/>
  <c r="J18" i="15"/>
  <c r="I18" i="15" l="1"/>
  <c r="AA10" i="9"/>
  <c r="E19" i="15"/>
  <c r="F19" i="15" l="1"/>
  <c r="K19" i="15"/>
  <c r="J19" i="15"/>
  <c r="I19" i="15" l="1"/>
  <c r="AA11" i="9"/>
  <c r="E20" i="15"/>
  <c r="D14" i="13" l="1"/>
  <c r="K20" i="15" l="1"/>
  <c r="F20" i="15"/>
  <c r="J20" i="15"/>
  <c r="I20" i="15" l="1"/>
  <c r="AA12" i="9"/>
  <c r="E21" i="15"/>
  <c r="J21" i="15" l="1"/>
  <c r="E22" i="15" l="1"/>
  <c r="K21" i="15"/>
  <c r="F21" i="15"/>
  <c r="I21" i="15" l="1"/>
  <c r="AA13" i="9"/>
  <c r="K22" i="15"/>
  <c r="F22" i="15"/>
  <c r="J22" i="15"/>
  <c r="I22" i="15" l="1"/>
  <c r="AA14" i="9"/>
  <c r="E10" i="15"/>
  <c r="C22" i="15" l="1"/>
  <c r="F10" i="15"/>
  <c r="G10" i="15"/>
  <c r="C21" i="15"/>
  <c r="J11" i="9" l="1"/>
  <c r="J8" i="9"/>
  <c r="J9" i="9"/>
  <c r="J10" i="9"/>
  <c r="J12" i="9"/>
  <c r="J15" i="4"/>
  <c r="H15" i="4" s="1"/>
  <c r="F15" i="4" s="1"/>
  <c r="G15" i="4" s="1"/>
  <c r="D15" i="4" s="1"/>
  <c r="C8" i="9" s="1"/>
  <c r="J16" i="4"/>
  <c r="H16" i="4" s="1"/>
  <c r="F16" i="4" s="1"/>
  <c r="G16" i="4" s="1"/>
  <c r="D16" i="4" s="1"/>
  <c r="C9" i="9" s="1"/>
  <c r="J17" i="4"/>
  <c r="J18" i="4"/>
  <c r="H18" i="4" s="1"/>
  <c r="F18" i="4" s="1"/>
  <c r="G18" i="4" s="1"/>
  <c r="D18" i="4" s="1"/>
  <c r="C11" i="9" s="1"/>
  <c r="J19" i="4"/>
  <c r="J20" i="4"/>
  <c r="H20" i="4" s="1"/>
  <c r="F20" i="4" s="1"/>
  <c r="G20" i="4" s="1"/>
  <c r="D20" i="4" s="1"/>
  <c r="C13" i="9" s="1"/>
  <c r="J21" i="4"/>
  <c r="H17" i="4"/>
  <c r="F17" i="4" s="1"/>
  <c r="G17" i="4" s="1"/>
  <c r="D17" i="4" s="1"/>
  <c r="C10" i="9" s="1"/>
  <c r="H19" i="4"/>
  <c r="F19" i="4" s="1"/>
  <c r="G19" i="4" s="1"/>
  <c r="D19" i="4" s="1"/>
  <c r="C12" i="9" s="1"/>
  <c r="D12" i="9" s="1"/>
  <c r="J5" i="9"/>
  <c r="J6" i="9"/>
  <c r="J7" i="9"/>
  <c r="J13" i="9"/>
  <c r="J14" i="9"/>
  <c r="CF4" i="9"/>
  <c r="CB4" i="9"/>
  <c r="BX4" i="9"/>
  <c r="BT4" i="9"/>
  <c r="BP4" i="9"/>
  <c r="BL4" i="9"/>
  <c r="BH4" i="9"/>
  <c r="BC4" i="9"/>
  <c r="AX4" i="9"/>
  <c r="G11" i="9" l="1"/>
  <c r="E11" i="9"/>
  <c r="D11" i="9"/>
  <c r="F11" i="9"/>
  <c r="E10" i="9"/>
  <c r="F9" i="9"/>
  <c r="D9" i="9"/>
  <c r="F8" i="9"/>
  <c r="D8" i="9"/>
  <c r="E8" i="9"/>
  <c r="G9" i="9"/>
  <c r="G8" i="9"/>
  <c r="H8" i="9" s="1"/>
  <c r="I8" i="9" s="1"/>
  <c r="H11" i="9"/>
  <c r="I11" i="9" s="1"/>
  <c r="G10" i="9"/>
  <c r="F10" i="9"/>
  <c r="E9" i="9"/>
  <c r="H9" i="9" s="1"/>
  <c r="I9" i="9" s="1"/>
  <c r="M9" i="9" s="1"/>
  <c r="F12" i="9"/>
  <c r="D10" i="9"/>
  <c r="G12" i="9"/>
  <c r="E12" i="9"/>
  <c r="D1" i="9"/>
  <c r="H10" i="9" l="1"/>
  <c r="I10" i="9" s="1"/>
  <c r="K10" i="9" s="1"/>
  <c r="H12" i="9"/>
  <c r="I12" i="9" s="1"/>
  <c r="K11" i="9"/>
  <c r="M11" i="9"/>
  <c r="L11" i="9"/>
  <c r="M8" i="9"/>
  <c r="K8" i="9"/>
  <c r="L8" i="9"/>
  <c r="K9" i="9"/>
  <c r="L9" i="9"/>
  <c r="L10" i="9" l="1"/>
  <c r="M10" i="9"/>
  <c r="O11" i="9"/>
  <c r="O9" i="9"/>
  <c r="AV9" i="9" s="1"/>
  <c r="O8" i="9"/>
  <c r="K12" i="9"/>
  <c r="L12" i="9"/>
  <c r="M12" i="9"/>
  <c r="O10" i="9" l="1"/>
  <c r="AV11" i="9"/>
  <c r="O12" i="9"/>
  <c r="AV12" i="9" s="1"/>
  <c r="AV8" i="9"/>
  <c r="AV10" i="9" l="1"/>
  <c r="AW11" i="9" s="1"/>
  <c r="J5" i="2" l="1"/>
  <c r="F6" i="2" s="1"/>
  <c r="G16" i="1"/>
  <c r="I15" i="2"/>
  <c r="F6" i="3"/>
  <c r="J11" i="4"/>
  <c r="H11" i="4" s="1"/>
  <c r="J12" i="4"/>
  <c r="H12" i="4" s="1"/>
  <c r="F12" i="4" s="1"/>
  <c r="G12" i="4" s="1"/>
  <c r="J13" i="4"/>
  <c r="J14" i="4"/>
  <c r="H14" i="4" s="1"/>
  <c r="F23" i="1"/>
  <c r="F24" i="1"/>
  <c r="F25" i="1"/>
  <c r="G25" i="1" s="1"/>
  <c r="F23" i="3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I5" i="2"/>
  <c r="E6" i="2" s="1"/>
  <c r="H5" i="2"/>
  <c r="D6" i="2" s="1"/>
  <c r="C5" i="2"/>
  <c r="W4" i="9" s="1"/>
  <c r="Z4" i="9" s="1"/>
  <c r="G15" i="1"/>
  <c r="C35" i="1" s="1"/>
  <c r="E14" i="1"/>
  <c r="F14" i="1" s="1"/>
  <c r="G23" i="1"/>
  <c r="G24" i="1"/>
  <c r="E13" i="1"/>
  <c r="F13" i="1" s="1"/>
  <c r="E7" i="1"/>
  <c r="F7" i="1" s="1"/>
  <c r="E9" i="1"/>
  <c r="F9" i="1" s="1"/>
  <c r="G20" i="1"/>
  <c r="G19" i="1"/>
  <c r="G22" i="1"/>
  <c r="F26" i="1"/>
  <c r="G26" i="1" s="1"/>
  <c r="G17" i="1"/>
  <c r="G18" i="1"/>
  <c r="C34" i="1" s="1"/>
  <c r="E12" i="1"/>
  <c r="F12" i="1" s="1"/>
  <c r="E11" i="1"/>
  <c r="F11" i="1" s="1"/>
  <c r="E10" i="1"/>
  <c r="F10" i="1" s="1"/>
  <c r="E8" i="1"/>
  <c r="F8" i="1" s="1"/>
  <c r="E6" i="1"/>
  <c r="F6" i="1" s="1"/>
  <c r="C33" i="1" l="1"/>
  <c r="O4" i="14"/>
  <c r="R8" i="14"/>
  <c r="T8" i="14" s="1"/>
  <c r="R12" i="14"/>
  <c r="T12" i="14" s="1"/>
  <c r="R6" i="14"/>
  <c r="T6" i="14" s="1"/>
  <c r="R5" i="14"/>
  <c r="T5" i="14" s="1"/>
  <c r="R9" i="14"/>
  <c r="T9" i="14" s="1"/>
  <c r="R13" i="14"/>
  <c r="T13" i="14" s="1"/>
  <c r="R7" i="14"/>
  <c r="T7" i="14" s="1"/>
  <c r="R11" i="14"/>
  <c r="T11" i="14" s="1"/>
  <c r="R4" i="14"/>
  <c r="T4" i="14" s="1"/>
  <c r="R10" i="14"/>
  <c r="T10" i="14" s="1"/>
  <c r="R14" i="14"/>
  <c r="T14" i="14" s="1"/>
  <c r="I4" i="14"/>
  <c r="U4" i="14"/>
  <c r="L4" i="14"/>
  <c r="X4" i="14"/>
  <c r="AA4" i="14"/>
  <c r="F4" i="19"/>
  <c r="J10" i="2"/>
  <c r="G9" i="2"/>
  <c r="G13" i="2"/>
  <c r="G12" i="2"/>
  <c r="G11" i="2"/>
  <c r="G14" i="2"/>
  <c r="G7" i="2"/>
  <c r="G6" i="2"/>
  <c r="G8" i="2"/>
  <c r="F14" i="4"/>
  <c r="H13" i="4"/>
  <c r="F13" i="4" s="1"/>
  <c r="F11" i="4"/>
  <c r="G11" i="4" s="1"/>
  <c r="D11" i="4" s="1"/>
  <c r="C4" i="9" s="1"/>
  <c r="D12" i="4"/>
  <c r="C5" i="9" s="1"/>
  <c r="C6" i="2"/>
  <c r="W5" i="9" s="1"/>
  <c r="Z5" i="9" s="1"/>
  <c r="F5" i="19" s="1"/>
  <c r="G5" i="2"/>
  <c r="G27" i="1"/>
  <c r="C36" i="1" l="1"/>
  <c r="X5" i="14"/>
  <c r="Z4" i="14"/>
  <c r="U5" i="14"/>
  <c r="W4" i="14"/>
  <c r="O5" i="14"/>
  <c r="Q4" i="14"/>
  <c r="AA5" i="14"/>
  <c r="AC4" i="14"/>
  <c r="L5" i="14"/>
  <c r="N4" i="14"/>
  <c r="I5" i="14"/>
  <c r="K4" i="14"/>
  <c r="D4" i="14" s="1"/>
  <c r="Q4" i="9" s="1"/>
  <c r="G5" i="9"/>
  <c r="E5" i="9"/>
  <c r="F5" i="9"/>
  <c r="D5" i="9"/>
  <c r="G4" i="9"/>
  <c r="E4" i="9"/>
  <c r="F4" i="9"/>
  <c r="D4" i="9"/>
  <c r="G10" i="2"/>
  <c r="G13" i="4"/>
  <c r="D13" i="4" s="1"/>
  <c r="C6" i="9" s="1"/>
  <c r="G14" i="4"/>
  <c r="D14" i="4" s="1"/>
  <c r="C7" i="9" s="1"/>
  <c r="C7" i="2"/>
  <c r="W6" i="9" s="1"/>
  <c r="Z6" i="9" s="1"/>
  <c r="J15" i="2"/>
  <c r="F26" i="16" l="1"/>
  <c r="G26" i="16" s="1"/>
  <c r="R4" i="9"/>
  <c r="AA6" i="14"/>
  <c r="AC5" i="14"/>
  <c r="U6" i="14"/>
  <c r="W5" i="14"/>
  <c r="I6" i="14"/>
  <c r="K5" i="14"/>
  <c r="L6" i="14"/>
  <c r="N5" i="14"/>
  <c r="O6" i="14"/>
  <c r="Q5" i="14"/>
  <c r="X6" i="14"/>
  <c r="Z5" i="14"/>
  <c r="F6" i="19"/>
  <c r="H5" i="9"/>
  <c r="I5" i="9" s="1"/>
  <c r="F6" i="9"/>
  <c r="G6" i="9"/>
  <c r="E6" i="9"/>
  <c r="D6" i="9"/>
  <c r="F7" i="9"/>
  <c r="G7" i="9"/>
  <c r="E7" i="9"/>
  <c r="D7" i="9"/>
  <c r="H4" i="9"/>
  <c r="G15" i="2"/>
  <c r="C8" i="2"/>
  <c r="W7" i="9" s="1"/>
  <c r="Z7" i="9" s="1"/>
  <c r="F7" i="19" s="1"/>
  <c r="X7" i="14" l="1"/>
  <c r="Z6" i="14"/>
  <c r="L7" i="14"/>
  <c r="N6" i="14"/>
  <c r="O7" i="14"/>
  <c r="Q6" i="14"/>
  <c r="I7" i="14"/>
  <c r="K6" i="14"/>
  <c r="AA7" i="14"/>
  <c r="AC6" i="14"/>
  <c r="E6" i="14" s="1"/>
  <c r="U7" i="14"/>
  <c r="W6" i="14"/>
  <c r="D5" i="14"/>
  <c r="Q5" i="9" s="1"/>
  <c r="I26" i="16"/>
  <c r="J26" i="16" s="1"/>
  <c r="AB4" i="9"/>
  <c r="AC4" i="9" s="1"/>
  <c r="G13" i="9"/>
  <c r="E13" i="9"/>
  <c r="F13" i="9"/>
  <c r="D13" i="9"/>
  <c r="H7" i="9"/>
  <c r="I4" i="9"/>
  <c r="M5" i="9"/>
  <c r="L5" i="9"/>
  <c r="K5" i="9"/>
  <c r="H6" i="9"/>
  <c r="I6" i="9" s="1"/>
  <c r="C9" i="2"/>
  <c r="W8" i="9" s="1"/>
  <c r="Z8" i="9" s="1"/>
  <c r="D6" i="14" l="1"/>
  <c r="U8" i="14"/>
  <c r="W7" i="14"/>
  <c r="I8" i="14"/>
  <c r="K7" i="14"/>
  <c r="L8" i="14"/>
  <c r="N7" i="14"/>
  <c r="F27" i="16"/>
  <c r="G27" i="16" s="1"/>
  <c r="H27" i="16" s="1"/>
  <c r="R5" i="9"/>
  <c r="AA8" i="14"/>
  <c r="AC7" i="14"/>
  <c r="O8" i="14"/>
  <c r="Q7" i="14"/>
  <c r="X8" i="14"/>
  <c r="Z7" i="14"/>
  <c r="F8" i="19"/>
  <c r="L4" i="9"/>
  <c r="M4" i="9"/>
  <c r="K4" i="9"/>
  <c r="O5" i="9"/>
  <c r="I7" i="9"/>
  <c r="M6" i="9"/>
  <c r="K6" i="9"/>
  <c r="L6" i="9"/>
  <c r="H13" i="9"/>
  <c r="C10" i="2"/>
  <c r="W9" i="9" s="1"/>
  <c r="Z9" i="9" s="1"/>
  <c r="K7" i="9" l="1"/>
  <c r="L7" i="9"/>
  <c r="C6" i="14"/>
  <c r="Q6" i="9" s="1"/>
  <c r="S5" i="9"/>
  <c r="L27" i="16" s="1"/>
  <c r="M27" i="16" s="1"/>
  <c r="N27" i="16" s="1"/>
  <c r="I9" i="14"/>
  <c r="K8" i="14"/>
  <c r="X9" i="14"/>
  <c r="Z8" i="14"/>
  <c r="AA9" i="14"/>
  <c r="AC8" i="14"/>
  <c r="L9" i="14"/>
  <c r="N8" i="14"/>
  <c r="U9" i="14"/>
  <c r="W8" i="14"/>
  <c r="O9" i="14"/>
  <c r="Q8" i="14"/>
  <c r="I27" i="16"/>
  <c r="J27" i="16" s="1"/>
  <c r="K27" i="16" s="1"/>
  <c r="AB5" i="9"/>
  <c r="AC5" i="9" s="1"/>
  <c r="D7" i="14"/>
  <c r="Q7" i="9" s="1"/>
  <c r="F9" i="19"/>
  <c r="O4" i="9"/>
  <c r="O6" i="9"/>
  <c r="M7" i="9"/>
  <c r="I13" i="9"/>
  <c r="C11" i="2"/>
  <c r="W10" i="9" s="1"/>
  <c r="Z10" i="9" s="1"/>
  <c r="R6" i="9" l="1"/>
  <c r="F28" i="16"/>
  <c r="G28" i="16" s="1"/>
  <c r="H28" i="16" s="1"/>
  <c r="G5" i="19"/>
  <c r="T5" i="9"/>
  <c r="AD5" i="9" s="1"/>
  <c r="S6" i="9"/>
  <c r="L28" i="16" s="1"/>
  <c r="M28" i="16" s="1"/>
  <c r="N28" i="16" s="1"/>
  <c r="F29" i="16"/>
  <c r="G29" i="16" s="1"/>
  <c r="H29" i="16" s="1"/>
  <c r="R7" i="9"/>
  <c r="O10" i="14"/>
  <c r="Q9" i="14"/>
  <c r="L10" i="14"/>
  <c r="N9" i="14"/>
  <c r="X10" i="14"/>
  <c r="Z9" i="14"/>
  <c r="I28" i="16"/>
  <c r="J28" i="16" s="1"/>
  <c r="K28" i="16" s="1"/>
  <c r="AB6" i="9"/>
  <c r="AC6" i="9" s="1"/>
  <c r="D8" i="14"/>
  <c r="Q8" i="9" s="1"/>
  <c r="U10" i="14"/>
  <c r="W9" i="14"/>
  <c r="AA10" i="14"/>
  <c r="AC9" i="14"/>
  <c r="I10" i="14"/>
  <c r="K9" i="14"/>
  <c r="F10" i="19"/>
  <c r="S4" i="9"/>
  <c r="L26" i="16" s="1"/>
  <c r="M26" i="16" s="1"/>
  <c r="BF4" i="9"/>
  <c r="BF5" i="9" s="1"/>
  <c r="BF6" i="9" s="1"/>
  <c r="AV4" i="9"/>
  <c r="AV5" i="9" s="1"/>
  <c r="AW5" i="9" s="1"/>
  <c r="BA4" i="9"/>
  <c r="BA5" i="9" s="1"/>
  <c r="BA6" i="9" s="1"/>
  <c r="BB6" i="9" s="1"/>
  <c r="U5" i="9"/>
  <c r="L13" i="9"/>
  <c r="M13" i="9"/>
  <c r="K13" i="9"/>
  <c r="O7" i="9"/>
  <c r="C12" i="2"/>
  <c r="W11" i="9" s="1"/>
  <c r="Z11" i="9" s="1"/>
  <c r="S7" i="9" l="1"/>
  <c r="T7" i="9" s="1"/>
  <c r="T6" i="9"/>
  <c r="G6" i="19"/>
  <c r="D9" i="14"/>
  <c r="Q9" i="9" s="1"/>
  <c r="F31" i="16" s="1"/>
  <c r="G31" i="16" s="1"/>
  <c r="H31" i="16" s="1"/>
  <c r="AV6" i="9"/>
  <c r="AW6" i="9" s="1"/>
  <c r="AX6" i="9" s="1"/>
  <c r="F30" i="16"/>
  <c r="G30" i="16" s="1"/>
  <c r="H30" i="16" s="1"/>
  <c r="R8" i="9"/>
  <c r="X11" i="14"/>
  <c r="Z10" i="14"/>
  <c r="O11" i="14"/>
  <c r="Q10" i="14"/>
  <c r="AA11" i="14"/>
  <c r="AC10" i="14"/>
  <c r="R9" i="9"/>
  <c r="L11" i="14"/>
  <c r="N10" i="14"/>
  <c r="I29" i="16"/>
  <c r="J29" i="16" s="1"/>
  <c r="K29" i="16" s="1"/>
  <c r="AB7" i="9"/>
  <c r="AC7" i="9" s="1"/>
  <c r="T4" i="9"/>
  <c r="AD4" i="9" s="1"/>
  <c r="I11" i="14"/>
  <c r="K10" i="14"/>
  <c r="U11" i="14"/>
  <c r="W10" i="14"/>
  <c r="G7" i="19"/>
  <c r="F11" i="19"/>
  <c r="BG5" i="9"/>
  <c r="BH5" i="9" s="1"/>
  <c r="O13" i="9"/>
  <c r="BB5" i="9"/>
  <c r="BC5" i="9" s="1"/>
  <c r="BG6" i="9"/>
  <c r="BF7" i="9"/>
  <c r="BF8" i="9" s="1"/>
  <c r="BA7" i="9"/>
  <c r="AD6" i="9"/>
  <c r="U6" i="9"/>
  <c r="AX5" i="9"/>
  <c r="AE5" i="9"/>
  <c r="AI5" i="9" s="1"/>
  <c r="AH5" i="9"/>
  <c r="AL5" i="9" s="1"/>
  <c r="C13" i="2"/>
  <c r="W12" i="9" s="1"/>
  <c r="Z12" i="9" s="1"/>
  <c r="U4" i="9" l="1"/>
  <c r="L29" i="16"/>
  <c r="M29" i="16" s="1"/>
  <c r="N29" i="16" s="1"/>
  <c r="BG8" i="9"/>
  <c r="BF9" i="9"/>
  <c r="BA8" i="9"/>
  <c r="BB7" i="9"/>
  <c r="AV7" i="9"/>
  <c r="AW8" i="9" s="1"/>
  <c r="I12" i="14"/>
  <c r="K11" i="14"/>
  <c r="AA12" i="14"/>
  <c r="AC11" i="14"/>
  <c r="X12" i="14"/>
  <c r="Z11" i="14"/>
  <c r="I30" i="16"/>
  <c r="J30" i="16" s="1"/>
  <c r="K30" i="16" s="1"/>
  <c r="AB8" i="9"/>
  <c r="AC8" i="9" s="1"/>
  <c r="S8" i="9"/>
  <c r="U12" i="14"/>
  <c r="W11" i="14"/>
  <c r="L12" i="14"/>
  <c r="N11" i="14"/>
  <c r="O12" i="14"/>
  <c r="Q11" i="14"/>
  <c r="D10" i="14"/>
  <c r="Q10" i="9" s="1"/>
  <c r="I31" i="16"/>
  <c r="J31" i="16" s="1"/>
  <c r="K31" i="16" s="1"/>
  <c r="AB9" i="9"/>
  <c r="AC9" i="9" s="1"/>
  <c r="S9" i="9"/>
  <c r="F12" i="19"/>
  <c r="AJ5" i="9"/>
  <c r="AK5" i="9"/>
  <c r="BH6" i="9"/>
  <c r="BC6" i="9"/>
  <c r="AW9" i="9"/>
  <c r="BG7" i="9"/>
  <c r="AD7" i="9"/>
  <c r="U7" i="9"/>
  <c r="AE6" i="9"/>
  <c r="AI6" i="9" s="1"/>
  <c r="AH6" i="9"/>
  <c r="AL6" i="9" s="1"/>
  <c r="AE4" i="9"/>
  <c r="AI4" i="9" s="1"/>
  <c r="AH4" i="9"/>
  <c r="AL4" i="9" s="1"/>
  <c r="C14" i="2"/>
  <c r="W13" i="9" s="1"/>
  <c r="Z13" i="9" s="1"/>
  <c r="AW7" i="9" l="1"/>
  <c r="BG9" i="9"/>
  <c r="BF10" i="9"/>
  <c r="BA9" i="9"/>
  <c r="BB8" i="9"/>
  <c r="BC8" i="9" s="1"/>
  <c r="AW10" i="9"/>
  <c r="AX11" i="9" s="1"/>
  <c r="AW12" i="9"/>
  <c r="AV13" i="9"/>
  <c r="AW13" i="9" s="1"/>
  <c r="AX13" i="9" s="1"/>
  <c r="AA13" i="14"/>
  <c r="AC12" i="14"/>
  <c r="T9" i="9"/>
  <c r="G9" i="19"/>
  <c r="L31" i="16"/>
  <c r="M31" i="16" s="1"/>
  <c r="N31" i="16" s="1"/>
  <c r="F32" i="16"/>
  <c r="G32" i="16" s="1"/>
  <c r="H32" i="16" s="1"/>
  <c r="R10" i="9"/>
  <c r="L13" i="14"/>
  <c r="N12" i="14"/>
  <c r="G8" i="19"/>
  <c r="T8" i="9"/>
  <c r="L30" i="16"/>
  <c r="M30" i="16" s="1"/>
  <c r="N30" i="16" s="1"/>
  <c r="D11" i="14"/>
  <c r="Q11" i="9" s="1"/>
  <c r="X13" i="14"/>
  <c r="Z12" i="14"/>
  <c r="I13" i="14"/>
  <c r="K12" i="14"/>
  <c r="O13" i="14"/>
  <c r="Q12" i="14"/>
  <c r="U13" i="14"/>
  <c r="W12" i="14"/>
  <c r="F13" i="19"/>
  <c r="AJ4" i="9"/>
  <c r="AK4" i="9"/>
  <c r="AJ6" i="9"/>
  <c r="AK6" i="9"/>
  <c r="BH9" i="9"/>
  <c r="BH8" i="9"/>
  <c r="AX9" i="9"/>
  <c r="AX8" i="9"/>
  <c r="BH7" i="9"/>
  <c r="AX7" i="9"/>
  <c r="AX10" i="9"/>
  <c r="BC7" i="9"/>
  <c r="AM5" i="9"/>
  <c r="AS5" i="9" s="1"/>
  <c r="BE5" i="9" s="1"/>
  <c r="AH7" i="9"/>
  <c r="AL7" i="9" s="1"/>
  <c r="AE7" i="9"/>
  <c r="AI7" i="9" s="1"/>
  <c r="C15" i="2"/>
  <c r="W14" i="9" s="1"/>
  <c r="Z14" i="9" s="1"/>
  <c r="AX12" i="9" l="1"/>
  <c r="BF11" i="9"/>
  <c r="BG10" i="9"/>
  <c r="BH10" i="9" s="1"/>
  <c r="BA10" i="9"/>
  <c r="BB9" i="9"/>
  <c r="BC9" i="9" s="1"/>
  <c r="AU5" i="9"/>
  <c r="AZ5" i="9"/>
  <c r="O14" i="14"/>
  <c r="Q14" i="14" s="1"/>
  <c r="Q13" i="14"/>
  <c r="X14" i="14"/>
  <c r="Z14" i="14" s="1"/>
  <c r="Z13" i="14"/>
  <c r="I32" i="16"/>
  <c r="J32" i="16" s="1"/>
  <c r="K32" i="16" s="1"/>
  <c r="AB10" i="9"/>
  <c r="AC10" i="9" s="1"/>
  <c r="S10" i="9"/>
  <c r="U9" i="9"/>
  <c r="AD9" i="9"/>
  <c r="D12" i="14"/>
  <c r="Q12" i="9" s="1"/>
  <c r="F33" i="16"/>
  <c r="G33" i="16" s="1"/>
  <c r="H33" i="16" s="1"/>
  <c r="R11" i="9"/>
  <c r="U14" i="14"/>
  <c r="W14" i="14" s="1"/>
  <c r="W13" i="14"/>
  <c r="I14" i="14"/>
  <c r="K14" i="14" s="1"/>
  <c r="K13" i="14"/>
  <c r="L14" i="14"/>
  <c r="N14" i="14" s="1"/>
  <c r="N13" i="14"/>
  <c r="AA14" i="14"/>
  <c r="AC14" i="14" s="1"/>
  <c r="AC13" i="14"/>
  <c r="U8" i="9"/>
  <c r="AD8" i="9"/>
  <c r="F14" i="19"/>
  <c r="D18" i="17" a="1"/>
  <c r="AJ7" i="9"/>
  <c r="AK7" i="9"/>
  <c r="AN5" i="9"/>
  <c r="CC5" i="9" s="1"/>
  <c r="AM4" i="9"/>
  <c r="AS4" i="9" s="1"/>
  <c r="BE4" i="9" s="1"/>
  <c r="AM6" i="9"/>
  <c r="H21" i="4"/>
  <c r="F21" i="4" s="1"/>
  <c r="G21" i="4" s="1"/>
  <c r="BU5" i="9" l="1"/>
  <c r="BY5" i="9"/>
  <c r="BF12" i="9"/>
  <c r="BG11" i="9"/>
  <c r="BH11" i="9" s="1"/>
  <c r="BA11" i="9"/>
  <c r="BB10" i="9"/>
  <c r="AU4" i="9"/>
  <c r="AZ4" i="9"/>
  <c r="D14" i="14"/>
  <c r="Q14" i="9" s="1"/>
  <c r="L32" i="16"/>
  <c r="M32" i="16" s="1"/>
  <c r="N32" i="16" s="1"/>
  <c r="G10" i="19"/>
  <c r="T10" i="9"/>
  <c r="AH8" i="9"/>
  <c r="AE8" i="9"/>
  <c r="AI8" i="9" s="1"/>
  <c r="F34" i="16"/>
  <c r="G34" i="16" s="1"/>
  <c r="H34" i="16" s="1"/>
  <c r="R12" i="9"/>
  <c r="AH9" i="9"/>
  <c r="AE9" i="9"/>
  <c r="AI9" i="9" s="1"/>
  <c r="D13" i="14"/>
  <c r="Q13" i="9" s="1"/>
  <c r="I33" i="16"/>
  <c r="J33" i="16" s="1"/>
  <c r="K33" i="16" s="1"/>
  <c r="AB11" i="9"/>
  <c r="AC11" i="9" s="1"/>
  <c r="S11" i="9"/>
  <c r="E5" i="19"/>
  <c r="D5" i="19" s="1"/>
  <c r="D18" i="17"/>
  <c r="K18" i="17"/>
  <c r="I18" i="17"/>
  <c r="N18" i="17"/>
  <c r="G18" i="17"/>
  <c r="E18" i="17"/>
  <c r="F18" i="17"/>
  <c r="H18" i="17"/>
  <c r="J18" i="17"/>
  <c r="L18" i="17"/>
  <c r="M18" i="17"/>
  <c r="AR5" i="9"/>
  <c r="AQ5" i="9"/>
  <c r="AO5" i="9"/>
  <c r="AP5" i="9"/>
  <c r="AN4" i="9"/>
  <c r="AM7" i="9"/>
  <c r="AS7" i="9" s="1"/>
  <c r="AS6" i="9"/>
  <c r="BE6" i="9" s="1"/>
  <c r="AN6" i="9"/>
  <c r="BY4" i="9" l="1"/>
  <c r="CC4" i="9"/>
  <c r="CD4" i="9" s="1"/>
  <c r="CD5" i="9" s="1"/>
  <c r="CE5" i="9" s="1"/>
  <c r="CF5" i="9" s="1"/>
  <c r="BY6" i="9"/>
  <c r="CC6" i="9"/>
  <c r="BU4" i="9"/>
  <c r="BU6" i="9"/>
  <c r="BQ5" i="9"/>
  <c r="BM5" i="9"/>
  <c r="E6" i="19"/>
  <c r="D6" i="19" s="1"/>
  <c r="BI5" i="9"/>
  <c r="AZ7" i="9"/>
  <c r="BE7" i="9"/>
  <c r="BG12" i="9"/>
  <c r="BH12" i="9" s="1"/>
  <c r="BF13" i="9"/>
  <c r="BG13" i="9" s="1"/>
  <c r="BH13" i="9" s="1"/>
  <c r="BC10" i="9"/>
  <c r="BA12" i="9"/>
  <c r="BB11" i="9"/>
  <c r="BC11" i="9" s="1"/>
  <c r="AU6" i="9"/>
  <c r="AZ6" i="9"/>
  <c r="AU7" i="9"/>
  <c r="I34" i="16"/>
  <c r="J34" i="16" s="1"/>
  <c r="K34" i="16" s="1"/>
  <c r="AB12" i="9"/>
  <c r="AC12" i="9" s="1"/>
  <c r="S12" i="9"/>
  <c r="U10" i="9"/>
  <c r="AD10" i="9"/>
  <c r="T11" i="9"/>
  <c r="G11" i="19"/>
  <c r="L33" i="16"/>
  <c r="M33" i="16" s="1"/>
  <c r="N33" i="16" s="1"/>
  <c r="F35" i="16"/>
  <c r="G35" i="16" s="1"/>
  <c r="H35" i="16" s="1"/>
  <c r="R13" i="9"/>
  <c r="AL9" i="9"/>
  <c r="AJ9" i="9"/>
  <c r="AK9" i="9"/>
  <c r="AK8" i="9"/>
  <c r="AL8" i="9"/>
  <c r="AJ8" i="9"/>
  <c r="F36" i="16"/>
  <c r="G36" i="16" s="1"/>
  <c r="H36" i="16" s="1"/>
  <c r="R14" i="9"/>
  <c r="D16" i="17" a="1"/>
  <c r="E4" i="19"/>
  <c r="D4" i="19" s="1"/>
  <c r="BZ4" i="9"/>
  <c r="BZ5" i="9" s="1"/>
  <c r="CA5" i="9" s="1"/>
  <c r="CB5" i="9" s="1"/>
  <c r="AR4" i="9"/>
  <c r="AQ4" i="9"/>
  <c r="BV4" i="9"/>
  <c r="BV5" i="9" s="1"/>
  <c r="BW5" i="9" s="1"/>
  <c r="BX5" i="9" s="1"/>
  <c r="AO4" i="9"/>
  <c r="AN7" i="9"/>
  <c r="CC7" i="9" s="1"/>
  <c r="AP6" i="9"/>
  <c r="AR6" i="9"/>
  <c r="AQ6" i="9"/>
  <c r="AO6" i="9"/>
  <c r="BU7" i="9" l="1"/>
  <c r="BY7" i="9"/>
  <c r="BQ6" i="9"/>
  <c r="BM6" i="9"/>
  <c r="BQ4" i="9"/>
  <c r="BM4" i="9"/>
  <c r="BN4" i="9" s="1"/>
  <c r="BN5" i="9" s="1"/>
  <c r="BI6" i="9"/>
  <c r="BI4" i="9"/>
  <c r="BJ4" i="9" s="1"/>
  <c r="BJ5" i="9" s="1"/>
  <c r="BK5" i="9" s="1"/>
  <c r="BL5" i="9" s="1"/>
  <c r="BR4" i="9"/>
  <c r="BR5" i="9" s="1"/>
  <c r="BS5" i="9" s="1"/>
  <c r="BT5" i="9" s="1"/>
  <c r="CD6" i="9"/>
  <c r="CE6" i="9" s="1"/>
  <c r="BB12" i="9"/>
  <c r="BC12" i="9" s="1"/>
  <c r="BA13" i="9"/>
  <c r="BB13" i="9" s="1"/>
  <c r="BC13" i="9" s="1"/>
  <c r="BZ6" i="9"/>
  <c r="CA6" i="9" s="1"/>
  <c r="CB6" i="9" s="1"/>
  <c r="AM9" i="9"/>
  <c r="AS9" i="9" s="1"/>
  <c r="I36" i="16"/>
  <c r="J36" i="16" s="1"/>
  <c r="K36" i="16" s="1"/>
  <c r="AB14" i="9"/>
  <c r="AC14" i="9" s="1"/>
  <c r="T12" i="9"/>
  <c r="L34" i="16"/>
  <c r="M34" i="16" s="1"/>
  <c r="N34" i="16" s="1"/>
  <c r="G12" i="19"/>
  <c r="I35" i="16"/>
  <c r="J35" i="16" s="1"/>
  <c r="K35" i="16" s="1"/>
  <c r="AB13" i="9"/>
  <c r="AC13" i="9" s="1"/>
  <c r="S13" i="9"/>
  <c r="U11" i="9"/>
  <c r="AD11" i="9"/>
  <c r="D16" i="17"/>
  <c r="N16" i="17"/>
  <c r="I16" i="17"/>
  <c r="H16" i="17"/>
  <c r="J16" i="17"/>
  <c r="E16" i="17"/>
  <c r="F16" i="17"/>
  <c r="K16" i="17"/>
  <c r="G16" i="17"/>
  <c r="M16" i="17"/>
  <c r="L16" i="17"/>
  <c r="AM8" i="9"/>
  <c r="AE10" i="9"/>
  <c r="AI10" i="9" s="1"/>
  <c r="AH10" i="9"/>
  <c r="BV6" i="9"/>
  <c r="BW6" i="9" s="1"/>
  <c r="AR7" i="9"/>
  <c r="E7" i="19"/>
  <c r="D7" i="19" s="1"/>
  <c r="C7" i="19" s="1"/>
  <c r="AO7" i="9"/>
  <c r="D21" i="4"/>
  <c r="C14" i="9" s="1"/>
  <c r="AP7" i="9"/>
  <c r="AQ7" i="9"/>
  <c r="BQ7" i="9" l="1"/>
  <c r="BM7" i="9"/>
  <c r="CD7" i="9"/>
  <c r="CE7" i="9" s="1"/>
  <c r="BR6" i="9"/>
  <c r="BS6" i="9" s="1"/>
  <c r="BT6" i="9" s="1"/>
  <c r="BO5" i="9"/>
  <c r="BP5" i="9" s="1"/>
  <c r="BN6" i="9"/>
  <c r="BI7" i="9"/>
  <c r="AZ9" i="9"/>
  <c r="BE9" i="9"/>
  <c r="BZ7" i="9"/>
  <c r="CA7" i="9" s="1"/>
  <c r="AU9" i="9"/>
  <c r="AN9" i="9"/>
  <c r="AL10" i="9"/>
  <c r="AJ10" i="9"/>
  <c r="AK10" i="9"/>
  <c r="T13" i="9"/>
  <c r="G13" i="19"/>
  <c r="L35" i="16"/>
  <c r="M35" i="16" s="1"/>
  <c r="N35" i="16" s="1"/>
  <c r="AS8" i="9"/>
  <c r="BE8" i="9" s="1"/>
  <c r="AN8" i="9"/>
  <c r="CC8" i="9" s="1"/>
  <c r="AE11" i="9"/>
  <c r="AI11" i="9" s="1"/>
  <c r="AH11" i="9"/>
  <c r="U12" i="9"/>
  <c r="AD12" i="9"/>
  <c r="D19" i="17" a="1"/>
  <c r="BV7" i="9"/>
  <c r="BW7" i="9" s="1"/>
  <c r="BJ6" i="9"/>
  <c r="BK6" i="9" s="1"/>
  <c r="CB7" i="9"/>
  <c r="D14" i="9"/>
  <c r="G14" i="9"/>
  <c r="BD15" i="9"/>
  <c r="E14" i="9"/>
  <c r="AT15" i="9"/>
  <c r="F14" i="9"/>
  <c r="CF6" i="9"/>
  <c r="BN7" i="9"/>
  <c r="BO6" i="9"/>
  <c r="AY15" i="9"/>
  <c r="BX6" i="9"/>
  <c r="CD8" i="9" l="1"/>
  <c r="CE8" i="9" s="1"/>
  <c r="BY9" i="9"/>
  <c r="CC9" i="9"/>
  <c r="BU8" i="9"/>
  <c r="BV8" i="9" s="1"/>
  <c r="BW8" i="9" s="1"/>
  <c r="BX8" i="9" s="1"/>
  <c r="BY8" i="9"/>
  <c r="BZ8" i="9" s="1"/>
  <c r="BU9" i="9"/>
  <c r="AR9" i="9"/>
  <c r="BR7" i="9"/>
  <c r="BS7" i="9" s="1"/>
  <c r="BT7" i="9" s="1"/>
  <c r="AO9" i="9"/>
  <c r="AQ9" i="9"/>
  <c r="E9" i="19"/>
  <c r="D9" i="19" s="1"/>
  <c r="C9" i="19" s="1"/>
  <c r="AP9" i="9"/>
  <c r="AU8" i="9"/>
  <c r="AZ8" i="9"/>
  <c r="AJ11" i="9"/>
  <c r="AK11" i="9"/>
  <c r="AL11" i="9"/>
  <c r="D19" i="17"/>
  <c r="M19" i="17"/>
  <c r="J19" i="17"/>
  <c r="I19" i="17"/>
  <c r="G19" i="17"/>
  <c r="F19" i="17"/>
  <c r="K19" i="17"/>
  <c r="N19" i="17"/>
  <c r="L19" i="17"/>
  <c r="E19" i="17"/>
  <c r="H19" i="17"/>
  <c r="AM10" i="9"/>
  <c r="BJ7" i="9"/>
  <c r="AE12" i="9"/>
  <c r="AI12" i="9" s="1"/>
  <c r="AH12" i="9"/>
  <c r="E8" i="19"/>
  <c r="D8" i="19" s="1"/>
  <c r="C8" i="19" s="1"/>
  <c r="AP8" i="9"/>
  <c r="AO8" i="9"/>
  <c r="AQ8" i="9"/>
  <c r="AR8" i="9"/>
  <c r="U13" i="9"/>
  <c r="AD13" i="9"/>
  <c r="CF8" i="9"/>
  <c r="CF7" i="9"/>
  <c r="H14" i="9"/>
  <c r="I14" i="9" s="1"/>
  <c r="M14" i="9" s="1"/>
  <c r="BP6" i="9"/>
  <c r="BL6" i="9"/>
  <c r="BX7" i="9"/>
  <c r="BO7" i="9"/>
  <c r="CD9" i="9" l="1"/>
  <c r="CE9" i="9" s="1"/>
  <c r="CF9" i="9" s="1"/>
  <c r="BZ9" i="9"/>
  <c r="CA9" i="9" s="1"/>
  <c r="CB9" i="9" s="1"/>
  <c r="CA8" i="9"/>
  <c r="CB8" i="9" s="1"/>
  <c r="BV9" i="9"/>
  <c r="BW9" i="9" s="1"/>
  <c r="BX9" i="9" s="1"/>
  <c r="BQ8" i="9"/>
  <c r="BR8" i="9" s="1"/>
  <c r="BS8" i="9" s="1"/>
  <c r="BT8" i="9" s="1"/>
  <c r="BM8" i="9"/>
  <c r="BN8" i="9" s="1"/>
  <c r="BO8" i="9" s="1"/>
  <c r="BP8" i="9" s="1"/>
  <c r="BQ9" i="9"/>
  <c r="BM9" i="9"/>
  <c r="BI9" i="9"/>
  <c r="BI8" i="9"/>
  <c r="BJ8" i="9" s="1"/>
  <c r="BK8" i="9" s="1"/>
  <c r="BK7" i="9"/>
  <c r="BL7" i="9" s="1"/>
  <c r="AM11" i="9"/>
  <c r="AH13" i="9"/>
  <c r="AE13" i="9"/>
  <c r="AI13" i="9" s="1"/>
  <c r="AS10" i="9"/>
  <c r="BE10" i="9" s="1"/>
  <c r="AN10" i="9"/>
  <c r="CC10" i="9" s="1"/>
  <c r="AK12" i="9"/>
  <c r="AL12" i="9"/>
  <c r="AJ12" i="9"/>
  <c r="BP7" i="9"/>
  <c r="L14" i="9"/>
  <c r="K14" i="9"/>
  <c r="CD10" i="9" l="1"/>
  <c r="CE10" i="9" s="1"/>
  <c r="CF10" i="9" s="1"/>
  <c r="BU10" i="9"/>
  <c r="BV10" i="9" s="1"/>
  <c r="BW10" i="9" s="1"/>
  <c r="BX10" i="9" s="1"/>
  <c r="BY10" i="9"/>
  <c r="BZ10" i="9" s="1"/>
  <c r="CA10" i="9" s="1"/>
  <c r="BR9" i="9"/>
  <c r="BS9" i="9" s="1"/>
  <c r="BT9" i="9" s="1"/>
  <c r="BL8" i="9"/>
  <c r="BN9" i="9"/>
  <c r="BO9" i="9" s="1"/>
  <c r="BP9" i="9" s="1"/>
  <c r="BJ9" i="9"/>
  <c r="BK9" i="9" s="1"/>
  <c r="BL9" i="9" s="1"/>
  <c r="AU10" i="9"/>
  <c r="AZ10" i="9"/>
  <c r="AS11" i="9"/>
  <c r="BE11" i="9" s="1"/>
  <c r="AN11" i="9"/>
  <c r="CC11" i="9" s="1"/>
  <c r="CD11" i="9" s="1"/>
  <c r="CE11" i="9" s="1"/>
  <c r="CF11" i="9" s="1"/>
  <c r="AL13" i="9"/>
  <c r="AK13" i="9"/>
  <c r="AJ13" i="9"/>
  <c r="E10" i="19"/>
  <c r="D10" i="19" s="1"/>
  <c r="C10" i="19" s="1"/>
  <c r="AP10" i="9"/>
  <c r="AQ10" i="9"/>
  <c r="AO10" i="9"/>
  <c r="AR10" i="9"/>
  <c r="AM12" i="9"/>
  <c r="O14" i="9"/>
  <c r="CB10" i="9" l="1"/>
  <c r="BU11" i="9"/>
  <c r="BY11" i="9"/>
  <c r="BZ11" i="9" s="1"/>
  <c r="CA11" i="9" s="1"/>
  <c r="CB11" i="9" s="1"/>
  <c r="BQ10" i="9"/>
  <c r="BR10" i="9" s="1"/>
  <c r="BS10" i="9" s="1"/>
  <c r="BM10" i="9"/>
  <c r="BN10" i="9" s="1"/>
  <c r="BO10" i="9" s="1"/>
  <c r="BP10" i="9" s="1"/>
  <c r="BV11" i="9"/>
  <c r="BW11" i="9" s="1"/>
  <c r="BX11" i="9" s="1"/>
  <c r="BI10" i="9"/>
  <c r="BJ10" i="9" s="1"/>
  <c r="BK10" i="9" s="1"/>
  <c r="BL10" i="9" s="1"/>
  <c r="BA14" i="9"/>
  <c r="BB14" i="9" s="1"/>
  <c r="BC14" i="9" s="1"/>
  <c r="F15" i="16" s="1"/>
  <c r="BF14" i="9"/>
  <c r="BG14" i="9" s="1"/>
  <c r="BH14" i="9" s="1"/>
  <c r="H15" i="16" s="1"/>
  <c r="AU11" i="9"/>
  <c r="AZ11" i="9"/>
  <c r="AM13" i="9"/>
  <c r="AQ11" i="9"/>
  <c r="AR11" i="9"/>
  <c r="AO11" i="9"/>
  <c r="AP11" i="9"/>
  <c r="E11" i="19"/>
  <c r="D11" i="19" s="1"/>
  <c r="C11" i="19" s="1"/>
  <c r="AS12" i="9"/>
  <c r="BE12" i="9" s="1"/>
  <c r="AN12" i="9"/>
  <c r="CC12" i="9" s="1"/>
  <c r="CD12" i="9" s="1"/>
  <c r="CE12" i="9" s="1"/>
  <c r="CF12" i="9" s="1"/>
  <c r="D14" i="17" a="1"/>
  <c r="H4" i="16"/>
  <c r="F4" i="16"/>
  <c r="AV14" i="9"/>
  <c r="AW14" i="9" s="1"/>
  <c r="AX14" i="9" s="1"/>
  <c r="D15" i="16" s="1"/>
  <c r="D4" i="16"/>
  <c r="S14" i="9"/>
  <c r="BU12" i="9" l="1"/>
  <c r="BY12" i="9"/>
  <c r="BZ12" i="9" s="1"/>
  <c r="CA12" i="9" s="1"/>
  <c r="CB12" i="9" s="1"/>
  <c r="BQ11" i="9"/>
  <c r="BR11" i="9" s="1"/>
  <c r="BS11" i="9" s="1"/>
  <c r="BT11" i="9" s="1"/>
  <c r="BM11" i="9"/>
  <c r="BN11" i="9" s="1"/>
  <c r="BO11" i="9" s="1"/>
  <c r="BP11" i="9" s="1"/>
  <c r="BV12" i="9"/>
  <c r="BW12" i="9" s="1"/>
  <c r="BX12" i="9" s="1"/>
  <c r="BT10" i="9"/>
  <c r="BI11" i="9"/>
  <c r="BJ11" i="9" s="1"/>
  <c r="BK11" i="9" s="1"/>
  <c r="BL11" i="9" s="1"/>
  <c r="AU12" i="9"/>
  <c r="AZ12" i="9"/>
  <c r="AS13" i="9"/>
  <c r="BE13" i="9" s="1"/>
  <c r="AN13" i="9"/>
  <c r="CC13" i="9" s="1"/>
  <c r="CD13" i="9" s="1"/>
  <c r="CE13" i="9" s="1"/>
  <c r="E12" i="19"/>
  <c r="D12" i="19" s="1"/>
  <c r="C12" i="19" s="1"/>
  <c r="AO12" i="9"/>
  <c r="AR12" i="9"/>
  <c r="AQ12" i="9"/>
  <c r="AP12" i="9"/>
  <c r="T14" i="9"/>
  <c r="U14" i="9" s="1"/>
  <c r="G14" i="19"/>
  <c r="L36" i="16"/>
  <c r="M36" i="16" s="1"/>
  <c r="N36" i="16" s="1"/>
  <c r="G15" i="16"/>
  <c r="F16" i="16"/>
  <c r="I15" i="16"/>
  <c r="H16" i="16"/>
  <c r="D14" i="17"/>
  <c r="D13" i="17" s="1"/>
  <c r="D17" i="17" s="1"/>
  <c r="D20" i="17" s="1"/>
  <c r="D22" i="17" s="1"/>
  <c r="N14" i="17"/>
  <c r="N13" i="17" s="1"/>
  <c r="N17" i="17" s="1"/>
  <c r="N20" i="17" s="1"/>
  <c r="N22" i="17" s="1"/>
  <c r="G14" i="17"/>
  <c r="G13" i="17" s="1"/>
  <c r="G17" i="17" s="1"/>
  <c r="G20" i="17" s="1"/>
  <c r="G22" i="17" s="1"/>
  <c r="L14" i="17"/>
  <c r="L13" i="17" s="1"/>
  <c r="L17" i="17" s="1"/>
  <c r="L20" i="17" s="1"/>
  <c r="L22" i="17" s="1"/>
  <c r="J14" i="17"/>
  <c r="J13" i="17" s="1"/>
  <c r="J17" i="17" s="1"/>
  <c r="J20" i="17" s="1"/>
  <c r="J22" i="17" s="1"/>
  <c r="M14" i="17"/>
  <c r="M13" i="17" s="1"/>
  <c r="M17" i="17" s="1"/>
  <c r="M20" i="17" s="1"/>
  <c r="M22" i="17" s="1"/>
  <c r="H14" i="17"/>
  <c r="H13" i="17" s="1"/>
  <c r="H17" i="17" s="1"/>
  <c r="H20" i="17" s="1"/>
  <c r="H22" i="17" s="1"/>
  <c r="E14" i="17"/>
  <c r="E13" i="17" s="1"/>
  <c r="E17" i="17" s="1"/>
  <c r="E20" i="17" s="1"/>
  <c r="E22" i="17" s="1"/>
  <c r="F14" i="17"/>
  <c r="F13" i="17" s="1"/>
  <c r="F17" i="17" s="1"/>
  <c r="F20" i="17" s="1"/>
  <c r="F22" i="17" s="1"/>
  <c r="I14" i="17"/>
  <c r="I13" i="17" s="1"/>
  <c r="I17" i="17" s="1"/>
  <c r="I20" i="17" s="1"/>
  <c r="I22" i="17" s="1"/>
  <c r="K14" i="17"/>
  <c r="K13" i="17" s="1"/>
  <c r="K17" i="17" s="1"/>
  <c r="K20" i="17" s="1"/>
  <c r="K22" i="17" s="1"/>
  <c r="E15" i="16"/>
  <c r="D16" i="16"/>
  <c r="AD14" i="9"/>
  <c r="BU13" i="9" l="1"/>
  <c r="BY13" i="9"/>
  <c r="BZ13" i="9" s="1"/>
  <c r="CA13" i="9" s="1"/>
  <c r="BQ12" i="9"/>
  <c r="BM12" i="9"/>
  <c r="BN12" i="9" s="1"/>
  <c r="BO12" i="9" s="1"/>
  <c r="BP12" i="9" s="1"/>
  <c r="BV13" i="9"/>
  <c r="BW13" i="9" s="1"/>
  <c r="BX13" i="9" s="1"/>
  <c r="CB13" i="9"/>
  <c r="BR12" i="9"/>
  <c r="BS12" i="9" s="1"/>
  <c r="BT12" i="9" s="1"/>
  <c r="BI12" i="9"/>
  <c r="BJ12" i="9" s="1"/>
  <c r="BK12" i="9" s="1"/>
  <c r="BL12" i="9" s="1"/>
  <c r="AU13" i="9"/>
  <c r="AZ13" i="9"/>
  <c r="AQ13" i="9"/>
  <c r="CF13" i="9"/>
  <c r="AO13" i="9"/>
  <c r="AR13" i="9"/>
  <c r="E13" i="19"/>
  <c r="D13" i="19" s="1"/>
  <c r="C13" i="19" s="1"/>
  <c r="AP13" i="9"/>
  <c r="AH14" i="9"/>
  <c r="AL14" i="9" s="1"/>
  <c r="D26" i="17" s="1" a="1"/>
  <c r="AE14" i="9"/>
  <c r="AI14" i="9" s="1"/>
  <c r="BQ13" i="9" l="1"/>
  <c r="BM13" i="9"/>
  <c r="BN13" i="9" s="1"/>
  <c r="BO13" i="9" s="1"/>
  <c r="BP13" i="9" s="1"/>
  <c r="BI13" i="9"/>
  <c r="BJ13" i="9" s="1"/>
  <c r="BK13" i="9" s="1"/>
  <c r="BL13" i="9" s="1"/>
  <c r="D26" i="17"/>
  <c r="N26" i="17"/>
  <c r="G26" i="17"/>
  <c r="L26" i="17"/>
  <c r="K26" i="17"/>
  <c r="E26" i="17"/>
  <c r="J26" i="17"/>
  <c r="M26" i="17"/>
  <c r="H26" i="17"/>
  <c r="F26" i="17"/>
  <c r="I26" i="17"/>
  <c r="AJ14" i="9"/>
  <c r="D24" i="17" s="1" a="1"/>
  <c r="AK14" i="9"/>
  <c r="D25" i="17" s="1" a="1"/>
  <c r="BR13" i="9" l="1"/>
  <c r="D24" i="17"/>
  <c r="N24" i="17"/>
  <c r="G24" i="17"/>
  <c r="L24" i="17"/>
  <c r="J24" i="17"/>
  <c r="M24" i="17"/>
  <c r="H24" i="17"/>
  <c r="F24" i="17"/>
  <c r="I24" i="17"/>
  <c r="K24" i="17"/>
  <c r="E24" i="17"/>
  <c r="D25" i="17"/>
  <c r="F25" i="17"/>
  <c r="I25" i="17"/>
  <c r="K25" i="17"/>
  <c r="E25" i="17"/>
  <c r="N25" i="17"/>
  <c r="G25" i="17"/>
  <c r="L25" i="17"/>
  <c r="J25" i="17"/>
  <c r="M25" i="17"/>
  <c r="H25" i="17"/>
  <c r="AM14" i="9"/>
  <c r="AS14" i="9" s="1"/>
  <c r="BS13" i="9" l="1"/>
  <c r="BT13" i="9" s="1"/>
  <c r="AZ14" i="9"/>
  <c r="AZ15" i="9" s="1"/>
  <c r="AZ16" i="9" s="1"/>
  <c r="F8" i="16" s="1"/>
  <c r="BE14" i="9"/>
  <c r="BE15" i="9" s="1"/>
  <c r="BE16" i="9" s="1"/>
  <c r="H8" i="16" s="1"/>
  <c r="I8" i="16" s="1"/>
  <c r="AU14" i="9"/>
  <c r="AU15" i="9" s="1"/>
  <c r="AU16" i="9" s="1"/>
  <c r="D8" i="16" s="1"/>
  <c r="L23" i="17"/>
  <c r="L27" i="17" s="1"/>
  <c r="F23" i="17"/>
  <c r="F27" i="17" s="1"/>
  <c r="K23" i="17"/>
  <c r="K27" i="17" s="1"/>
  <c r="N23" i="17"/>
  <c r="N27" i="17" s="1"/>
  <c r="E23" i="17"/>
  <c r="E27" i="17" s="1"/>
  <c r="H23" i="17"/>
  <c r="H27" i="17" s="1"/>
  <c r="G23" i="17"/>
  <c r="G27" i="17" s="1"/>
  <c r="M23" i="17"/>
  <c r="M27" i="17" s="1"/>
  <c r="I23" i="17"/>
  <c r="I27" i="17" s="1"/>
  <c r="J23" i="17"/>
  <c r="J27" i="17" s="1"/>
  <c r="D23" i="17"/>
  <c r="D27" i="17" s="1"/>
  <c r="AN14" i="9"/>
  <c r="CC14" i="9" s="1"/>
  <c r="CD14" i="9" s="1"/>
  <c r="CE14" i="9" s="1"/>
  <c r="BU14" i="9" l="1"/>
  <c r="BV14" i="9" s="1"/>
  <c r="BW14" i="9" s="1"/>
  <c r="BX14" i="9" s="1"/>
  <c r="D19" i="16" s="1"/>
  <c r="BY14" i="9"/>
  <c r="BZ14" i="9" s="1"/>
  <c r="CA14" i="9" s="1"/>
  <c r="H9" i="16"/>
  <c r="I9" i="16" s="1"/>
  <c r="F28" i="17"/>
  <c r="G28" i="17" s="1"/>
  <c r="G8" i="16"/>
  <c r="F9" i="16"/>
  <c r="E14" i="19"/>
  <c r="D14" i="19" s="1"/>
  <c r="C14" i="19" s="1"/>
  <c r="F6" i="16"/>
  <c r="F11" i="16"/>
  <c r="H6" i="16"/>
  <c r="H11" i="16"/>
  <c r="AP14" i="9"/>
  <c r="D11" i="16"/>
  <c r="D6" i="16"/>
  <c r="E8" i="16"/>
  <c r="D9" i="16"/>
  <c r="AR14" i="9"/>
  <c r="CF14" i="9"/>
  <c r="H19" i="16" s="1"/>
  <c r="AO14" i="9"/>
  <c r="AQ14" i="9"/>
  <c r="CB14" i="9"/>
  <c r="F19" i="16" s="1"/>
  <c r="BQ14" i="9" l="1"/>
  <c r="BR14" i="9" s="1"/>
  <c r="BS14" i="9" s="1"/>
  <c r="BT14" i="9" s="1"/>
  <c r="H17" i="16" s="1"/>
  <c r="BM14" i="9"/>
  <c r="BN14" i="9" s="1"/>
  <c r="BO14" i="9" s="1"/>
  <c r="BP14" i="9" s="1"/>
  <c r="F17" i="16" s="1"/>
  <c r="BI14" i="9"/>
  <c r="BJ14" i="9" s="1"/>
  <c r="BK14" i="9" s="1"/>
  <c r="BL14" i="9" s="1"/>
  <c r="D17" i="16" s="1"/>
  <c r="H10" i="16"/>
  <c r="I10" i="16" s="1"/>
  <c r="H12" i="16"/>
  <c r="I12" i="16" s="1"/>
  <c r="E29" i="17" a="1"/>
  <c r="G19" i="16"/>
  <c r="F20" i="16"/>
  <c r="I19" i="16"/>
  <c r="H20" i="16"/>
  <c r="H7" i="16"/>
  <c r="I7" i="16" s="1"/>
  <c r="I6" i="16"/>
  <c r="G9" i="16"/>
  <c r="F12" i="16"/>
  <c r="F10" i="16"/>
  <c r="G10" i="16" s="1"/>
  <c r="I11" i="16"/>
  <c r="H13" i="16"/>
  <c r="I13" i="16" s="1"/>
  <c r="D5" i="16"/>
  <c r="H5" i="16"/>
  <c r="F5" i="16"/>
  <c r="F13" i="16"/>
  <c r="G13" i="16" s="1"/>
  <c r="G11" i="16"/>
  <c r="F7" i="16"/>
  <c r="G7" i="16" s="1"/>
  <c r="G6" i="16"/>
  <c r="H28" i="17"/>
  <c r="D7" i="16"/>
  <c r="E7" i="16" s="1"/>
  <c r="E6" i="16"/>
  <c r="D13" i="16"/>
  <c r="E13" i="16" s="1"/>
  <c r="E11" i="16"/>
  <c r="E19" i="16"/>
  <c r="D20" i="16"/>
  <c r="D10" i="16"/>
  <c r="E10" i="16" s="1"/>
  <c r="E9" i="16"/>
  <c r="D12" i="16"/>
  <c r="G17" i="16" l="1"/>
  <c r="F18" i="16"/>
  <c r="H14" i="16"/>
  <c r="I14" i="16" s="1"/>
  <c r="F29" i="17"/>
  <c r="F30" i="17" s="1"/>
  <c r="F31" i="17" s="1"/>
  <c r="M29" i="17"/>
  <c r="M30" i="17" s="1"/>
  <c r="L29" i="17"/>
  <c r="L30" i="17" s="1"/>
  <c r="N29" i="17"/>
  <c r="N30" i="17" s="1"/>
  <c r="K29" i="17"/>
  <c r="K30" i="17" s="1"/>
  <c r="G29" i="17"/>
  <c r="G30" i="17" s="1"/>
  <c r="G31" i="17" s="1"/>
  <c r="J29" i="17"/>
  <c r="J30" i="17" s="1"/>
  <c r="H29" i="17"/>
  <c r="H30" i="17" s="1"/>
  <c r="H31" i="17" s="1"/>
  <c r="E29" i="17"/>
  <c r="E30" i="17" s="1"/>
  <c r="E31" i="17" s="1"/>
  <c r="I29" i="17"/>
  <c r="I30" i="17" s="1"/>
  <c r="G12" i="16"/>
  <c r="F14" i="16"/>
  <c r="G14" i="16" s="1"/>
  <c r="H18" i="16"/>
  <c r="I17" i="16"/>
  <c r="I28" i="17"/>
  <c r="D18" i="16"/>
  <c r="E17" i="16"/>
  <c r="E12" i="16"/>
  <c r="D14" i="16"/>
  <c r="E14" i="16" s="1"/>
  <c r="J28" i="17" l="1"/>
  <c r="I31" i="17"/>
  <c r="K28" i="17" l="1"/>
  <c r="J31" i="17"/>
  <c r="L28" i="17" l="1"/>
  <c r="K31" i="17"/>
  <c r="M28" i="17" l="1"/>
  <c r="L31" i="17"/>
  <c r="N28" i="17" l="1"/>
  <c r="N31" i="17" s="1"/>
  <c r="M31" i="17"/>
  <c r="D32" i="17" l="1"/>
  <c r="D33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de Araújo Kalid</author>
  </authors>
  <commentList>
    <comment ref="D2" authorId="0" shapeId="0" xr:uid="{2807A2DE-6CE8-4465-9210-39B0E35A52C4}">
      <text>
        <r>
          <rPr>
            <b/>
            <sz val="9"/>
            <color indexed="81"/>
            <rFont val="Segoe UI"/>
            <family val="2"/>
          </rPr>
          <t>Ricardo de Araújo Kalid:</t>
        </r>
        <r>
          <rPr>
            <sz val="9"/>
            <color indexed="81"/>
            <rFont val="Segoe UI"/>
            <family val="2"/>
          </rPr>
          <t xml:space="preserve">
5 % da soma dos CFs especificados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de Araújo Kalid</author>
  </authors>
  <commentList>
    <comment ref="D2" authorId="0" shapeId="0" xr:uid="{8C78CC17-5DC2-40EF-8185-D5625B65AF62}">
      <text>
        <r>
          <rPr>
            <b/>
            <sz val="9"/>
            <color indexed="81"/>
            <rFont val="Segoe UI"/>
            <family val="2"/>
          </rPr>
          <t>Ricardo de Araújo Kalid:</t>
        </r>
        <r>
          <rPr>
            <sz val="9"/>
            <color indexed="81"/>
            <rFont val="Segoe UI"/>
            <family val="2"/>
          </rPr>
          <t xml:space="preserve">
5 % da soma da soma dos custos variáveis 
especificados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de Araújo Kalid</author>
  </authors>
  <commentList>
    <comment ref="V3" authorId="0" shapeId="0" xr:uid="{69781FB9-B331-4740-8828-FAD5760C88B7}">
      <text>
        <r>
          <rPr>
            <b/>
            <sz val="9"/>
            <color indexed="81"/>
            <rFont val="Segoe UI"/>
            <family val="2"/>
          </rPr>
          <t>Ricardo de Araújo Kalid:</t>
        </r>
        <r>
          <rPr>
            <sz val="9"/>
            <color indexed="81"/>
            <rFont val="Segoe UI"/>
            <family val="2"/>
          </rPr>
          <t xml:space="preserve">
Se a legislação permitir preencha essa coluna.</t>
        </r>
      </text>
    </comment>
    <comment ref="AA3" authorId="0" shapeId="0" xr:uid="{21A14C62-D793-4EFA-B3CE-C78FAF794D2F}">
      <text>
        <r>
          <rPr>
            <b/>
            <sz val="9"/>
            <color indexed="81"/>
            <rFont val="Segoe UI"/>
            <family val="2"/>
          </rPr>
          <t>Ricardo de Araújo Kalid:</t>
        </r>
        <r>
          <rPr>
            <sz val="9"/>
            <color indexed="81"/>
            <rFont val="Segoe UI"/>
            <family val="2"/>
          </rPr>
          <t xml:space="preserve">
Veja aba Empréstimos.</t>
        </r>
      </text>
    </comment>
    <comment ref="AG3" authorId="0" shapeId="0" xr:uid="{397F503F-8B26-41DE-86B3-766AB4456236}">
      <text>
        <r>
          <rPr>
            <b/>
            <sz val="9"/>
            <color indexed="81"/>
            <rFont val="Segoe UI"/>
            <family val="2"/>
          </rPr>
          <t>Ricardo de Araújo Kalid:</t>
        </r>
        <r>
          <rPr>
            <sz val="9"/>
            <color indexed="81"/>
            <rFont val="Segoe UI"/>
            <family val="2"/>
          </rPr>
          <t xml:space="preserve">
Veja aba Empréstimos.</t>
        </r>
      </text>
    </comment>
  </commentList>
</comments>
</file>

<file path=xl/sharedStrings.xml><?xml version="1.0" encoding="utf-8"?>
<sst xmlns="http://schemas.openxmlformats.org/spreadsheetml/2006/main" count="568" uniqueCount="395">
  <si>
    <t>Descrição dos Recursos</t>
  </si>
  <si>
    <t>Custo de aquisição</t>
  </si>
  <si>
    <t>Investimento</t>
  </si>
  <si>
    <t>Valor</t>
  </si>
  <si>
    <t>Serviços de terceiros</t>
  </si>
  <si>
    <t xml:space="preserve">Orientador </t>
  </si>
  <si>
    <t>Pessoas</t>
  </si>
  <si>
    <t>Equipamentos</t>
  </si>
  <si>
    <t>Software</t>
  </si>
  <si>
    <t>Total</t>
  </si>
  <si>
    <t>Quantidades de recursos</t>
  </si>
  <si>
    <t>Aluno de mestrando</t>
  </si>
  <si>
    <t>Desenvolvedor de software Pleno</t>
  </si>
  <si>
    <t xml:space="preserve">Desenvolvedor de software Sênior </t>
  </si>
  <si>
    <t>Desenvolvedor de software Junior</t>
  </si>
  <si>
    <t xml:space="preserve">Administrador </t>
  </si>
  <si>
    <t xml:space="preserve">Custo por horas </t>
  </si>
  <si>
    <t>Quantidade de horas semanais</t>
  </si>
  <si>
    <t>Gerente comercial</t>
  </si>
  <si>
    <t xml:space="preserve">Técnico de informatica </t>
  </si>
  <si>
    <t>Escritório (coworking salvador)</t>
  </si>
  <si>
    <t>Consultoria para Patente</t>
  </si>
  <si>
    <t>Infraestrutura de software (AWS)</t>
  </si>
  <si>
    <t>Coordenador de projetos</t>
  </si>
  <si>
    <t>Software livre - Python/ R</t>
  </si>
  <si>
    <t xml:space="preserve">Computador + acessorios </t>
  </si>
  <si>
    <t>Software livre - Project Libre</t>
  </si>
  <si>
    <t>Software livre - Libreoffice</t>
  </si>
  <si>
    <t>Software livre - Github/ Gitlab</t>
  </si>
  <si>
    <t>Base de dados - Capes</t>
  </si>
  <si>
    <t xml:space="preserve">Despesas fixas </t>
  </si>
  <si>
    <t>Período</t>
  </si>
  <si>
    <t>Depreciação dos bens de capital</t>
  </si>
  <si>
    <t>Depreciação dos bens de capital para 20 anos</t>
  </si>
  <si>
    <t>Depreciação dos bens de capital para 10 anos</t>
  </si>
  <si>
    <t>Depreciação dos bens de capital para 5 anos</t>
  </si>
  <si>
    <t>Investimento em bens de capital</t>
  </si>
  <si>
    <t>Investimento de bens de capital com 20 anos de depreciação</t>
  </si>
  <si>
    <t>Investimento de bens de capital com 10 anos de depreciação</t>
  </si>
  <si>
    <t>Investimento de bens de capital com 5 anos de depreciação</t>
  </si>
  <si>
    <t>Equipamentos de escritório</t>
  </si>
  <si>
    <t>Tempo de depreciação em períodos do fluxo de caixa:</t>
  </si>
  <si>
    <t>Período base (unidade de tempo básica)</t>
  </si>
  <si>
    <t>ano</t>
  </si>
  <si>
    <t>Unidade funcional (base de cálculo):</t>
  </si>
  <si>
    <t>Inflação</t>
  </si>
  <si>
    <t>Quantidade de períodos cobertos pelo capital de giro</t>
  </si>
  <si>
    <t>Impostos proporcionais federais ( IPI, PIS/CONFINS etc.)</t>
  </si>
  <si>
    <t>% sobre a receita total</t>
  </si>
  <si>
    <t>Impostos proporcionais estaduais (ICMS etc.)</t>
  </si>
  <si>
    <t>Impostos proporcionais municipais (ISS etc.)</t>
  </si>
  <si>
    <t>Investimento máximo em PD&amp;I (veja capital de giro)</t>
  </si>
  <si>
    <t>% da receita líquida</t>
  </si>
  <si>
    <t>Investimento máximo em marketing  (veja capital de giro)</t>
  </si>
  <si>
    <t>Outras despesas, por exemplo, causas trabalhistas, multas comerciais, troca de produtos etc.</t>
  </si>
  <si>
    <t>% do custo operacional</t>
  </si>
  <si>
    <t>Taxa de imposto de renda sobre o LAIR</t>
  </si>
  <si>
    <t>%</t>
  </si>
  <si>
    <t>Contribuição social sobre o LAIR</t>
  </si>
  <si>
    <t>Outras taxas ou impostos ou tributos sobre o LAIR</t>
  </si>
  <si>
    <t>Tempo de retorno mínimo</t>
  </si>
  <si>
    <t>Empréstimo para capital de giro (CG)</t>
  </si>
  <si>
    <t>R$</t>
  </si>
  <si>
    <t>Empréstimo para investimento em bens de capital</t>
  </si>
  <si>
    <t>Quantidade de períodos para quitar o empréstimo</t>
  </si>
  <si>
    <t>Período de carência para pagamento do juros do empréstimo</t>
  </si>
  <si>
    <t>Período de carência para pagamento do principal do empréstimo</t>
  </si>
  <si>
    <t>Taxa de juros, inclue a inflação</t>
  </si>
  <si>
    <t>Premissas assumidas.</t>
  </si>
  <si>
    <t>Tabela TMA: Taxas Mínimas de Atratividades para cenários diferentes.</t>
  </si>
  <si>
    <t>Menor TMA</t>
  </si>
  <si>
    <t>TMA intermediária</t>
  </si>
  <si>
    <t>Maior TMA</t>
  </si>
  <si>
    <t>TMA</t>
  </si>
  <si>
    <t>Cenário 1</t>
  </si>
  <si>
    <t>Cenário 2</t>
  </si>
  <si>
    <t>Cenário 3</t>
  </si>
  <si>
    <t>Receita Não Operacional</t>
  </si>
  <si>
    <t>Receita total sobre vendas</t>
  </si>
  <si>
    <t>Cenário escolhido:</t>
  </si>
  <si>
    <t>Sub-total / R$</t>
  </si>
  <si>
    <t>Tabela RB: receitas brutas ao longo do tempo.</t>
  </si>
  <si>
    <t>Valor unitário consumo por requisição de API</t>
  </si>
  <si>
    <t>Consumo da API</t>
  </si>
  <si>
    <t>Venda mensal / consumo</t>
  </si>
  <si>
    <t>Venda por período (ano)</t>
  </si>
  <si>
    <t>Item</t>
  </si>
  <si>
    <t>Produto ou serviço</t>
  </si>
  <si>
    <t>Observação</t>
  </si>
  <si>
    <t>Preço de venda</t>
  </si>
  <si>
    <t>API do modelo de desempenho do pneu</t>
  </si>
  <si>
    <t>custo por requisição da API</t>
  </si>
  <si>
    <t>Tabela PV: preços unitários de vendas dos serviço (base de cálculo)</t>
  </si>
  <si>
    <t>API</t>
  </si>
  <si>
    <t>de requisição gerada</t>
  </si>
  <si>
    <t>Cenários</t>
  </si>
  <si>
    <t>Computadores</t>
  </si>
  <si>
    <t>Consultoria para desenvolvimento do site da empresa</t>
  </si>
  <si>
    <t>Depreciação dos bens de capital para bens intangíveis.</t>
  </si>
  <si>
    <t>Tabela FCP: fluxo de caixa do projeto, as unidades monetárias estão em R$.</t>
  </si>
  <si>
    <t>RB = RV + RNO</t>
  </si>
  <si>
    <t>RNO</t>
  </si>
  <si>
    <t>RV = q . Pu</t>
  </si>
  <si>
    <t>Quantidade vendida / unidades</t>
  </si>
  <si>
    <t>q</t>
  </si>
  <si>
    <t>Pu</t>
  </si>
  <si>
    <t>Capital de giro disponível</t>
  </si>
  <si>
    <t>Capital de giro necessário, considerando  a reserva para depreciação e o lucro líquido positivo</t>
  </si>
  <si>
    <t>Diferença entre o capital de giro disponível e o necessário</t>
  </si>
  <si>
    <t>CGn = Emp.p-CGn</t>
  </si>
  <si>
    <t>Mínimo valor da diferença entre o empréstimo disponível e o capital de giro necessário</t>
  </si>
  <si>
    <t>O empréstimo para cobrir o capital de giro foi suficiente?</t>
  </si>
  <si>
    <t>Custos operacionais</t>
  </si>
  <si>
    <t>Tabela FCD:  fluxo de caixa descontado</t>
  </si>
  <si>
    <t>Siglas e equações:</t>
  </si>
  <si>
    <t>RV</t>
  </si>
  <si>
    <t>RB = RV</t>
  </si>
  <si>
    <t>IPF</t>
  </si>
  <si>
    <t>IPE</t>
  </si>
  <si>
    <t>IPM</t>
  </si>
  <si>
    <t>IPp = IPF + IPE + IPM</t>
  </si>
  <si>
    <t>RL = RT - IPt</t>
  </si>
  <si>
    <t>IBC</t>
  </si>
  <si>
    <t>PD&amp;I</t>
  </si>
  <si>
    <t>MKT</t>
  </si>
  <si>
    <t>IBE</t>
  </si>
  <si>
    <t>IBI</t>
  </si>
  <si>
    <t>IT = IBC + IBE + IBI + PD&amp;I + MKT</t>
  </si>
  <si>
    <t>CV</t>
  </si>
  <si>
    <t>CF</t>
  </si>
  <si>
    <t>CO = CV + CF</t>
  </si>
  <si>
    <t>CI = IT + CO</t>
  </si>
  <si>
    <t>LO = RL - CI</t>
  </si>
  <si>
    <t>LOsi = LO + IT</t>
  </si>
  <si>
    <t>DV</t>
  </si>
  <si>
    <t>DF</t>
  </si>
  <si>
    <t>EBT</t>
  </si>
  <si>
    <t>DBI</t>
  </si>
  <si>
    <t>Ds</t>
  </si>
  <si>
    <t>Emp</t>
  </si>
  <si>
    <t>OD</t>
  </si>
  <si>
    <t>SAD = Emp + OD</t>
  </si>
  <si>
    <t>LAJIR = LO - (DS+SAD)</t>
  </si>
  <si>
    <t>LAJIRsi = LAJIR + IT</t>
  </si>
  <si>
    <t>JE</t>
  </si>
  <si>
    <t>LAIR = LAJIR -JE</t>
  </si>
  <si>
    <t>LAIR = LAJIRsi -JE</t>
  </si>
  <si>
    <t>IR</t>
  </si>
  <si>
    <t>CS</t>
  </si>
  <si>
    <t>OT</t>
  </si>
  <si>
    <t>TT = IR+CS+OT</t>
  </si>
  <si>
    <t>LL = LAIR - TT</t>
  </si>
  <si>
    <t>LLsi = LL - IT</t>
  </si>
  <si>
    <r>
      <t>Lc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= LL / RV</t>
    </r>
  </si>
  <si>
    <t>DL = LL + SD</t>
  </si>
  <si>
    <t>LLsI</t>
  </si>
  <si>
    <t>CT = IPp + CI + SAD + JE + TT</t>
  </si>
  <si>
    <t>Receita com vendas</t>
  </si>
  <si>
    <t>Receita bruta ou receita total</t>
  </si>
  <si>
    <t>Impostos proporcionais federais em relação a receita bruta</t>
  </si>
  <si>
    <t>Impostos proporcionais estaduais em relação a receita bruta</t>
  </si>
  <si>
    <t>Impostos proporcionais municipais em relação a receita bruta</t>
  </si>
  <si>
    <t>Impostos proporcionais (ISS, ICMS, IPI, PIS, CONFINS etc.) total</t>
  </si>
  <si>
    <t>Receita líquida</t>
  </si>
  <si>
    <t>Investimento em PD&amp;I</t>
  </si>
  <si>
    <t>Investimento em bens exauríveis</t>
  </si>
  <si>
    <t>Investimento em bens intangíveis</t>
  </si>
  <si>
    <t>Investimento total</t>
  </si>
  <si>
    <t>Custo variável</t>
  </si>
  <si>
    <t>Custo fixo</t>
  </si>
  <si>
    <t>Custos e investimentos</t>
  </si>
  <si>
    <t>Lucro operacional ou LAJIRDA ou EBITDA</t>
  </si>
  <si>
    <t>Lucro operacional sem investimentos</t>
  </si>
  <si>
    <t>Depreciação variável</t>
  </si>
  <si>
    <t>Depreciação devido a exaustão de bens tangíveis</t>
  </si>
  <si>
    <t>Depreciação de bens intangíveis</t>
  </si>
  <si>
    <t>Depreciações (somatório)</t>
  </si>
  <si>
    <t>Amortização dos empréstimos (pagamento do principal)</t>
  </si>
  <si>
    <t>OD: outras despesas, por exemplo, causas trabalhistas, multas comerciais etc.</t>
  </si>
  <si>
    <t>Somatório da amortização (principal) de empréstimos e outros dedutíveis do IR</t>
  </si>
  <si>
    <t>LAJIR sem investimentos</t>
  </si>
  <si>
    <t>Receitas Não Operacionais</t>
  </si>
  <si>
    <t>Juros de empréstimos pagos a credores</t>
  </si>
  <si>
    <t>Lucro antes do imposto de renda e das contribuições sociais (LAIR)</t>
  </si>
  <si>
    <t>LAIR sem investimentos</t>
  </si>
  <si>
    <t>Imposto de renda,  % sobre o LAIR</t>
  </si>
  <si>
    <t>Contribuições sociais, % sobre o LAIR</t>
  </si>
  <si>
    <t>Total de impostos e taxas sobre o LAIR</t>
  </si>
  <si>
    <t>Lucro líquido</t>
  </si>
  <si>
    <t>LL sem investimentos</t>
  </si>
  <si>
    <t>Lucratividade por período: lucro líquido sobre receita das vendas</t>
  </si>
  <si>
    <t>Disponibilidade líquida</t>
  </si>
  <si>
    <t>Lucro líquido sem considerar o investimento</t>
  </si>
  <si>
    <t>Custo  total</t>
  </si>
  <si>
    <t>RBj cenário menor TMA</t>
  </si>
  <si>
    <t>COj cenário menor TMA</t>
  </si>
  <si>
    <t>RBj acumulado - Inv(CFo), menor TMA</t>
  </si>
  <si>
    <t>TR-RB menor TMA aux</t>
  </si>
  <si>
    <t>TR-RB menor TMA</t>
  </si>
  <si>
    <t>RBj cenário intermediário</t>
  </si>
  <si>
    <t>COj cenário intermediário</t>
  </si>
  <si>
    <t>RBj acumulado - Inv(CFo), intermediário</t>
  </si>
  <si>
    <t>TR-RB TMA intermediário aux</t>
  </si>
  <si>
    <t>TR-RB TMA intermediária</t>
  </si>
  <si>
    <t>RBj cenário maior TMA</t>
  </si>
  <si>
    <t>COj cenário maior TMA</t>
  </si>
  <si>
    <t>RBj acumulado - Inv(CFo), maior TMA</t>
  </si>
  <si>
    <t>TR-RB maior TMA aux</t>
  </si>
  <si>
    <t>TR-RB maior TMA</t>
  </si>
  <si>
    <t>DLj</t>
  </si>
  <si>
    <t>DLj acumulada</t>
  </si>
  <si>
    <t>TR-DL menor TMA aux</t>
  </si>
  <si>
    <t>TR-DL menor TMA</t>
  </si>
  <si>
    <t xml:space="preserve">DLj  </t>
  </si>
  <si>
    <t xml:space="preserve">DLj acumulada  </t>
  </si>
  <si>
    <t>TR-DL TMA intermediário aux</t>
  </si>
  <si>
    <t>TR-DL TMA intermediário</t>
  </si>
  <si>
    <t xml:space="preserve">DLj   </t>
  </si>
  <si>
    <t xml:space="preserve">DLj acumulada   </t>
  </si>
  <si>
    <t>TR-DL maior TAM aux</t>
  </si>
  <si>
    <t>TR-DL maior TAM</t>
  </si>
  <si>
    <t xml:space="preserve">LLj </t>
  </si>
  <si>
    <t xml:space="preserve">LLj acumulada </t>
  </si>
  <si>
    <t>TR-LL menor TMA aux</t>
  </si>
  <si>
    <t>TR-LL menor TMA</t>
  </si>
  <si>
    <t xml:space="preserve">LLj  </t>
  </si>
  <si>
    <t xml:space="preserve">LLj acumulado </t>
  </si>
  <si>
    <t>TR-LL  TMA intermediária aux</t>
  </si>
  <si>
    <t>TR-LL  TMA intermediária</t>
  </si>
  <si>
    <t xml:space="preserve">LLj   </t>
  </si>
  <si>
    <t xml:space="preserve">LLj acumulado  </t>
  </si>
  <si>
    <t>TR-LL maior TMA aux</t>
  </si>
  <si>
    <t>TR-LL maior TMA</t>
  </si>
  <si>
    <t>NA</t>
  </si>
  <si>
    <t>Soma</t>
  </si>
  <si>
    <t>Tabela CV: custos variáveis da produção, ao longo do tempo.</t>
  </si>
  <si>
    <t>Custo variável total / R$</t>
  </si>
  <si>
    <t xml:space="preserve">Custos variáveis diversos </t>
  </si>
  <si>
    <t>Soma custos variáveis</t>
  </si>
  <si>
    <t>Quantidade de consumo</t>
  </si>
  <si>
    <t>Valor unitário / (R$ / hora)</t>
  </si>
  <si>
    <t>Serviços de computação em nuvem AWS</t>
  </si>
  <si>
    <t>Custo fixo total</t>
  </si>
  <si>
    <t>Custos fixos diversos</t>
  </si>
  <si>
    <t>Soma dos custos fixos especificados</t>
  </si>
  <si>
    <t>Valor unitário</t>
  </si>
  <si>
    <t>Quantidade</t>
  </si>
  <si>
    <t>Administrador</t>
  </si>
  <si>
    <t>Desenvolvedor de software Sênior</t>
  </si>
  <si>
    <t>Técnico de informática</t>
  </si>
  <si>
    <t>Valor do principal:</t>
  </si>
  <si>
    <t>Quantidade de períodos:</t>
  </si>
  <si>
    <t>períodos, além do período 0 (zero)</t>
  </si>
  <si>
    <t>Taxa de juros:</t>
  </si>
  <si>
    <t>por período</t>
  </si>
  <si>
    <r>
      <t>Fator Price = {</t>
    </r>
    <r>
      <rPr>
        <b/>
        <i/>
        <sz val="14"/>
        <color rgb="FF0000FF"/>
        <rFont val="Times New Roman"/>
        <family val="1"/>
      </rPr>
      <t xml:space="preserve"> i </t>
    </r>
    <r>
      <rPr>
        <b/>
        <sz val="14"/>
        <color rgb="FF0000FF"/>
        <rFont val="Arial"/>
        <family val="2"/>
      </rPr>
      <t>/ [</t>
    </r>
    <r>
      <rPr>
        <b/>
        <i/>
        <sz val="14"/>
        <color rgb="FF0000FF"/>
        <rFont val="Times New Roman"/>
        <family val="1"/>
      </rPr>
      <t xml:space="preserve"> 1 – </t>
    </r>
    <r>
      <rPr>
        <b/>
        <sz val="14"/>
        <color rgb="FF0000FF"/>
        <rFont val="Arial"/>
        <family val="2"/>
      </rPr>
      <t>(</t>
    </r>
    <r>
      <rPr>
        <b/>
        <i/>
        <sz val="14"/>
        <color rgb="FF0000FF"/>
        <rFont val="Times New Roman"/>
        <family val="1"/>
      </rPr>
      <t>1 + i</t>
    </r>
    <r>
      <rPr>
        <b/>
        <sz val="14"/>
        <color rgb="FF0000FF"/>
        <rFont val="Arial"/>
        <family val="2"/>
      </rPr>
      <t>)</t>
    </r>
    <r>
      <rPr>
        <b/>
        <i/>
        <vertAlign val="superscript"/>
        <sz val="14"/>
        <color rgb="FF0000FF"/>
        <rFont val="Times New Roman"/>
        <family val="1"/>
      </rPr>
      <t>-n</t>
    </r>
    <r>
      <rPr>
        <b/>
        <i/>
        <sz val="14"/>
        <color rgb="FF0000FF"/>
        <rFont val="Times New Roman"/>
        <family val="1"/>
      </rPr>
      <t xml:space="preserve"> </t>
    </r>
    <r>
      <rPr>
        <b/>
        <sz val="14"/>
        <color rgb="FF0000FF"/>
        <rFont val="Arial"/>
        <family val="2"/>
      </rPr>
      <t>] }</t>
    </r>
  </si>
  <si>
    <t>Totais</t>
  </si>
  <si>
    <t>Fator Price =</t>
  </si>
  <si>
    <t>Juros com correção da inflação por período</t>
  </si>
  <si>
    <t>Amortização com correção da inflação por período</t>
  </si>
  <si>
    <t>Prestação</t>
  </si>
  <si>
    <t>Saldo devedor antes do pagamento da prestação</t>
  </si>
  <si>
    <t>Saldo devedor após pagamento da amortização</t>
  </si>
  <si>
    <t>Saldo devedor após pagamento da prestação</t>
  </si>
  <si>
    <t>Fluxo de caixa</t>
  </si>
  <si>
    <t>Pagamentos =</t>
  </si>
  <si>
    <t>Prestação constante; Amortização crescente</t>
  </si>
  <si>
    <t>Amortização = Prestação - Juros</t>
  </si>
  <si>
    <t>Juros = Taxa de juros x Saldo devedor anterior</t>
  </si>
  <si>
    <t>Pagamentos =  Fator Price x Valor do Principal (empréstimo)</t>
  </si>
  <si>
    <t>Saldo devedor = Saldo devedor anterior - Pagamento + Juros</t>
  </si>
  <si>
    <t>Verificação</t>
  </si>
  <si>
    <t>VPL =</t>
  </si>
  <si>
    <t xml:space="preserve">TIR = </t>
  </si>
  <si>
    <t>ano(s), apenas para período inteiro de carência</t>
  </si>
  <si>
    <t>ano (s), deve ser maior ou igual a carência para os juros</t>
  </si>
  <si>
    <t>Obs.: deve ser menor ou igual a 10</t>
  </si>
  <si>
    <t>ano (s)</t>
  </si>
  <si>
    <t>Tabela para pagamentos das prestações pelo Método PRICE, com 2 período(s) de carência para pagamentos dos juros e 2 período(s) de carência para pagamentos do principal.</t>
  </si>
  <si>
    <t>Tabela CF: custos fixos ao longo do tempo.</t>
  </si>
  <si>
    <t>Tempo de Retorno com base na Receita Bruta (TR-RB) - Cenário Menor TMA</t>
  </si>
  <si>
    <t>Tempo de Retorno com base na Receita Bruta (TR-RB) - Cenário TMA intermediária</t>
  </si>
  <si>
    <t>Tempo de Retorno com base na Receita Bruta (TR-RB) - Cenário Maior TMA</t>
  </si>
  <si>
    <t>Tempo de Retorno com base na Disponibilidade Líquida TR-DL menor TMA</t>
  </si>
  <si>
    <t>Tempo de Retorno com base na Disponibilidade Líquida: TR-DL TMA intermediário</t>
  </si>
  <si>
    <t>Tempo de Retorno com base na Disponibilidade Líquida para: TR-DL maior TAM</t>
  </si>
  <si>
    <t>Tempo de Retorno com base no Lucro Líquido: TR-LL menor TMA</t>
  </si>
  <si>
    <t>Tempo de Retorno com base no Lucro Líquido: TR-LL  TMA intermediária</t>
  </si>
  <si>
    <t>Tempo de Retorno com base no Lucro Líquido: TR-LL maior TMA</t>
  </si>
  <si>
    <t>Tabela IE: indicadores econômicos para diferentes cenários.</t>
  </si>
  <si>
    <t>Cenários --&gt;</t>
  </si>
  <si>
    <t>Interpretação</t>
  </si>
  <si>
    <t>Limite de aceitação.</t>
  </si>
  <si>
    <t>Investimento presente, atualizado pela inflação.</t>
  </si>
  <si>
    <t>Retorno</t>
  </si>
  <si>
    <t>VP sem Inv.</t>
  </si>
  <si>
    <t>Valor presente sem considerar o investimento, atualizado com a TMA.</t>
  </si>
  <si>
    <t>VPL</t>
  </si>
  <si>
    <t>Valor Presente Líquido. Se VPL &gt; 0 então o investimento é aceitável, quanto maior o VPL maior a probabilidade do investimento ser rentável.</t>
  </si>
  <si>
    <t>VPLp</t>
  </si>
  <si>
    <t>VPL por período. Se VPLp &gt; 0 então o investimento é aceitável, quanto maior o VPLp maior a probabilidade do investimento ser rentável.</t>
  </si>
  <si>
    <t>IL ou IBC</t>
  </si>
  <si>
    <t>Rentabilidade total do projeto, os recursos disponíveis ao londo do projeto são reinvestidos na TMA.</t>
  </si>
  <si>
    <t>ROIp</t>
  </si>
  <si>
    <t>Indicador de rentabilidade por período, rentabilidade esperada além da TMA, tanho estimado além da TMA.</t>
  </si>
  <si>
    <t>ROI</t>
  </si>
  <si>
    <t>Retorno sobre o investimento, por período. O mesmo que TIRm.</t>
  </si>
  <si>
    <t>Risco</t>
  </si>
  <si>
    <t>TIR</t>
  </si>
  <si>
    <t>Taxa Interna de Retorno. Se TIR &gt; TMA, o projeto é economicamente viável, quanto maior (TIR-TMA) menor o risco do projeto.</t>
  </si>
  <si>
    <t>TIRm</t>
  </si>
  <si>
    <t>TIR modificada. Se TIRm &gt; TMA, o projeto é economicamente viável, quanto maior (TIRm-TMA) menor o risco do projeto. O mesmo que ROI.</t>
  </si>
  <si>
    <t>TIR / TMA</t>
  </si>
  <si>
    <t>Se TIR/TMA &gt; 1, projeto viável; quanto maior a razão TIR/TMA menor o risco.</t>
  </si>
  <si>
    <t>TIRm / TMA</t>
  </si>
  <si>
    <t>Se TIRm/TMA &gt; 1, projeto viável; quanto maior a razão TIRm/TMA menor o risco.</t>
  </si>
  <si>
    <t>Quantidade de períodos necessários para retorno do capital investido, com relação a receita bruta; quanto menor, menor o risto.</t>
  </si>
  <si>
    <t>TR-RB / N</t>
  </si>
  <si>
    <t>Risco do empreendimento não se pagar, com relação a receita bruta.</t>
  </si>
  <si>
    <t>Quantidade de períodos necessários para retorno do capital investido, com relação a disciplinaridade líquida; quanto menor, menor o risto.</t>
  </si>
  <si>
    <t>TR-DL / N</t>
  </si>
  <si>
    <t>Risco do empreendimento não se pagar, com relação a disciplinaridade líquida.</t>
  </si>
  <si>
    <t>Quantidade de períodos necessários para retorno do capital investido, com relação ao lucro líquido; quanto menor, menor o risto.</t>
  </si>
  <si>
    <t>TR-LL / N</t>
  </si>
  <si>
    <t>Risco do empreendimento não se pagar, com relação ao lucro líquido.</t>
  </si>
  <si>
    <t>Tabela IO -  Ponto de equilíbrio (BEP) por período, em relação ao custo fixo (CF), ao custo operacional (CO) e custo total (CT).</t>
  </si>
  <si>
    <t>Pp</t>
  </si>
  <si>
    <t>PVu</t>
  </si>
  <si>
    <r>
      <t>PE</t>
    </r>
    <r>
      <rPr>
        <b/>
        <vertAlign val="subscript"/>
        <sz val="11"/>
        <color theme="1"/>
        <rFont val="Calibri"/>
        <family val="2"/>
        <scheme val="minor"/>
      </rPr>
      <t>CF</t>
    </r>
    <r>
      <rPr>
        <b/>
        <sz val="11"/>
        <color theme="1"/>
        <rFont val="Calibri"/>
        <family val="2"/>
        <scheme val="minor"/>
      </rPr>
      <t xml:space="preserve"> = CF / PVu</t>
    </r>
  </si>
  <si>
    <r>
      <t>PE</t>
    </r>
    <r>
      <rPr>
        <b/>
        <vertAlign val="subscript"/>
        <sz val="11"/>
        <color theme="1"/>
        <rFont val="Calibri"/>
        <family val="2"/>
        <scheme val="minor"/>
      </rPr>
      <t>Pp</t>
    </r>
    <r>
      <rPr>
        <b/>
        <sz val="11"/>
        <color theme="1"/>
        <rFont val="Calibri"/>
        <family val="2"/>
        <scheme val="minor"/>
      </rPr>
      <t xml:space="preserve"> = PE</t>
    </r>
    <r>
      <rPr>
        <b/>
        <vertAlign val="subscript"/>
        <sz val="11"/>
        <color theme="1"/>
        <rFont val="Calibri"/>
        <family val="2"/>
        <scheme val="minor"/>
      </rPr>
      <t>CF</t>
    </r>
    <r>
      <rPr>
        <b/>
        <sz val="11"/>
        <color theme="1"/>
        <rFont val="Calibri"/>
        <family val="2"/>
        <scheme val="minor"/>
      </rPr>
      <t xml:space="preserve"> / P</t>
    </r>
    <r>
      <rPr>
        <b/>
        <vertAlign val="subscript"/>
        <sz val="11"/>
        <color theme="1"/>
        <rFont val="Calibri"/>
        <family val="2"/>
        <scheme val="minor"/>
      </rPr>
      <t>p</t>
    </r>
  </si>
  <si>
    <t>CO</t>
  </si>
  <si>
    <r>
      <t>PE</t>
    </r>
    <r>
      <rPr>
        <b/>
        <vertAlign val="subscript"/>
        <sz val="11"/>
        <color theme="1"/>
        <rFont val="Calibri"/>
        <family val="2"/>
        <scheme val="minor"/>
      </rPr>
      <t>CF</t>
    </r>
    <r>
      <rPr>
        <b/>
        <sz val="11"/>
        <color theme="1"/>
        <rFont val="Calibri"/>
        <family val="2"/>
        <scheme val="minor"/>
      </rPr>
      <t xml:space="preserve"> = CO / PVu</t>
    </r>
  </si>
  <si>
    <r>
      <t>PE</t>
    </r>
    <r>
      <rPr>
        <b/>
        <vertAlign val="subscript"/>
        <sz val="11"/>
        <color theme="1"/>
        <rFont val="Calibri"/>
        <family val="2"/>
        <scheme val="minor"/>
      </rPr>
      <t>CI</t>
    </r>
    <r>
      <rPr>
        <b/>
        <sz val="11"/>
        <color theme="1"/>
        <rFont val="Calibri"/>
        <family val="2"/>
        <scheme val="minor"/>
      </rPr>
      <t xml:space="preserve"> = CI / PVu</t>
    </r>
  </si>
  <si>
    <r>
      <t>PE</t>
    </r>
    <r>
      <rPr>
        <b/>
        <vertAlign val="subscript"/>
        <sz val="11"/>
        <color theme="1"/>
        <rFont val="Calibri"/>
        <family val="2"/>
        <scheme val="minor"/>
      </rPr>
      <t>Pp</t>
    </r>
    <r>
      <rPr>
        <b/>
        <sz val="11"/>
        <color theme="1"/>
        <rFont val="Calibri"/>
        <family val="2"/>
        <scheme val="minor"/>
      </rPr>
      <t xml:space="preserve"> = PE</t>
    </r>
    <r>
      <rPr>
        <b/>
        <vertAlign val="subscript"/>
        <sz val="11"/>
        <color theme="1"/>
        <rFont val="Calibri"/>
        <family val="2"/>
        <scheme val="minor"/>
      </rPr>
      <t>CI</t>
    </r>
    <r>
      <rPr>
        <b/>
        <sz val="11"/>
        <color theme="1"/>
        <rFont val="Calibri"/>
        <family val="2"/>
        <scheme val="minor"/>
      </rPr>
      <t xml:space="preserve"> / P</t>
    </r>
    <r>
      <rPr>
        <b/>
        <vertAlign val="subscript"/>
        <sz val="11"/>
        <color theme="1"/>
        <rFont val="Calibri"/>
        <family val="2"/>
        <scheme val="minor"/>
      </rPr>
      <t>p</t>
    </r>
  </si>
  <si>
    <t>Preço de venda unitário do projeto</t>
  </si>
  <si>
    <t>Ponto de equilíbrio em relação ao CF</t>
  </si>
  <si>
    <t>Ponto de equilíbrio em relação ao CO</t>
  </si>
  <si>
    <t>Ponto de equilíbrio em relação ao CT</t>
  </si>
  <si>
    <t>Legenda:</t>
  </si>
  <si>
    <r>
      <t xml:space="preserve">BEP ou PE: </t>
    </r>
    <r>
      <rPr>
        <i/>
        <sz val="11"/>
        <color theme="1"/>
        <rFont val="Calibri"/>
        <family val="2"/>
        <scheme val="minor"/>
      </rPr>
      <t>Break Even Point</t>
    </r>
    <r>
      <rPr>
        <sz val="11"/>
        <color theme="1"/>
        <rFont val="Calibri"/>
        <family val="2"/>
        <scheme val="minor"/>
      </rPr>
      <t xml:space="preserve"> ou Ponto de Equilíbrio</t>
    </r>
  </si>
  <si>
    <t>DNO: Despesa Não Operacional</t>
  </si>
  <si>
    <t>DRE: Demonstrativo de Resultado do Exercício</t>
  </si>
  <si>
    <r>
      <t xml:space="preserve">EBITDA ou LAJIRDA:  </t>
    </r>
    <r>
      <rPr>
        <i/>
        <sz val="11"/>
        <color theme="1"/>
        <rFont val="Calibri"/>
        <family val="2"/>
        <scheme val="minor"/>
      </rPr>
      <t>Earnings Before Interest, Taxes, Income tax, Depreciation and Amortization</t>
    </r>
    <r>
      <rPr>
        <sz val="11"/>
        <color theme="1"/>
        <rFont val="Calibri"/>
        <family val="2"/>
        <scheme val="minor"/>
      </rPr>
      <t xml:space="preserve"> ou Lucro Antes dos Juros, Taxas, Imposto de Renda, Depreciação e Amortização</t>
    </r>
  </si>
  <si>
    <t>FCP: Fluxo de Caixa do Projeto</t>
  </si>
  <si>
    <t>IBC: Índice de Benefício-Custo</t>
  </si>
  <si>
    <t>IL: Índice de Liquidez</t>
  </si>
  <si>
    <r>
      <t xml:space="preserve">LAJIRDA ou EBTIDA: Lucro Antes dos Juros, Taxas, Imposto de Renda, Depreciação e Amortização ou  </t>
    </r>
    <r>
      <rPr>
        <i/>
        <sz val="11"/>
        <color theme="1"/>
        <rFont val="Calibri"/>
        <family val="2"/>
        <scheme val="minor"/>
      </rPr>
      <t>Earnings Before Interest, Taxes, Income tax, Depreciation and Amortization</t>
    </r>
  </si>
  <si>
    <t>NA - Não se Aplica</t>
  </si>
  <si>
    <r>
      <t xml:space="preserve">PE ou BEP: Ponto de Equilíbrio ou </t>
    </r>
    <r>
      <rPr>
        <i/>
        <sz val="11"/>
        <color theme="1"/>
        <rFont val="Calibri"/>
        <family val="2"/>
        <scheme val="minor"/>
      </rPr>
      <t>Break Even Point</t>
    </r>
  </si>
  <si>
    <t>RNO: Receita Não Operacional</t>
  </si>
  <si>
    <r>
      <t xml:space="preserve">ROIa: Retorno adicional Sobre o Investimento ou </t>
    </r>
    <r>
      <rPr>
        <i/>
        <sz val="11"/>
        <color theme="1"/>
        <rFont val="Calibri"/>
        <family val="2"/>
        <scheme val="minor"/>
      </rPr>
      <t>additional Return Over Investment</t>
    </r>
  </si>
  <si>
    <r>
      <t xml:space="preserve">ROI: Retorno Sobre o Investimento ou </t>
    </r>
    <r>
      <rPr>
        <i/>
        <sz val="11"/>
        <color theme="1"/>
        <rFont val="Calibri"/>
        <family val="2"/>
        <scheme val="minor"/>
      </rPr>
      <t>Return Over Investment</t>
    </r>
  </si>
  <si>
    <t>TIR: Taxa Interna de Retorno</t>
  </si>
  <si>
    <t>TIRm: Taxa Interna de Retorno modificada</t>
  </si>
  <si>
    <t>TMA: Taxa Mínima de Atratividade</t>
  </si>
  <si>
    <t>TR-DL: Tempo de Retorno relativo a Disponibilidade Líquida</t>
  </si>
  <si>
    <t>TR-LL: Tempo de Retorno relativo ao Lucro Líquido</t>
  </si>
  <si>
    <t>TR-RB: Tempo de Retorno relativo a Receira Bruta</t>
  </si>
  <si>
    <t>VPL: Valor Presente Líquido</t>
  </si>
  <si>
    <t>VPLp: Valor Presente Líquido por período</t>
  </si>
  <si>
    <t xml:space="preserve">IL = IBC = </t>
  </si>
  <si>
    <t>D = LL + Ds</t>
  </si>
  <si>
    <t>LL</t>
  </si>
  <si>
    <t>Capital de giro necessário, sem considerar  a reserva para depreciação</t>
  </si>
  <si>
    <t>Disponibilidade</t>
  </si>
  <si>
    <t>Custos operacionais CO = CV + CF</t>
  </si>
  <si>
    <t xml:space="preserve">Tabela CG: capital de giro necessário para custear </t>
  </si>
  <si>
    <t>Royalts sobre as vendas de produtos / % :</t>
  </si>
  <si>
    <t>Depreciação dos bens intangíveis</t>
  </si>
  <si>
    <t>Depreciação dos bens intangíveis para 20 anos</t>
  </si>
  <si>
    <t>Depreciação dos bens intangíveis para 10 anos</t>
  </si>
  <si>
    <t>Depreciação dos bens intangíveis para 5 anos</t>
  </si>
  <si>
    <t>Depreciação dos bens intangíveis para 1 ano</t>
  </si>
  <si>
    <t>Investimento total em bens intangíveis</t>
  </si>
  <si>
    <t>Investimento em bens intangíveis sem depreciação</t>
  </si>
  <si>
    <t>Investimento de bens intangíveis com 20 anos de depreciação</t>
  </si>
  <si>
    <t>Investimento de bens intangíveis com 10 anos de depreciação</t>
  </si>
  <si>
    <t>Investimento de bens intangíveis com 5 anos de depreciação</t>
  </si>
  <si>
    <t>Investimento de bens intangíveis com 1 ano de depreciação</t>
  </si>
  <si>
    <t>Investimento no bem intangível marca</t>
  </si>
  <si>
    <t>Investimento no bem intangível patente 1 (investimento inicial)</t>
  </si>
  <si>
    <t>Tabela BI: investimentos e depreciação ao longo do tempo para bens intangíveis.</t>
  </si>
  <si>
    <t>Esse documento foi baseado no material didático do professor Ricardo Kalid, contato:ricardo.kalid@gmail.com, kalid@ufsb.edu.br</t>
  </si>
  <si>
    <t>Investimento na marca</t>
  </si>
  <si>
    <t>Investimento no bem intangível  site (investimento inicial)</t>
  </si>
  <si>
    <t>Investimento em marketing</t>
  </si>
  <si>
    <t>Aluno de mestrado</t>
  </si>
  <si>
    <t>Orientador</t>
  </si>
  <si>
    <t>Tabelas de Premissas: premissas adotadas para o fluxo de caixa.</t>
  </si>
  <si>
    <t xml:space="preserve">Tema de pesquisa: Abordagens de aprendizado de máquina aplicado ao reconhecimento de 
padrões não-lineares: Classificação do desempenho de pneus em 
processos de manufatura inteligente.
PARA CLASSIFICAÇÃO DO DESEMPENHO DE PNEUS EM 
PROCESSOS DE MANUFATURA INTELIGENTE </t>
  </si>
  <si>
    <t>Tabela Investimento_I: Recursos e seus custos</t>
  </si>
  <si>
    <t>Custo total (ano 0)</t>
  </si>
  <si>
    <t>S</t>
  </si>
  <si>
    <t>ano(s) que deve ser menor ou igual a 4</t>
  </si>
  <si>
    <t>Lucro antes do juros, imposto de renda e das contribuições sociais (LAJIR)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</si>
</sst>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$&quot;* #,##0.00_-;\-&quot;R$&quot;* #,##0.00_-;_-&quot;R$&quot;* &quot;-&quot;??_-;_-@_-"/>
    <numFmt numFmtId="164" formatCode="_-[$R$-416]\ * #,##0.00_-;\-[$R$-416]\ * #,##0.00_-;_-[$R$-416]\ * &quot;-&quot;??_-;_-@_-"/>
    <numFmt numFmtId="165" formatCode="&quot;R$&quot;#,##0.00"/>
    <numFmt numFmtId="166" formatCode="&quot;R$&quot;\ #,##0.00"/>
    <numFmt numFmtId="167" formatCode="0.0"/>
    <numFmt numFmtId="168" formatCode="_-&quot;R$&quot;\ * #,##0.00_-;\-&quot;R$&quot;\ * #,##0.00_-;_-&quot;R$&quot;\ * &quot;-&quot;??_-;_-@_-"/>
    <numFmt numFmtId="169" formatCode="0.00000"/>
    <numFmt numFmtId="170" formatCode="&quot;R$&quot;\ #,##0.00;[Red]\-&quot;R$&quot;\ #,##0.00"/>
    <numFmt numFmtId="171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i/>
      <sz val="14"/>
      <color rgb="FF0000FF"/>
      <name val="Times New Roman"/>
      <family val="1"/>
    </font>
    <font>
      <b/>
      <i/>
      <vertAlign val="superscript"/>
      <sz val="14"/>
      <color rgb="FF0000FF"/>
      <name val="Times New Roman"/>
      <family val="1"/>
    </font>
    <font>
      <b/>
      <sz val="14"/>
      <color rgb="FFFF0000"/>
      <name val="Arial"/>
      <family val="2"/>
    </font>
    <font>
      <b/>
      <sz val="2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theme="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1">
    <xf numFmtId="0" fontId="0" fillId="0" borderId="0" xfId="0"/>
    <xf numFmtId="0" fontId="0" fillId="0" borderId="0" xfId="1" applyNumberFormat="1" applyFont="1" applyAlignment="1">
      <alignment vertical="center"/>
    </xf>
    <xf numFmtId="164" fontId="0" fillId="0" borderId="0" xfId="1" applyNumberFormat="1" applyFont="1"/>
    <xf numFmtId="0" fontId="2" fillId="0" borderId="0" xfId="0" applyFont="1"/>
    <xf numFmtId="164" fontId="2" fillId="3" borderId="0" xfId="0" applyNumberFormat="1" applyFont="1" applyFill="1"/>
    <xf numFmtId="164" fontId="2" fillId="3" borderId="0" xfId="1" applyNumberFormat="1" applyFont="1" applyFill="1"/>
    <xf numFmtId="165" fontId="0" fillId="0" borderId="0" xfId="0" applyNumberForma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6" fontId="3" fillId="0" borderId="9" xfId="0" applyNumberFormat="1" applyFont="1" applyBorder="1" applyAlignment="1">
      <alignment horizontal="right" indent="1"/>
    </xf>
    <xf numFmtId="166" fontId="4" fillId="0" borderId="2" xfId="0" applyNumberFormat="1" applyFont="1" applyBorder="1" applyAlignment="1">
      <alignment horizontal="right" indent="2"/>
    </xf>
    <xf numFmtId="166" fontId="4" fillId="0" borderId="10" xfId="0" applyNumberFormat="1" applyFont="1" applyBorder="1" applyAlignment="1">
      <alignment horizontal="right" indent="2"/>
    </xf>
    <xf numFmtId="166" fontId="4" fillId="0" borderId="9" xfId="0" applyNumberFormat="1" applyFont="1" applyBorder="1" applyAlignment="1">
      <alignment horizontal="right" indent="2"/>
    </xf>
    <xf numFmtId="166" fontId="3" fillId="0" borderId="12" xfId="0" applyNumberFormat="1" applyFont="1" applyBorder="1" applyAlignment="1">
      <alignment horizontal="right" indent="1"/>
    </xf>
    <xf numFmtId="166" fontId="4" fillId="0" borderId="13" xfId="0" applyNumberFormat="1" applyFont="1" applyBorder="1" applyAlignment="1">
      <alignment horizontal="right" indent="2"/>
    </xf>
    <xf numFmtId="166" fontId="4" fillId="0" borderId="11" xfId="0" applyNumberFormat="1" applyFont="1" applyBorder="1" applyAlignment="1">
      <alignment horizontal="right" indent="2"/>
    </xf>
    <xf numFmtId="166" fontId="4" fillId="0" borderId="14" xfId="0" applyNumberFormat="1" applyFont="1" applyBorder="1" applyAlignment="1">
      <alignment horizontal="right" indent="2"/>
    </xf>
    <xf numFmtId="166" fontId="4" fillId="0" borderId="12" xfId="0" applyNumberFormat="1" applyFont="1" applyBorder="1" applyAlignment="1">
      <alignment horizontal="right" indent="2"/>
    </xf>
    <xf numFmtId="0" fontId="5" fillId="0" borderId="0" xfId="0" applyFont="1" applyAlignment="1">
      <alignment vertical="top"/>
    </xf>
    <xf numFmtId="0" fontId="2" fillId="0" borderId="0" xfId="0" applyFont="1" applyAlignment="1">
      <alignment horizontal="right"/>
    </xf>
    <xf numFmtId="167" fontId="1" fillId="3" borderId="4" xfId="0" applyNumberFormat="1" applyFont="1" applyFill="1" applyBorder="1" applyAlignment="1" applyProtection="1">
      <alignment horizontal="right" indent="2"/>
      <protection locked="0"/>
    </xf>
    <xf numFmtId="167" fontId="1" fillId="3" borderId="16" xfId="0" applyNumberFormat="1" applyFont="1" applyFill="1" applyBorder="1" applyAlignment="1" applyProtection="1">
      <alignment horizontal="right" vertical="top" indent="2"/>
      <protection locked="0"/>
    </xf>
    <xf numFmtId="167" fontId="1" fillId="3" borderId="4" xfId="0" applyNumberFormat="1" applyFont="1" applyFill="1" applyBorder="1" applyAlignment="1" applyProtection="1">
      <alignment horizontal="right" vertical="top" indent="2"/>
      <protection locked="0"/>
    </xf>
    <xf numFmtId="167" fontId="1" fillId="3" borderId="16" xfId="0" applyNumberFormat="1" applyFont="1" applyFill="1" applyBorder="1" applyAlignment="1" applyProtection="1">
      <alignment horizontal="right" indent="2"/>
      <protection locked="0"/>
    </xf>
    <xf numFmtId="167" fontId="1" fillId="3" borderId="11" xfId="0" applyNumberFormat="1" applyFont="1" applyFill="1" applyBorder="1" applyAlignment="1" applyProtection="1">
      <alignment horizontal="right" indent="2"/>
      <protection locked="0"/>
    </xf>
    <xf numFmtId="9" fontId="1" fillId="3" borderId="11" xfId="2" applyFont="1" applyFill="1" applyBorder="1" applyAlignment="1" applyProtection="1">
      <alignment horizontal="center"/>
      <protection locked="0"/>
    </xf>
    <xf numFmtId="0" fontId="2" fillId="0" borderId="11" xfId="0" applyFont="1" applyBorder="1"/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44" fontId="4" fillId="3" borderId="9" xfId="0" applyNumberFormat="1" applyFont="1" applyFill="1" applyBorder="1" applyAlignment="1" applyProtection="1">
      <alignment horizontal="right" indent="2"/>
      <protection locked="0"/>
    </xf>
    <xf numFmtId="165" fontId="4" fillId="3" borderId="22" xfId="1" applyNumberFormat="1" applyFont="1" applyFill="1" applyBorder="1" applyAlignment="1">
      <alignment horizontal="right" indent="2"/>
    </xf>
    <xf numFmtId="44" fontId="4" fillId="0" borderId="11" xfId="0" applyNumberFormat="1" applyFont="1" applyBorder="1"/>
    <xf numFmtId="44" fontId="4" fillId="0" borderId="11" xfId="0" applyNumberFormat="1" applyFont="1" applyBorder="1" applyAlignment="1">
      <alignment horizontal="right" indent="4"/>
    </xf>
    <xf numFmtId="0" fontId="2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5" fontId="4" fillId="0" borderId="0" xfId="0" applyNumberFormat="1" applyFont="1" applyBorder="1"/>
    <xf numFmtId="44" fontId="4" fillId="0" borderId="0" xfId="0" applyNumberFormat="1" applyFont="1" applyBorder="1" applyAlignment="1">
      <alignment horizontal="right" indent="4"/>
    </xf>
    <xf numFmtId="44" fontId="4" fillId="0" borderId="0" xfId="0" applyNumberFormat="1" applyFont="1" applyBorder="1"/>
    <xf numFmtId="3" fontId="4" fillId="0" borderId="29" xfId="0" applyNumberFormat="1" applyFont="1" applyBorder="1" applyAlignment="1">
      <alignment horizontal="right" indent="5"/>
    </xf>
    <xf numFmtId="0" fontId="0" fillId="0" borderId="12" xfId="0" applyBorder="1" applyAlignment="1">
      <alignment horizontal="center" vertical="center"/>
    </xf>
    <xf numFmtId="165" fontId="4" fillId="3" borderId="23" xfId="1" applyNumberFormat="1" applyFont="1" applyFill="1" applyBorder="1" applyAlignment="1">
      <alignment horizontal="right" indent="2"/>
    </xf>
    <xf numFmtId="165" fontId="4" fillId="0" borderId="11" xfId="0" applyNumberFormat="1" applyFont="1" applyBorder="1"/>
    <xf numFmtId="44" fontId="4" fillId="3" borderId="12" xfId="0" applyNumberFormat="1" applyFont="1" applyFill="1" applyBorder="1" applyAlignment="1" applyProtection="1">
      <alignment horizontal="right" indent="2"/>
      <protection locked="0"/>
    </xf>
    <xf numFmtId="3" fontId="4" fillId="0" borderId="30" xfId="0" applyNumberFormat="1" applyFont="1" applyBorder="1" applyAlignment="1">
      <alignment horizontal="right" indent="5"/>
    </xf>
    <xf numFmtId="0" fontId="1" fillId="3" borderId="15" xfId="0" applyFont="1" applyFill="1" applyBorder="1" applyAlignment="1" applyProtection="1">
      <alignment horizontal="center"/>
      <protection locked="0"/>
    </xf>
    <xf numFmtId="44" fontId="1" fillId="3" borderId="15" xfId="1" applyNumberFormat="1" applyFont="1" applyFill="1" applyBorder="1" applyAlignment="1" applyProtection="1">
      <alignment horizontal="right" indent="5"/>
      <protection locked="0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right" indent="3"/>
    </xf>
    <xf numFmtId="0" fontId="1" fillId="3" borderId="35" xfId="0" applyFont="1" applyFill="1" applyBorder="1" applyProtection="1">
      <protection locked="0"/>
    </xf>
    <xf numFmtId="2" fontId="0" fillId="3" borderId="0" xfId="0" applyNumberFormat="1" applyFill="1" applyBorder="1" applyAlignment="1" applyProtection="1">
      <alignment horizontal="right" indent="2"/>
      <protection locked="0"/>
    </xf>
    <xf numFmtId="2" fontId="0" fillId="3" borderId="11" xfId="0" applyNumberFormat="1" applyFill="1" applyBorder="1" applyAlignment="1" applyProtection="1">
      <alignment horizontal="right" indent="2"/>
      <protection locked="0"/>
    </xf>
    <xf numFmtId="0" fontId="1" fillId="4" borderId="4" xfId="0" applyFont="1" applyFill="1" applyBorder="1"/>
    <xf numFmtId="0" fontId="1" fillId="4" borderId="4" xfId="0" applyFont="1" applyFill="1" applyBorder="1" applyAlignment="1">
      <alignment vertical="top"/>
    </xf>
    <xf numFmtId="0" fontId="1" fillId="4" borderId="16" xfId="0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0" fontId="1" fillId="4" borderId="0" xfId="0" applyFont="1" applyFill="1" applyBorder="1"/>
    <xf numFmtId="0" fontId="1" fillId="3" borderId="0" xfId="0" applyFont="1" applyFill="1" applyBorder="1" applyAlignment="1" applyProtection="1">
      <alignment horizontal="center" vertical="top"/>
      <protection locked="0"/>
    </xf>
    <xf numFmtId="0" fontId="1" fillId="4" borderId="10" xfId="0" applyFont="1" applyFill="1" applyBorder="1"/>
    <xf numFmtId="0" fontId="1" fillId="4" borderId="0" xfId="0" applyFont="1" applyFill="1" applyBorder="1" applyAlignment="1" applyProtection="1">
      <alignment vertical="top"/>
      <protection locked="0"/>
    </xf>
    <xf numFmtId="167" fontId="1" fillId="3" borderId="0" xfId="0" applyNumberFormat="1" applyFont="1" applyFill="1" applyBorder="1" applyAlignment="1" applyProtection="1">
      <alignment horizontal="right" indent="2"/>
      <protection locked="0"/>
    </xf>
    <xf numFmtId="0" fontId="1" fillId="4" borderId="24" xfId="0" applyFont="1" applyFill="1" applyBorder="1"/>
    <xf numFmtId="0" fontId="1" fillId="4" borderId="37" xfId="0" applyFont="1" applyFill="1" applyBorder="1"/>
    <xf numFmtId="4" fontId="1" fillId="3" borderId="0" xfId="0" applyNumberFormat="1" applyFont="1" applyFill="1" applyBorder="1" applyAlignment="1" applyProtection="1">
      <alignment horizontal="right" indent="1"/>
      <protection locked="0"/>
    </xf>
    <xf numFmtId="0" fontId="1" fillId="4" borderId="9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3" fontId="1" fillId="3" borderId="0" xfId="0" applyNumberFormat="1" applyFont="1" applyFill="1" applyBorder="1" applyAlignment="1" applyProtection="1">
      <alignment horizontal="right" indent="3"/>
      <protection locked="0"/>
    </xf>
    <xf numFmtId="0" fontId="1" fillId="4" borderId="14" xfId="0" applyFont="1" applyFill="1" applyBorder="1"/>
    <xf numFmtId="0" fontId="2" fillId="4" borderId="31" xfId="0" applyFont="1" applyFill="1" applyBorder="1"/>
    <xf numFmtId="0" fontId="1" fillId="4" borderId="32" xfId="0" applyFont="1" applyFill="1" applyBorder="1"/>
    <xf numFmtId="0" fontId="1" fillId="4" borderId="33" xfId="0" applyFont="1" applyFill="1" applyBorder="1"/>
    <xf numFmtId="0" fontId="2" fillId="4" borderId="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4" borderId="12" xfId="0" applyFont="1" applyFill="1" applyBorder="1"/>
    <xf numFmtId="9" fontId="1" fillId="3" borderId="14" xfId="2" applyFont="1" applyFill="1" applyBorder="1" applyAlignment="1" applyProtection="1">
      <alignment horizontal="center"/>
      <protection locked="0"/>
    </xf>
    <xf numFmtId="0" fontId="2" fillId="4" borderId="26" xfId="0" applyFont="1" applyFill="1" applyBorder="1"/>
    <xf numFmtId="1" fontId="4" fillId="3" borderId="11" xfId="0" applyNumberFormat="1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 applyProtection="1">
      <alignment horizontal="center" vertical="center" wrapText="1"/>
      <protection locked="0"/>
    </xf>
    <xf numFmtId="0" fontId="0" fillId="3" borderId="9" xfId="0" applyFill="1" applyBorder="1" applyAlignment="1" applyProtection="1">
      <alignment horizontal="right" indent="2"/>
      <protection locked="0"/>
    </xf>
    <xf numFmtId="166" fontId="4" fillId="0" borderId="0" xfId="0" applyNumberFormat="1" applyFont="1" applyBorder="1" applyAlignment="1">
      <alignment horizontal="right" indent="2"/>
    </xf>
    <xf numFmtId="166" fontId="4" fillId="3" borderId="0" xfId="0" applyNumberFormat="1" applyFont="1" applyFill="1" applyBorder="1" applyProtection="1">
      <protection locked="0"/>
    </xf>
    <xf numFmtId="166" fontId="4" fillId="3" borderId="10" xfId="0" applyNumberFormat="1" applyFont="1" applyFill="1" applyBorder="1" applyProtection="1">
      <protection locked="0"/>
    </xf>
    <xf numFmtId="0" fontId="0" fillId="3" borderId="12" xfId="0" applyFill="1" applyBorder="1" applyAlignment="1" applyProtection="1">
      <alignment horizontal="right" indent="2"/>
      <protection locked="0"/>
    </xf>
    <xf numFmtId="0" fontId="8" fillId="0" borderId="0" xfId="0" applyFont="1"/>
    <xf numFmtId="0" fontId="1" fillId="0" borderId="11" xfId="0" applyFont="1" applyBorder="1"/>
    <xf numFmtId="0" fontId="2" fillId="0" borderId="7" xfId="0" applyFont="1" applyBorder="1" applyAlignment="1">
      <alignment horizontal="right"/>
    </xf>
    <xf numFmtId="0" fontId="2" fillId="0" borderId="0" xfId="0" applyFont="1" applyAlignment="1">
      <alignment horizontal="center"/>
    </xf>
    <xf numFmtId="4" fontId="2" fillId="0" borderId="2" xfId="0" applyNumberFormat="1" applyFont="1" applyBorder="1" applyAlignment="1">
      <alignment horizontal="right" indent="1"/>
    </xf>
    <xf numFmtId="4" fontId="2" fillId="0" borderId="0" xfId="0" applyNumberFormat="1" applyFont="1" applyAlignment="1">
      <alignment horizontal="right" indent="1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center"/>
    </xf>
    <xf numFmtId="4" fontId="1" fillId="0" borderId="2" xfId="0" applyNumberFormat="1" applyFont="1" applyBorder="1" applyAlignment="1">
      <alignment horizontal="right" indent="1"/>
    </xf>
    <xf numFmtId="4" fontId="1" fillId="0" borderId="0" xfId="0" applyNumberFormat="1" applyFont="1" applyAlignment="1">
      <alignment horizontal="right" indent="1"/>
    </xf>
    <xf numFmtId="3" fontId="1" fillId="0" borderId="2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left" indent="4"/>
    </xf>
    <xf numFmtId="0" fontId="1" fillId="0" borderId="4" xfId="0" applyFont="1" applyBorder="1" applyAlignment="1">
      <alignment horizontal="center"/>
    </xf>
    <xf numFmtId="4" fontId="1" fillId="0" borderId="39" xfId="0" applyNumberFormat="1" applyFont="1" applyBorder="1" applyAlignment="1">
      <alignment horizontal="right" indent="1"/>
    </xf>
    <xf numFmtId="4" fontId="1" fillId="0" borderId="4" xfId="0" applyNumberFormat="1" applyFont="1" applyBorder="1" applyAlignment="1">
      <alignment horizontal="right" indent="1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left" vertical="top" indent="3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4" fontId="2" fillId="0" borderId="1" xfId="0" applyNumberFormat="1" applyFont="1" applyBorder="1" applyAlignment="1">
      <alignment horizontal="right" indent="1"/>
    </xf>
    <xf numFmtId="4" fontId="2" fillId="0" borderId="16" xfId="0" applyNumberFormat="1" applyFont="1" applyBorder="1" applyAlignment="1">
      <alignment horizontal="right" indent="1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4" fontId="2" fillId="0" borderId="39" xfId="0" applyNumberFormat="1" applyFont="1" applyBorder="1" applyAlignment="1">
      <alignment horizontal="right" indent="1"/>
    </xf>
    <xf numFmtId="4" fontId="2" fillId="0" borderId="4" xfId="0" applyNumberFormat="1" applyFont="1" applyBorder="1" applyAlignment="1">
      <alignment horizontal="right" indent="1"/>
    </xf>
    <xf numFmtId="0" fontId="1" fillId="0" borderId="0" xfId="0" applyFont="1" applyAlignment="1">
      <alignment horizontal="left" indent="3"/>
    </xf>
    <xf numFmtId="0" fontId="1" fillId="0" borderId="4" xfId="0" applyFont="1" applyBorder="1" applyAlignment="1">
      <alignment horizontal="left" indent="3"/>
    </xf>
    <xf numFmtId="1" fontId="2" fillId="0" borderId="16" xfId="0" applyNumberFormat="1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right" vertical="center" indent="1"/>
    </xf>
    <xf numFmtId="0" fontId="9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4" fontId="9" fillId="0" borderId="15" xfId="0" applyNumberFormat="1" applyFont="1" applyBorder="1" applyAlignment="1">
      <alignment horizontal="center" vertical="center"/>
    </xf>
    <xf numFmtId="4" fontId="10" fillId="0" borderId="0" xfId="0" applyNumberFormat="1" applyFont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left" vertical="center"/>
    </xf>
    <xf numFmtId="0" fontId="11" fillId="0" borderId="0" xfId="0" applyFont="1" applyAlignment="1">
      <alignment vertical="center"/>
    </xf>
    <xf numFmtId="0" fontId="2" fillId="5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 wrapText="1"/>
    </xf>
    <xf numFmtId="166" fontId="1" fillId="7" borderId="7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166" fontId="1" fillId="7" borderId="5" xfId="0" applyNumberFormat="1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0" fontId="1" fillId="7" borderId="40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1" fontId="1" fillId="9" borderId="5" xfId="0" applyNumberFormat="1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1" fontId="11" fillId="0" borderId="0" xfId="1" applyNumberFormat="1" applyFont="1" applyAlignment="1" applyProtection="1">
      <alignment horizontal="right" indent="5"/>
    </xf>
    <xf numFmtId="166" fontId="11" fillId="0" borderId="9" xfId="1" applyNumberFormat="1" applyFont="1" applyFill="1" applyBorder="1" applyAlignment="1" applyProtection="1">
      <alignment horizontal="right" vertical="center" indent="1"/>
    </xf>
    <xf numFmtId="166" fontId="11" fillId="0" borderId="2" xfId="1" applyNumberFormat="1" applyFont="1" applyFill="1" applyBorder="1" applyAlignment="1" applyProtection="1">
      <alignment horizontal="right" vertical="center" indent="1"/>
    </xf>
    <xf numFmtId="166" fontId="8" fillId="0" borderId="2" xfId="1" applyNumberFormat="1" applyFont="1" applyBorder="1" applyAlignment="1" applyProtection="1">
      <alignment horizontal="right" vertical="center" indent="1"/>
    </xf>
    <xf numFmtId="166" fontId="8" fillId="0" borderId="0" xfId="1" applyNumberFormat="1" applyFont="1" applyBorder="1" applyAlignment="1" applyProtection="1">
      <alignment horizontal="right" vertical="center" indent="1"/>
    </xf>
    <xf numFmtId="166" fontId="8" fillId="0" borderId="10" xfId="1" applyNumberFormat="1" applyFont="1" applyBorder="1" applyAlignment="1" applyProtection="1">
      <alignment horizontal="right" vertical="center" indent="1"/>
    </xf>
    <xf numFmtId="166" fontId="11" fillId="0" borderId="43" xfId="1" applyNumberFormat="1" applyFont="1" applyBorder="1" applyAlignment="1" applyProtection="1">
      <alignment horizontal="right" vertical="center"/>
    </xf>
    <xf numFmtId="166" fontId="8" fillId="0" borderId="9" xfId="1" applyNumberFormat="1" applyFont="1" applyBorder="1" applyAlignment="1" applyProtection="1">
      <alignment horizontal="right" vertical="center" indent="1"/>
    </xf>
    <xf numFmtId="166" fontId="8" fillId="0" borderId="0" xfId="1" applyNumberFormat="1" applyFont="1" applyFill="1" applyBorder="1" applyAlignment="1" applyProtection="1">
      <alignment horizontal="right" vertical="center" indent="1"/>
    </xf>
    <xf numFmtId="166" fontId="8" fillId="0" borderId="0" xfId="1" applyNumberFormat="1" applyFont="1" applyFill="1" applyBorder="1" applyAlignment="1" applyProtection="1">
      <alignment horizontal="right" vertical="center" indent="2"/>
    </xf>
    <xf numFmtId="166" fontId="8" fillId="0" borderId="29" xfId="1" applyNumberFormat="1" applyFont="1" applyFill="1" applyBorder="1" applyAlignment="1" applyProtection="1">
      <alignment horizontal="right" indent="2"/>
    </xf>
    <xf numFmtId="166" fontId="8" fillId="0" borderId="9" xfId="1" applyNumberFormat="1" applyFont="1" applyFill="1" applyBorder="1" applyProtection="1"/>
    <xf numFmtId="166" fontId="8" fillId="0" borderId="29" xfId="1" applyNumberFormat="1" applyFont="1" applyFill="1" applyBorder="1" applyAlignment="1" applyProtection="1">
      <alignment horizontal="right" vertical="center" indent="2"/>
    </xf>
    <xf numFmtId="166" fontId="8" fillId="0" borderId="10" xfId="1" applyNumberFormat="1" applyFont="1" applyFill="1" applyBorder="1" applyAlignment="1" applyProtection="1">
      <alignment horizontal="right" vertical="center" indent="1"/>
    </xf>
    <xf numFmtId="166" fontId="11" fillId="0" borderId="9" xfId="1" applyNumberFormat="1" applyFont="1" applyBorder="1" applyAlignment="1" applyProtection="1">
      <alignment horizontal="right" vertical="center"/>
    </xf>
    <xf numFmtId="166" fontId="8" fillId="3" borderId="9" xfId="1" applyNumberFormat="1" applyFont="1" applyFill="1" applyBorder="1" applyAlignment="1" applyProtection="1">
      <alignment horizontal="right" vertical="center" indent="2"/>
      <protection locked="0"/>
    </xf>
    <xf numFmtId="166" fontId="8" fillId="0" borderId="29" xfId="1" applyNumberFormat="1" applyFont="1" applyFill="1" applyBorder="1" applyAlignment="1" applyProtection="1">
      <alignment horizontal="right" vertical="center" indent="1"/>
    </xf>
    <xf numFmtId="166" fontId="8" fillId="3" borderId="9" xfId="1" applyNumberFormat="1" applyFont="1" applyFill="1" applyBorder="1" applyAlignment="1" applyProtection="1">
      <alignment horizontal="right" vertical="center" indent="1"/>
      <protection locked="0"/>
    </xf>
    <xf numFmtId="166" fontId="11" fillId="0" borderId="9" xfId="1" applyNumberFormat="1" applyFont="1" applyFill="1" applyBorder="1" applyAlignment="1" applyProtection="1">
      <alignment horizontal="right" vertical="center" indent="2"/>
      <protection locked="0"/>
    </xf>
    <xf numFmtId="166" fontId="8" fillId="3" borderId="0" xfId="1" applyNumberFormat="1" applyFont="1" applyFill="1" applyBorder="1" applyAlignment="1" applyProtection="1">
      <alignment horizontal="right" vertical="center" indent="2"/>
      <protection locked="0"/>
    </xf>
    <xf numFmtId="166" fontId="11" fillId="0" borderId="29" xfId="1" applyNumberFormat="1" applyFont="1" applyBorder="1" applyAlignment="1" applyProtection="1">
      <alignment horizontal="right" vertical="center" indent="1"/>
    </xf>
    <xf numFmtId="166" fontId="11" fillId="0" borderId="9" xfId="1" applyNumberFormat="1" applyFont="1" applyBorder="1" applyAlignment="1" applyProtection="1">
      <alignment horizontal="right" vertical="center" indent="1"/>
    </xf>
    <xf numFmtId="166" fontId="8" fillId="0" borderId="9" xfId="1" applyNumberFormat="1" applyFont="1" applyFill="1" applyBorder="1" applyAlignment="1" applyProtection="1">
      <alignment horizontal="right" vertical="center" indent="2"/>
    </xf>
    <xf numFmtId="166" fontId="11" fillId="0" borderId="9" xfId="1" applyNumberFormat="1" applyFont="1" applyBorder="1" applyAlignment="1" applyProtection="1">
      <alignment horizontal="right" vertical="center" wrapText="1" indent="1"/>
    </xf>
    <xf numFmtId="167" fontId="1" fillId="0" borderId="2" xfId="0" applyNumberFormat="1" applyFont="1" applyBorder="1" applyAlignment="1">
      <alignment horizontal="center"/>
    </xf>
    <xf numFmtId="166" fontId="1" fillId="0" borderId="0" xfId="1" applyNumberFormat="1" applyFont="1" applyBorder="1" applyAlignment="1" applyProtection="1">
      <alignment horizontal="right" indent="2"/>
    </xf>
    <xf numFmtId="166" fontId="1" fillId="0" borderId="10" xfId="1" applyNumberFormat="1" applyFont="1" applyBorder="1" applyAlignment="1" applyProtection="1">
      <alignment horizontal="right" indent="2"/>
    </xf>
    <xf numFmtId="166" fontId="8" fillId="0" borderId="10" xfId="2" applyNumberFormat="1" applyFont="1" applyBorder="1" applyAlignment="1" applyProtection="1">
      <alignment horizontal="right" indent="1"/>
    </xf>
    <xf numFmtId="166" fontId="11" fillId="0" borderId="9" xfId="0" applyNumberFormat="1" applyFont="1" applyBorder="1" applyAlignment="1">
      <alignment horizontal="right" indent="1"/>
    </xf>
    <xf numFmtId="166" fontId="8" fillId="0" borderId="0" xfId="0" applyNumberFormat="1" applyFont="1" applyAlignment="1">
      <alignment horizontal="right" indent="1"/>
    </xf>
    <xf numFmtId="166" fontId="11" fillId="0" borderId="0" xfId="0" applyNumberFormat="1" applyFont="1" applyAlignment="1">
      <alignment horizontal="right" indent="1"/>
    </xf>
    <xf numFmtId="166" fontId="11" fillId="0" borderId="0" xfId="0" applyNumberFormat="1" applyFont="1" applyAlignment="1">
      <alignment horizontal="center"/>
    </xf>
    <xf numFmtId="0" fontId="11" fillId="0" borderId="44" xfId="0" applyFont="1" applyBorder="1" applyAlignment="1">
      <alignment horizontal="center"/>
    </xf>
    <xf numFmtId="166" fontId="11" fillId="0" borderId="2" xfId="0" applyNumberFormat="1" applyFont="1" applyBorder="1" applyAlignment="1">
      <alignment horizontal="right" indent="1"/>
    </xf>
    <xf numFmtId="0" fontId="11" fillId="0" borderId="0" xfId="0" applyFont="1" applyAlignment="1">
      <alignment horizontal="center"/>
    </xf>
    <xf numFmtId="166" fontId="11" fillId="0" borderId="0" xfId="0" applyNumberFormat="1" applyFont="1"/>
    <xf numFmtId="166" fontId="8" fillId="0" borderId="9" xfId="1" applyNumberFormat="1" applyFont="1" applyFill="1" applyBorder="1" applyAlignment="1" applyProtection="1">
      <alignment horizontal="right" vertical="center" indent="1"/>
    </xf>
    <xf numFmtId="166" fontId="8" fillId="0" borderId="29" xfId="1" applyNumberFormat="1" applyFont="1" applyBorder="1" applyAlignment="1" applyProtection="1">
      <alignment horizontal="right" vertical="center" indent="1"/>
    </xf>
    <xf numFmtId="166" fontId="8" fillId="0" borderId="9" xfId="1" applyNumberFormat="1" applyFont="1" applyBorder="1" applyAlignment="1" applyProtection="1">
      <alignment horizontal="right" indent="1"/>
    </xf>
    <xf numFmtId="166" fontId="8" fillId="0" borderId="0" xfId="1" applyNumberFormat="1" applyFont="1" applyFill="1" applyBorder="1" applyAlignment="1" applyProtection="1">
      <alignment horizontal="right" indent="1"/>
    </xf>
    <xf numFmtId="166" fontId="8" fillId="0" borderId="0" xfId="1" applyNumberFormat="1" applyFont="1" applyFill="1" applyBorder="1" applyAlignment="1" applyProtection="1">
      <alignment horizontal="right" indent="2"/>
    </xf>
    <xf numFmtId="166" fontId="8" fillId="0" borderId="0" xfId="1" applyNumberFormat="1" applyFont="1" applyBorder="1" applyAlignment="1" applyProtection="1">
      <alignment horizontal="right" indent="1"/>
    </xf>
    <xf numFmtId="166" fontId="8" fillId="0" borderId="29" xfId="1" applyNumberFormat="1" applyFont="1" applyFill="1" applyBorder="1" applyAlignment="1" applyProtection="1">
      <alignment horizontal="right" indent="1"/>
    </xf>
    <xf numFmtId="166" fontId="8" fillId="0" borderId="10" xfId="1" applyNumberFormat="1" applyFont="1" applyFill="1" applyBorder="1" applyAlignment="1" applyProtection="1">
      <alignment horizontal="right" indent="1"/>
    </xf>
    <xf numFmtId="167" fontId="1" fillId="0" borderId="2" xfId="0" applyNumberFormat="1" applyFont="1" applyBorder="1" applyAlignment="1">
      <alignment horizontal="right" indent="4"/>
    </xf>
    <xf numFmtId="2" fontId="11" fillId="0" borderId="0" xfId="0" applyNumberFormat="1" applyFont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2" fontId="11" fillId="0" borderId="44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11" fillId="0" borderId="9" xfId="0" applyNumberFormat="1" applyFont="1" applyBorder="1" applyAlignment="1">
      <alignment horizontal="right" indent="1"/>
    </xf>
    <xf numFmtId="2" fontId="11" fillId="0" borderId="2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6" fontId="6" fillId="0" borderId="36" xfId="0" applyNumberFormat="1" applyFont="1" applyBorder="1" applyAlignment="1">
      <alignment horizontal="right" indent="1"/>
    </xf>
    <xf numFmtId="166" fontId="13" fillId="0" borderId="4" xfId="0" applyNumberFormat="1" applyFont="1" applyBorder="1" applyAlignment="1">
      <alignment horizontal="right" indent="1"/>
    </xf>
    <xf numFmtId="166" fontId="7" fillId="0" borderId="39" xfId="0" applyNumberFormat="1" applyFont="1" applyBorder="1" applyAlignment="1">
      <alignment horizontal="right" indent="1"/>
    </xf>
    <xf numFmtId="166" fontId="7" fillId="0" borderId="4" xfId="0" applyNumberFormat="1" applyFont="1" applyBorder="1" applyAlignment="1">
      <alignment horizontal="right" indent="1"/>
    </xf>
    <xf numFmtId="0" fontId="7" fillId="0" borderId="46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47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6" fillId="3" borderId="7" xfId="0" applyFont="1" applyFill="1" applyBorder="1" applyAlignment="1" applyProtection="1">
      <alignment horizontal="center"/>
      <protection locked="0"/>
    </xf>
    <xf numFmtId="0" fontId="6" fillId="3" borderId="8" xfId="0" applyFont="1" applyFill="1" applyBorder="1" applyAlignment="1" applyProtection="1">
      <alignment horizontal="center"/>
      <protection locked="0"/>
    </xf>
    <xf numFmtId="2" fontId="0" fillId="3" borderId="10" xfId="0" applyNumberFormat="1" applyFill="1" applyBorder="1" applyAlignment="1" applyProtection="1">
      <alignment horizontal="right" indent="2"/>
      <protection locked="0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11" xfId="0" applyFont="1" applyBorder="1"/>
    <xf numFmtId="0" fontId="11" fillId="0" borderId="0" xfId="0" applyFont="1"/>
    <xf numFmtId="0" fontId="11" fillId="0" borderId="11" xfId="0" applyFont="1" applyBorder="1"/>
    <xf numFmtId="0" fontId="6" fillId="0" borderId="39" xfId="0" applyFont="1" applyBorder="1" applyAlignment="1">
      <alignment horizontal="center" vertical="center" wrapText="1"/>
    </xf>
    <xf numFmtId="166" fontId="4" fillId="0" borderId="9" xfId="0" applyNumberFormat="1" applyFont="1" applyBorder="1" applyAlignment="1">
      <alignment horizontal="right" indent="1"/>
    </xf>
    <xf numFmtId="166" fontId="4" fillId="3" borderId="2" xfId="0" applyNumberFormat="1" applyFont="1" applyFill="1" applyBorder="1" applyAlignment="1" applyProtection="1">
      <alignment horizontal="right" indent="1"/>
      <protection locked="0"/>
    </xf>
    <xf numFmtId="166" fontId="4" fillId="0" borderId="10" xfId="0" applyNumberFormat="1" applyFont="1" applyBorder="1" applyAlignment="1">
      <alignment horizontal="right" indent="1"/>
    </xf>
    <xf numFmtId="2" fontId="4" fillId="0" borderId="2" xfId="0" applyNumberFormat="1" applyFont="1" applyBorder="1" applyAlignment="1">
      <alignment horizontal="right" indent="3"/>
    </xf>
    <xf numFmtId="166" fontId="4" fillId="3" borderId="13" xfId="0" applyNumberFormat="1" applyFont="1" applyFill="1" applyBorder="1" applyAlignment="1" applyProtection="1">
      <alignment horizontal="right" indent="1"/>
      <protection locked="0"/>
    </xf>
    <xf numFmtId="166" fontId="4" fillId="0" borderId="14" xfId="0" applyNumberFormat="1" applyFont="1" applyBorder="1" applyAlignment="1">
      <alignment horizontal="right" indent="1"/>
    </xf>
    <xf numFmtId="3" fontId="4" fillId="0" borderId="11" xfId="0" applyNumberFormat="1" applyFont="1" applyBorder="1" applyAlignment="1">
      <alignment horizontal="right" indent="2"/>
    </xf>
    <xf numFmtId="2" fontId="4" fillId="0" borderId="13" xfId="0" applyNumberFormat="1" applyFont="1" applyBorder="1" applyAlignment="1">
      <alignment horizontal="right" indent="3"/>
    </xf>
    <xf numFmtId="166" fontId="11" fillId="0" borderId="11" xfId="0" applyNumberFormat="1" applyFont="1" applyBorder="1" applyAlignment="1">
      <alignment horizontal="right" indent="1"/>
    </xf>
    <xf numFmtId="0" fontId="6" fillId="0" borderId="2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right" indent="2"/>
    </xf>
    <xf numFmtId="3" fontId="4" fillId="0" borderId="0" xfId="0" applyNumberFormat="1" applyFont="1" applyBorder="1" applyAlignment="1">
      <alignment horizontal="right" indent="2"/>
    </xf>
    <xf numFmtId="0" fontId="11" fillId="0" borderId="12" xfId="0" applyFont="1" applyBorder="1" applyAlignment="1">
      <alignment horizontal="right" indent="2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11" xfId="0" applyBorder="1"/>
    <xf numFmtId="0" fontId="2" fillId="0" borderId="6" xfId="0" applyFont="1" applyBorder="1" applyAlignment="1">
      <alignment horizontal="center"/>
    </xf>
    <xf numFmtId="0" fontId="2" fillId="0" borderId="3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right" indent="1"/>
    </xf>
    <xf numFmtId="166" fontId="0" fillId="4" borderId="10" xfId="0" applyNumberFormat="1" applyFill="1" applyBorder="1" applyAlignment="1" applyProtection="1">
      <alignment horizontal="right" indent="1"/>
      <protection locked="0"/>
    </xf>
    <xf numFmtId="166" fontId="0" fillId="0" borderId="44" xfId="0" applyNumberFormat="1" applyBorder="1" applyAlignment="1">
      <alignment horizontal="right" indent="2"/>
    </xf>
    <xf numFmtId="166" fontId="2" fillId="0" borderId="12" xfId="0" applyNumberFormat="1" applyFont="1" applyBorder="1" applyAlignment="1">
      <alignment horizontal="right" indent="1"/>
    </xf>
    <xf numFmtId="166" fontId="0" fillId="3" borderId="11" xfId="0" applyNumberFormat="1" applyFill="1" applyBorder="1" applyAlignment="1" applyProtection="1">
      <alignment horizontal="right" indent="1"/>
      <protection locked="0"/>
    </xf>
    <xf numFmtId="166" fontId="0" fillId="4" borderId="14" xfId="0" applyNumberFormat="1" applyFill="1" applyBorder="1" applyAlignment="1" applyProtection="1">
      <alignment horizontal="right" indent="1"/>
      <protection locked="0"/>
    </xf>
    <xf numFmtId="0" fontId="11" fillId="3" borderId="11" xfId="0" applyFont="1" applyFill="1" applyBorder="1" applyAlignment="1" applyProtection="1">
      <alignment horizontal="right" indent="3"/>
      <protection locked="0"/>
    </xf>
    <xf numFmtId="166" fontId="11" fillId="0" borderId="13" xfId="0" applyNumberFormat="1" applyFont="1" applyBorder="1" applyAlignment="1">
      <alignment horizontal="right" indent="1"/>
    </xf>
    <xf numFmtId="166" fontId="0" fillId="0" borderId="46" xfId="0" applyNumberFormat="1" applyBorder="1" applyAlignment="1">
      <alignment horizontal="right" indent="2"/>
    </xf>
    <xf numFmtId="166" fontId="0" fillId="0" borderId="11" xfId="0" applyNumberFormat="1" applyBorder="1" applyAlignment="1">
      <alignment horizontal="right" indent="2"/>
    </xf>
    <xf numFmtId="0" fontId="11" fillId="0" borderId="11" xfId="0" applyFont="1" applyBorder="1" applyAlignment="1">
      <alignment horizontal="right" indent="3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0" fillId="0" borderId="9" xfId="0" applyBorder="1" applyAlignment="1">
      <alignment horizontal="right" indent="2"/>
    </xf>
    <xf numFmtId="166" fontId="0" fillId="3" borderId="0" xfId="0" applyNumberFormat="1" applyFill="1" applyBorder="1" applyAlignment="1" applyProtection="1">
      <alignment horizontal="right" indent="1"/>
      <protection locked="0"/>
    </xf>
    <xf numFmtId="166" fontId="11" fillId="0" borderId="0" xfId="0" applyNumberFormat="1" applyFont="1" applyBorder="1" applyAlignment="1">
      <alignment horizontal="right" indent="1"/>
    </xf>
    <xf numFmtId="0" fontId="11" fillId="3" borderId="0" xfId="0" applyFont="1" applyFill="1" applyBorder="1" applyAlignment="1" applyProtection="1">
      <alignment horizontal="right" indent="3"/>
      <protection locked="0"/>
    </xf>
    <xf numFmtId="166" fontId="0" fillId="0" borderId="0" xfId="0" applyNumberFormat="1" applyBorder="1" applyAlignment="1">
      <alignment horizontal="right" indent="2"/>
    </xf>
    <xf numFmtId="0" fontId="11" fillId="0" borderId="0" xfId="0" applyFont="1" applyBorder="1" applyAlignment="1">
      <alignment horizontal="right" indent="3"/>
    </xf>
    <xf numFmtId="166" fontId="0" fillId="0" borderId="10" xfId="0" applyNumberFormat="1" applyBorder="1" applyAlignment="1">
      <alignment horizontal="right" indent="2"/>
    </xf>
    <xf numFmtId="0" fontId="0" fillId="0" borderId="12" xfId="0" applyBorder="1" applyAlignment="1">
      <alignment horizontal="right" indent="2"/>
    </xf>
    <xf numFmtId="166" fontId="0" fillId="0" borderId="14" xfId="0" applyNumberFormat="1" applyBorder="1" applyAlignment="1">
      <alignment horizontal="right" indent="2"/>
    </xf>
    <xf numFmtId="0" fontId="16" fillId="0" borderId="0" xfId="0" applyFont="1" applyAlignment="1">
      <alignment horizontal="right"/>
    </xf>
    <xf numFmtId="166" fontId="17" fillId="0" borderId="0" xfId="1" applyNumberFormat="1" applyFont="1" applyFill="1" applyAlignment="1" applyProtection="1">
      <alignment horizontal="center"/>
    </xf>
    <xf numFmtId="0" fontId="16" fillId="0" borderId="0" xfId="0" applyFont="1"/>
    <xf numFmtId="3" fontId="17" fillId="0" borderId="0" xfId="0" applyNumberFormat="1" applyFont="1" applyAlignment="1">
      <alignment horizontal="center"/>
    </xf>
    <xf numFmtId="9" fontId="17" fillId="0" borderId="0" xfId="2" applyFont="1" applyFill="1" applyAlignment="1" applyProtection="1">
      <alignment horizontal="center"/>
    </xf>
    <xf numFmtId="0" fontId="18" fillId="0" borderId="0" xfId="0" applyFont="1" applyAlignment="1">
      <alignment horizontal="left" vertical="center" readingOrder="1"/>
    </xf>
    <xf numFmtId="1" fontId="17" fillId="0" borderId="0" xfId="2" applyNumberFormat="1" applyFont="1" applyFill="1" applyAlignment="1" applyProtection="1">
      <alignment horizontal="center"/>
    </xf>
    <xf numFmtId="0" fontId="21" fillId="0" borderId="0" xfId="0" applyFont="1" applyAlignment="1">
      <alignment horizontal="left" vertical="center" readingOrder="1"/>
    </xf>
    <xf numFmtId="0" fontId="22" fillId="10" borderId="0" xfId="0" applyFont="1" applyFill="1" applyAlignment="1">
      <alignment horizontal="center" wrapText="1"/>
    </xf>
    <xf numFmtId="0" fontId="2" fillId="11" borderId="49" xfId="0" applyFont="1" applyFill="1" applyBorder="1" applyAlignment="1">
      <alignment horizontal="center" vertical="center"/>
    </xf>
    <xf numFmtId="168" fontId="2" fillId="11" borderId="48" xfId="0" applyNumberFormat="1" applyFont="1" applyFill="1" applyBorder="1" applyAlignment="1">
      <alignment horizontal="center"/>
    </xf>
    <xf numFmtId="168" fontId="6" fillId="11" borderId="48" xfId="0" applyNumberFormat="1" applyFont="1" applyFill="1" applyBorder="1" applyAlignment="1">
      <alignment horizontal="center"/>
    </xf>
    <xf numFmtId="168" fontId="6" fillId="11" borderId="51" xfId="0" applyNumberFormat="1" applyFont="1" applyFill="1" applyBorder="1" applyAlignment="1">
      <alignment horizontal="center"/>
    </xf>
    <xf numFmtId="0" fontId="11" fillId="12" borderId="0" xfId="0" applyFont="1" applyFill="1" applyAlignment="1">
      <alignment horizontal="right" vertical="center"/>
    </xf>
    <xf numFmtId="169" fontId="11" fillId="12" borderId="0" xfId="0" applyNumberFormat="1" applyFont="1" applyFill="1" applyAlignment="1">
      <alignment horizontal="left" vertical="center"/>
    </xf>
    <xf numFmtId="0" fontId="0" fillId="10" borderId="0" xfId="0" applyFill="1" applyAlignment="1">
      <alignment horizontal="right"/>
    </xf>
    <xf numFmtId="168" fontId="2" fillId="10" borderId="48" xfId="1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0" fillId="0" borderId="0" xfId="1" applyNumberFormat="1" applyFont="1" applyFill="1" applyAlignment="1">
      <alignment horizontal="right"/>
    </xf>
    <xf numFmtId="168" fontId="0" fillId="0" borderId="0" xfId="1" applyNumberFormat="1" applyFont="1"/>
    <xf numFmtId="0" fontId="2" fillId="0" borderId="0" xfId="0" applyFont="1" applyAlignment="1">
      <alignment horizontal="center"/>
    </xf>
    <xf numFmtId="0" fontId="1" fillId="0" borderId="49" xfId="0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17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13" borderId="0" xfId="0" applyFont="1" applyFill="1" applyAlignment="1">
      <alignment vertical="center"/>
    </xf>
    <xf numFmtId="0" fontId="2" fillId="13" borderId="0" xfId="0" applyFont="1" applyFill="1" applyAlignment="1">
      <alignment horizontal="left" vertical="center"/>
    </xf>
    <xf numFmtId="170" fontId="1" fillId="14" borderId="0" xfId="1" applyNumberFormat="1" applyFont="1" applyFill="1" applyBorder="1" applyAlignment="1" applyProtection="1">
      <alignment vertical="center"/>
    </xf>
    <xf numFmtId="171" fontId="1" fillId="14" borderId="0" xfId="2" applyNumberFormat="1" applyFont="1" applyFill="1" applyBorder="1" applyAlignment="1" applyProtection="1">
      <alignment horizontal="center" vertical="center"/>
    </xf>
    <xf numFmtId="0" fontId="2" fillId="13" borderId="4" xfId="0" applyFont="1" applyFill="1" applyBorder="1" applyAlignment="1">
      <alignment horizontal="left" vertical="center"/>
    </xf>
    <xf numFmtId="170" fontId="1" fillId="14" borderId="4" xfId="1" applyNumberFormat="1" applyFont="1" applyFill="1" applyBorder="1" applyAlignment="1" applyProtection="1">
      <alignment vertical="center"/>
    </xf>
    <xf numFmtId="171" fontId="1" fillId="14" borderId="4" xfId="2" applyNumberFormat="1" applyFont="1" applyFill="1" applyBorder="1" applyAlignment="1" applyProtection="1">
      <alignment horizontal="center" vertical="center"/>
    </xf>
    <xf numFmtId="171" fontId="2" fillId="13" borderId="0" xfId="2" applyNumberFormat="1" applyFont="1" applyFill="1" applyBorder="1" applyAlignment="1" applyProtection="1">
      <alignment horizontal="left" vertical="center"/>
    </xf>
    <xf numFmtId="167" fontId="1" fillId="14" borderId="0" xfId="2" applyNumberFormat="1" applyFont="1" applyFill="1" applyBorder="1" applyAlignment="1" applyProtection="1">
      <alignment horizontal="right" vertical="center" indent="5"/>
    </xf>
    <xf numFmtId="171" fontId="1" fillId="14" borderId="0" xfId="2" applyNumberFormat="1" applyFont="1" applyFill="1" applyBorder="1" applyAlignment="1" applyProtection="1">
      <alignment horizontal="right" vertical="center" indent="4"/>
    </xf>
    <xf numFmtId="171" fontId="2" fillId="13" borderId="4" xfId="2" applyNumberFormat="1" applyFont="1" applyFill="1" applyBorder="1" applyAlignment="1" applyProtection="1">
      <alignment horizontal="left" vertical="center"/>
    </xf>
    <xf numFmtId="171" fontId="1" fillId="14" borderId="4" xfId="2" applyNumberFormat="1" applyFont="1" applyFill="1" applyBorder="1" applyAlignment="1" applyProtection="1">
      <alignment horizontal="right" vertical="center" indent="4"/>
    </xf>
    <xf numFmtId="0" fontId="2" fillId="15" borderId="17" xfId="0" applyFont="1" applyFill="1" applyBorder="1" applyAlignment="1">
      <alignment horizontal="left" vertical="center"/>
    </xf>
    <xf numFmtId="171" fontId="1" fillId="16" borderId="17" xfId="1" applyNumberFormat="1" applyFont="1" applyFill="1" applyBorder="1" applyAlignment="1" applyProtection="1">
      <alignment horizontal="right" vertical="center" indent="4"/>
    </xf>
    <xf numFmtId="0" fontId="2" fillId="15" borderId="4" xfId="0" applyFont="1" applyFill="1" applyBorder="1" applyAlignment="1">
      <alignment horizontal="left" vertical="center"/>
    </xf>
    <xf numFmtId="171" fontId="1" fillId="16" borderId="4" xfId="1" applyNumberFormat="1" applyFont="1" applyFill="1" applyBorder="1" applyAlignment="1" applyProtection="1">
      <alignment horizontal="right" vertical="center" indent="4"/>
    </xf>
    <xf numFmtId="167" fontId="1" fillId="14" borderId="0" xfId="0" applyNumberFormat="1" applyFont="1" applyFill="1" applyAlignment="1">
      <alignment horizontal="right" vertical="center" indent="5"/>
    </xf>
    <xf numFmtId="0" fontId="2" fillId="13" borderId="4" xfId="0" applyFont="1" applyFill="1" applyBorder="1" applyAlignment="1">
      <alignment vertical="center"/>
    </xf>
    <xf numFmtId="167" fontId="1" fillId="14" borderId="4" xfId="0" applyNumberFormat="1" applyFont="1" applyFill="1" applyBorder="1" applyAlignment="1">
      <alignment horizontal="right" vertical="center" indent="5"/>
    </xf>
    <xf numFmtId="0" fontId="2" fillId="15" borderId="0" xfId="0" applyFont="1" applyFill="1" applyAlignment="1">
      <alignment horizontal="left" vertical="center"/>
    </xf>
    <xf numFmtId="167" fontId="1" fillId="16" borderId="0" xfId="1" applyNumberFormat="1" applyFont="1" applyFill="1" applyBorder="1" applyAlignment="1" applyProtection="1">
      <alignment horizontal="right" vertical="center" indent="5"/>
    </xf>
    <xf numFmtId="0" fontId="2" fillId="13" borderId="0" xfId="0" applyFont="1" applyFill="1" applyAlignment="1">
      <alignment horizontal="center" vertical="top" textRotation="255"/>
    </xf>
    <xf numFmtId="2" fontId="1" fillId="16" borderId="0" xfId="1" applyNumberFormat="1" applyFont="1" applyFill="1" applyBorder="1" applyAlignment="1" applyProtection="1">
      <alignment horizontal="right" vertical="center" indent="5"/>
    </xf>
    <xf numFmtId="0" fontId="2" fillId="13" borderId="4" xfId="0" applyFont="1" applyFill="1" applyBorder="1" applyAlignment="1">
      <alignment horizontal="center" vertical="top" textRotation="255"/>
    </xf>
    <xf numFmtId="0" fontId="2" fillId="13" borderId="11" xfId="0" applyFont="1" applyFill="1" applyBorder="1" applyAlignment="1">
      <alignment horizontal="center" vertical="top" textRotation="255"/>
    </xf>
    <xf numFmtId="0" fontId="2" fillId="15" borderId="11" xfId="0" applyFont="1" applyFill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6" fillId="17" borderId="42" xfId="0" applyFont="1" applyFill="1" applyBorder="1" applyAlignment="1">
      <alignment horizontal="center"/>
    </xf>
    <xf numFmtId="0" fontId="2" fillId="17" borderId="50" xfId="0" applyFont="1" applyFill="1" applyBorder="1" applyAlignment="1">
      <alignment horizontal="center" vertical="center"/>
    </xf>
    <xf numFmtId="0" fontId="2" fillId="17" borderId="42" xfId="0" applyFont="1" applyFill="1" applyBorder="1" applyAlignment="1">
      <alignment horizontal="center" vertical="center"/>
    </xf>
    <xf numFmtId="0" fontId="2" fillId="17" borderId="47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40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indent="5"/>
    </xf>
    <xf numFmtId="3" fontId="1" fillId="0" borderId="9" xfId="0" applyNumberFormat="1" applyFont="1" applyBorder="1" applyAlignment="1">
      <alignment horizontal="right" vertical="center" indent="5"/>
    </xf>
    <xf numFmtId="168" fontId="0" fillId="0" borderId="10" xfId="0" applyNumberFormat="1" applyBorder="1" applyAlignment="1">
      <alignment vertical="center"/>
    </xf>
    <xf numFmtId="166" fontId="1" fillId="0" borderId="9" xfId="0" applyNumberFormat="1" applyFont="1" applyBorder="1" applyAlignment="1">
      <alignment horizontal="right" vertical="center" indent="2"/>
    </xf>
    <xf numFmtId="0" fontId="0" fillId="0" borderId="2" xfId="0" applyBorder="1" applyAlignment="1">
      <alignment horizontal="right" vertical="center" indent="5"/>
    </xf>
    <xf numFmtId="171" fontId="0" fillId="0" borderId="10" xfId="2" applyNumberFormat="1" applyFont="1" applyBorder="1" applyAlignment="1">
      <alignment horizontal="right" vertical="center" indent="6"/>
    </xf>
    <xf numFmtId="166" fontId="1" fillId="0" borderId="0" xfId="0" applyNumberFormat="1" applyFont="1" applyAlignment="1">
      <alignment horizontal="right" vertical="center" indent="2"/>
    </xf>
    <xf numFmtId="171" fontId="0" fillId="0" borderId="10" xfId="2" applyNumberFormat="1" applyFont="1" applyBorder="1" applyAlignment="1">
      <alignment horizontal="center" vertical="center"/>
    </xf>
    <xf numFmtId="171" fontId="0" fillId="0" borderId="0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right" vertical="center" indent="5"/>
    </xf>
    <xf numFmtId="9" fontId="0" fillId="0" borderId="0" xfId="2" applyFont="1" applyBorder="1" applyAlignment="1">
      <alignment horizontal="right" vertical="center" indent="5"/>
    </xf>
    <xf numFmtId="0" fontId="0" fillId="0" borderId="13" xfId="0" applyBorder="1" applyAlignment="1">
      <alignment horizontal="right" vertical="center" indent="5"/>
    </xf>
    <xf numFmtId="171" fontId="0" fillId="0" borderId="14" xfId="2" applyNumberFormat="1" applyFont="1" applyBorder="1" applyAlignment="1">
      <alignment horizontal="right" vertical="center" indent="6"/>
    </xf>
    <xf numFmtId="9" fontId="0" fillId="0" borderId="14" xfId="2" applyFont="1" applyBorder="1" applyAlignment="1">
      <alignment horizontal="right" vertical="center" indent="5"/>
    </xf>
    <xf numFmtId="9" fontId="0" fillId="0" borderId="11" xfId="2" applyFont="1" applyBorder="1" applyAlignment="1">
      <alignment horizontal="right" vertical="center" indent="5"/>
    </xf>
    <xf numFmtId="0" fontId="1" fillId="0" borderId="0" xfId="0" applyFont="1" applyAlignment="1">
      <alignment horizontal="left" indent="2"/>
    </xf>
    <xf numFmtId="0" fontId="6" fillId="0" borderId="12" xfId="0" applyFont="1" applyBorder="1" applyAlignment="1">
      <alignment horizontal="center"/>
    </xf>
    <xf numFmtId="167" fontId="6" fillId="0" borderId="14" xfId="0" applyNumberFormat="1" applyFont="1" applyBorder="1" applyAlignment="1">
      <alignment horizontal="center"/>
    </xf>
    <xf numFmtId="170" fontId="1" fillId="18" borderId="0" xfId="1" applyNumberFormat="1" applyFont="1" applyFill="1" applyBorder="1" applyAlignment="1" applyProtection="1">
      <alignment vertical="center"/>
    </xf>
    <xf numFmtId="171" fontId="1" fillId="18" borderId="0" xfId="2" applyNumberFormat="1" applyFont="1" applyFill="1" applyBorder="1" applyAlignment="1" applyProtection="1">
      <alignment horizontal="center" vertical="center"/>
    </xf>
    <xf numFmtId="170" fontId="1" fillId="18" borderId="4" xfId="1" applyNumberFormat="1" applyFont="1" applyFill="1" applyBorder="1" applyAlignment="1" applyProtection="1">
      <alignment vertical="center"/>
    </xf>
    <xf numFmtId="171" fontId="1" fillId="18" borderId="4" xfId="2" applyNumberFormat="1" applyFont="1" applyFill="1" applyBorder="1" applyAlignment="1" applyProtection="1">
      <alignment horizontal="center" vertical="center"/>
    </xf>
    <xf numFmtId="167" fontId="1" fillId="18" borderId="0" xfId="2" applyNumberFormat="1" applyFont="1" applyFill="1" applyBorder="1" applyAlignment="1" applyProtection="1">
      <alignment horizontal="right" vertical="center" indent="4"/>
    </xf>
    <xf numFmtId="171" fontId="1" fillId="18" borderId="0" xfId="2" applyNumberFormat="1" applyFont="1" applyFill="1" applyBorder="1" applyAlignment="1" applyProtection="1">
      <alignment horizontal="right" vertical="center" indent="4"/>
    </xf>
    <xf numFmtId="171" fontId="1" fillId="18" borderId="4" xfId="2" applyNumberFormat="1" applyFont="1" applyFill="1" applyBorder="1" applyAlignment="1" applyProtection="1">
      <alignment horizontal="right" vertical="center" indent="3"/>
    </xf>
    <xf numFmtId="171" fontId="1" fillId="19" borderId="17" xfId="1" applyNumberFormat="1" applyFont="1" applyFill="1" applyBorder="1" applyAlignment="1" applyProtection="1">
      <alignment horizontal="right" vertical="center" indent="4"/>
    </xf>
    <xf numFmtId="171" fontId="1" fillId="19" borderId="4" xfId="1" applyNumberFormat="1" applyFont="1" applyFill="1" applyBorder="1" applyAlignment="1" applyProtection="1">
      <alignment horizontal="right" vertical="center" indent="4"/>
    </xf>
    <xf numFmtId="167" fontId="1" fillId="18" borderId="0" xfId="0" applyNumberFormat="1" applyFont="1" applyFill="1" applyAlignment="1">
      <alignment horizontal="right" vertical="center" indent="5"/>
    </xf>
    <xf numFmtId="167" fontId="1" fillId="18" borderId="4" xfId="0" applyNumberFormat="1" applyFont="1" applyFill="1" applyBorder="1" applyAlignment="1">
      <alignment horizontal="right" vertical="center" indent="4"/>
    </xf>
    <xf numFmtId="167" fontId="1" fillId="19" borderId="0" xfId="1" applyNumberFormat="1" applyFont="1" applyFill="1" applyBorder="1" applyAlignment="1" applyProtection="1">
      <alignment horizontal="right" vertical="center" indent="4"/>
    </xf>
    <xf numFmtId="2" fontId="1" fillId="19" borderId="0" xfId="1" applyNumberFormat="1" applyFont="1" applyFill="1" applyBorder="1" applyAlignment="1" applyProtection="1">
      <alignment horizontal="right" vertical="center" indent="4"/>
    </xf>
    <xf numFmtId="170" fontId="1" fillId="20" borderId="0" xfId="1" applyNumberFormat="1" applyFont="1" applyFill="1" applyBorder="1" applyAlignment="1" applyProtection="1">
      <alignment vertical="center"/>
    </xf>
    <xf numFmtId="171" fontId="1" fillId="20" borderId="0" xfId="2" applyNumberFormat="1" applyFont="1" applyFill="1" applyBorder="1" applyAlignment="1" applyProtection="1">
      <alignment horizontal="center" vertical="center"/>
    </xf>
    <xf numFmtId="170" fontId="1" fillId="20" borderId="4" xfId="1" applyNumberFormat="1" applyFont="1" applyFill="1" applyBorder="1" applyAlignment="1" applyProtection="1">
      <alignment vertical="center"/>
    </xf>
    <xf numFmtId="171" fontId="1" fillId="20" borderId="4" xfId="2" applyNumberFormat="1" applyFont="1" applyFill="1" applyBorder="1" applyAlignment="1" applyProtection="1">
      <alignment horizontal="center" vertical="center"/>
    </xf>
    <xf numFmtId="167" fontId="1" fillId="20" borderId="0" xfId="2" applyNumberFormat="1" applyFont="1" applyFill="1" applyBorder="1" applyAlignment="1" applyProtection="1">
      <alignment horizontal="right" vertical="center" indent="4"/>
    </xf>
    <xf numFmtId="171" fontId="1" fillId="20" borderId="0" xfId="2" applyNumberFormat="1" applyFont="1" applyFill="1" applyBorder="1" applyAlignment="1" applyProtection="1">
      <alignment horizontal="right" vertical="center" indent="4"/>
    </xf>
    <xf numFmtId="171" fontId="1" fillId="20" borderId="4" xfId="2" applyNumberFormat="1" applyFont="1" applyFill="1" applyBorder="1" applyAlignment="1" applyProtection="1">
      <alignment horizontal="right" vertical="center" indent="3"/>
    </xf>
    <xf numFmtId="171" fontId="1" fillId="21" borderId="17" xfId="1" applyNumberFormat="1" applyFont="1" applyFill="1" applyBorder="1" applyAlignment="1" applyProtection="1">
      <alignment horizontal="right" vertical="center" indent="4"/>
    </xf>
    <xf numFmtId="171" fontId="1" fillId="21" borderId="4" xfId="1" applyNumberFormat="1" applyFont="1" applyFill="1" applyBorder="1" applyAlignment="1" applyProtection="1">
      <alignment horizontal="right" vertical="center" indent="4"/>
    </xf>
    <xf numFmtId="167" fontId="1" fillId="20" borderId="0" xfId="0" applyNumberFormat="1" applyFont="1" applyFill="1" applyAlignment="1">
      <alignment horizontal="right" vertical="center" indent="5"/>
    </xf>
    <xf numFmtId="167" fontId="1" fillId="20" borderId="4" xfId="0" applyNumberFormat="1" applyFont="1" applyFill="1" applyBorder="1" applyAlignment="1">
      <alignment horizontal="right" vertical="center" indent="4"/>
    </xf>
    <xf numFmtId="167" fontId="1" fillId="21" borderId="0" xfId="1" applyNumberFormat="1" applyFont="1" applyFill="1" applyBorder="1" applyAlignment="1" applyProtection="1">
      <alignment horizontal="right" vertical="center" indent="4"/>
    </xf>
    <xf numFmtId="2" fontId="1" fillId="21" borderId="0" xfId="1" applyNumberFormat="1" applyFont="1" applyFill="1" applyBorder="1" applyAlignment="1" applyProtection="1">
      <alignment horizontal="right" vertical="center" indent="4"/>
    </xf>
    <xf numFmtId="166" fontId="0" fillId="0" borderId="11" xfId="0" applyNumberFormat="1" applyBorder="1" applyAlignment="1">
      <alignment horizontal="right" indent="1"/>
    </xf>
    <xf numFmtId="166" fontId="0" fillId="0" borderId="11" xfId="0" applyNumberFormat="1" applyBorder="1" applyAlignment="1">
      <alignment horizontal="right" indent="4"/>
    </xf>
    <xf numFmtId="166" fontId="6" fillId="0" borderId="0" xfId="0" applyNumberFormat="1" applyFont="1" applyBorder="1" applyAlignment="1">
      <alignment horizontal="right" indent="5"/>
    </xf>
    <xf numFmtId="166" fontId="0" fillId="0" borderId="0" xfId="0" applyNumberFormat="1" applyBorder="1" applyAlignment="1">
      <alignment horizontal="right" indent="1"/>
    </xf>
    <xf numFmtId="166" fontId="0" fillId="0" borderId="0" xfId="0" applyNumberFormat="1" applyBorder="1" applyAlignment="1">
      <alignment horizontal="right" indent="4"/>
    </xf>
    <xf numFmtId="166" fontId="0" fillId="0" borderId="10" xfId="0" applyNumberFormat="1" applyBorder="1" applyAlignment="1">
      <alignment horizontal="right" indent="3"/>
    </xf>
    <xf numFmtId="166" fontId="0" fillId="0" borderId="14" xfId="0" applyNumberFormat="1" applyBorder="1" applyAlignment="1">
      <alignment horizontal="right" indent="3"/>
    </xf>
    <xf numFmtId="0" fontId="2" fillId="0" borderId="11" xfId="0" applyFont="1" applyBorder="1" applyAlignment="1">
      <alignment horizontal="right"/>
    </xf>
    <xf numFmtId="2" fontId="4" fillId="3" borderId="11" xfId="0" applyNumberFormat="1" applyFont="1" applyFill="1" applyBorder="1" applyAlignment="1" applyProtection="1">
      <alignment horizontal="center"/>
      <protection locked="0"/>
    </xf>
    <xf numFmtId="167" fontId="3" fillId="3" borderId="11" xfId="0" applyNumberFormat="1" applyFont="1" applyFill="1" applyBorder="1" applyAlignment="1" applyProtection="1">
      <alignment horizontal="center"/>
      <protection locked="0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166" fontId="4" fillId="0" borderId="0" xfId="0" applyNumberFormat="1" applyFont="1" applyAlignment="1">
      <alignment horizontal="right" indent="2"/>
    </xf>
    <xf numFmtId="166" fontId="4" fillId="0" borderId="55" xfId="0" applyNumberFormat="1" applyFont="1" applyBorder="1" applyAlignment="1">
      <alignment horizontal="right" indent="2"/>
    </xf>
    <xf numFmtId="166" fontId="3" fillId="3" borderId="0" xfId="0" applyNumberFormat="1" applyFont="1" applyFill="1" applyAlignment="1" applyProtection="1">
      <alignment horizontal="right" indent="2"/>
      <protection locked="0"/>
    </xf>
    <xf numFmtId="166" fontId="3" fillId="3" borderId="0" xfId="0" applyNumberFormat="1" applyFont="1" applyFill="1" applyAlignment="1" applyProtection="1">
      <alignment horizontal="right" indent="3"/>
      <protection locked="0"/>
    </xf>
    <xf numFmtId="166" fontId="4" fillId="3" borderId="0" xfId="0" applyNumberFormat="1" applyFont="1" applyFill="1" applyAlignment="1" applyProtection="1">
      <alignment horizontal="right" indent="2"/>
      <protection locked="0"/>
    </xf>
    <xf numFmtId="166" fontId="4" fillId="3" borderId="0" xfId="0" applyNumberFormat="1" applyFont="1" applyFill="1" applyAlignment="1" applyProtection="1">
      <alignment horizontal="right" indent="3"/>
      <protection locked="0"/>
    </xf>
    <xf numFmtId="166" fontId="4" fillId="0" borderId="56" xfId="0" applyNumberFormat="1" applyFont="1" applyBorder="1" applyAlignment="1">
      <alignment horizontal="right" indent="2"/>
    </xf>
    <xf numFmtId="166" fontId="4" fillId="3" borderId="4" xfId="0" applyNumberFormat="1" applyFont="1" applyFill="1" applyBorder="1" applyAlignment="1" applyProtection="1">
      <alignment horizontal="right" indent="3"/>
      <protection locked="0"/>
    </xf>
    <xf numFmtId="166" fontId="4" fillId="0" borderId="0" xfId="0" applyNumberFormat="1" applyFont="1"/>
    <xf numFmtId="1" fontId="3" fillId="3" borderId="15" xfId="0" applyNumberFormat="1" applyFont="1" applyFill="1" applyBorder="1" applyAlignment="1" applyProtection="1">
      <alignment horizontal="center"/>
      <protection locked="0"/>
    </xf>
    <xf numFmtId="0" fontId="0" fillId="3" borderId="0" xfId="0" applyFill="1"/>
    <xf numFmtId="0" fontId="0" fillId="4" borderId="0" xfId="0" applyFill="1" applyBorder="1"/>
    <xf numFmtId="165" fontId="0" fillId="4" borderId="0" xfId="0" applyNumberFormat="1" applyFill="1" applyBorder="1"/>
    <xf numFmtId="164" fontId="0" fillId="4" borderId="0" xfId="2" applyNumberFormat="1" applyFont="1" applyFill="1" applyBorder="1"/>
    <xf numFmtId="164" fontId="0" fillId="4" borderId="0" xfId="0" applyNumberFormat="1" applyFill="1" applyBorder="1"/>
    <xf numFmtId="0" fontId="2" fillId="2" borderId="42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wrapText="1"/>
    </xf>
    <xf numFmtId="165" fontId="2" fillId="2" borderId="40" xfId="0" applyNumberFormat="1" applyFont="1" applyFill="1" applyBorder="1" applyAlignment="1">
      <alignment horizontal="center" vertical="center" wrapText="1"/>
    </xf>
    <xf numFmtId="164" fontId="2" fillId="2" borderId="40" xfId="2" applyNumberFormat="1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0" fillId="4" borderId="9" xfId="0" applyFill="1" applyBorder="1"/>
    <xf numFmtId="164" fontId="0" fillId="4" borderId="10" xfId="0" applyNumberFormat="1" applyFill="1" applyBorder="1"/>
    <xf numFmtId="0" fontId="0" fillId="4" borderId="9" xfId="0" applyFill="1" applyBorder="1" applyAlignment="1">
      <alignment wrapText="1"/>
    </xf>
    <xf numFmtId="0" fontId="0" fillId="4" borderId="12" xfId="0" applyFill="1" applyBorder="1"/>
    <xf numFmtId="0" fontId="0" fillId="4" borderId="11" xfId="0" applyFill="1" applyBorder="1"/>
    <xf numFmtId="165" fontId="0" fillId="4" borderId="11" xfId="0" applyNumberFormat="1" applyFill="1" applyBorder="1"/>
    <xf numFmtId="164" fontId="0" fillId="4" borderId="11" xfId="2" applyNumberFormat="1" applyFont="1" applyFill="1" applyBorder="1"/>
    <xf numFmtId="164" fontId="0" fillId="4" borderId="14" xfId="0" applyNumberFormat="1" applyFill="1" applyBorder="1"/>
    <xf numFmtId="164" fontId="2" fillId="3" borderId="12" xfId="1" applyNumberFormat="1" applyFont="1" applyFill="1" applyBorder="1"/>
    <xf numFmtId="164" fontId="2" fillId="3" borderId="14" xfId="0" applyNumberFormat="1" applyFont="1" applyFill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66" fontId="11" fillId="0" borderId="42" xfId="0" applyNumberFormat="1" applyFont="1" applyBorder="1" applyAlignment="1">
      <alignment horizontal="right" indent="1"/>
    </xf>
    <xf numFmtId="0" fontId="11" fillId="0" borderId="40" xfId="0" applyFont="1" applyBorder="1" applyAlignment="1">
      <alignment horizontal="right" indent="3"/>
    </xf>
    <xf numFmtId="166" fontId="0" fillId="0" borderId="50" xfId="0" applyNumberFormat="1" applyBorder="1" applyAlignment="1">
      <alignment horizontal="right" indent="2"/>
    </xf>
    <xf numFmtId="166" fontId="11" fillId="0" borderId="40" xfId="0" applyNumberFormat="1" applyFont="1" applyBorder="1" applyAlignment="1">
      <alignment horizontal="right" indent="1"/>
    </xf>
    <xf numFmtId="166" fontId="11" fillId="0" borderId="12" xfId="0" applyNumberFormat="1" applyFont="1" applyBorder="1" applyAlignment="1">
      <alignment horizontal="right" indent="1"/>
    </xf>
    <xf numFmtId="165" fontId="4" fillId="0" borderId="2" xfId="0" applyNumberFormat="1" applyFont="1" applyBorder="1" applyAlignment="1">
      <alignment horizontal="right" indent="2"/>
    </xf>
    <xf numFmtId="166" fontId="4" fillId="0" borderId="57" xfId="0" applyNumberFormat="1" applyFont="1" applyBorder="1" applyAlignment="1">
      <alignment horizontal="right" indent="2"/>
    </xf>
    <xf numFmtId="165" fontId="4" fillId="0" borderId="13" xfId="0" applyNumberFormat="1" applyFont="1" applyBorder="1" applyAlignment="1">
      <alignment horizontal="right" indent="2"/>
    </xf>
    <xf numFmtId="166" fontId="4" fillId="0" borderId="17" xfId="0" applyNumberFormat="1" applyFont="1" applyBorder="1" applyAlignment="1">
      <alignment horizontal="right" indent="2"/>
    </xf>
    <xf numFmtId="166" fontId="4" fillId="0" borderId="58" xfId="0" applyNumberFormat="1" applyFont="1" applyBorder="1" applyAlignment="1">
      <alignment horizontal="right" indent="2"/>
    </xf>
    <xf numFmtId="165" fontId="4" fillId="0" borderId="29" xfId="0" applyNumberFormat="1" applyFont="1" applyBorder="1" applyAlignment="1">
      <alignment horizontal="right" indent="2"/>
    </xf>
    <xf numFmtId="165" fontId="4" fillId="0" borderId="30" xfId="0" applyNumberFormat="1" applyFont="1" applyBorder="1" applyAlignment="1">
      <alignment horizontal="right" indent="2"/>
    </xf>
    <xf numFmtId="166" fontId="4" fillId="0" borderId="59" xfId="0" applyNumberFormat="1" applyFont="1" applyBorder="1" applyAlignment="1">
      <alignment horizontal="right" indent="2"/>
    </xf>
    <xf numFmtId="166" fontId="4" fillId="0" borderId="60" xfId="0" applyNumberFormat="1" applyFont="1" applyBorder="1" applyAlignment="1">
      <alignment horizontal="right" indent="2"/>
    </xf>
    <xf numFmtId="166" fontId="4" fillId="0" borderId="44" xfId="0" applyNumberFormat="1" applyFont="1" applyBorder="1" applyAlignment="1">
      <alignment horizontal="right" indent="2"/>
    </xf>
    <xf numFmtId="166" fontId="4" fillId="0" borderId="19" xfId="0" applyNumberFormat="1" applyFont="1" applyBorder="1" applyAlignment="1">
      <alignment horizontal="right" indent="2"/>
    </xf>
    <xf numFmtId="166" fontId="4" fillId="0" borderId="4" xfId="0" applyNumberFormat="1" applyFont="1" applyBorder="1" applyAlignment="1">
      <alignment horizontal="right" indent="2"/>
    </xf>
    <xf numFmtId="166" fontId="4" fillId="0" borderId="3" xfId="0" applyNumberFormat="1" applyFont="1" applyBorder="1" applyAlignment="1">
      <alignment horizontal="right" indent="2"/>
    </xf>
    <xf numFmtId="0" fontId="0" fillId="0" borderId="59" xfId="0" applyBorder="1" applyAlignment="1">
      <alignment horizontal="right" indent="2"/>
    </xf>
    <xf numFmtId="0" fontId="0" fillId="0" borderId="55" xfId="0" applyBorder="1" applyAlignment="1">
      <alignment horizontal="right" indent="2"/>
    </xf>
    <xf numFmtId="0" fontId="0" fillId="0" borderId="19" xfId="0" applyBorder="1" applyAlignment="1">
      <alignment horizontal="right" indent="2"/>
    </xf>
    <xf numFmtId="166" fontId="4" fillId="0" borderId="61" xfId="0" applyNumberFormat="1" applyFont="1" applyBorder="1" applyAlignment="1">
      <alignment horizontal="right" indent="1"/>
    </xf>
    <xf numFmtId="2" fontId="0" fillId="3" borderId="12" xfId="0" applyNumberFormat="1" applyFill="1" applyBorder="1" applyAlignment="1" applyProtection="1">
      <alignment horizontal="right" indent="2"/>
      <protection locked="0"/>
    </xf>
    <xf numFmtId="2" fontId="0" fillId="3" borderId="14" xfId="0" applyNumberFormat="1" applyFill="1" applyBorder="1" applyAlignment="1" applyProtection="1">
      <alignment horizontal="right" indent="2"/>
      <protection locked="0"/>
    </xf>
    <xf numFmtId="1" fontId="1" fillId="0" borderId="0" xfId="0" applyNumberFormat="1" applyFont="1" applyAlignment="1">
      <alignment horizontal="right" indent="5"/>
    </xf>
    <xf numFmtId="0" fontId="25" fillId="0" borderId="42" xfId="0" applyFont="1" applyBorder="1" applyAlignment="1">
      <alignment horizontal="center" wrapText="1"/>
    </xf>
    <xf numFmtId="0" fontId="25" fillId="0" borderId="40" xfId="0" applyFont="1" applyBorder="1" applyAlignment="1">
      <alignment horizontal="center"/>
    </xf>
    <xf numFmtId="0" fontId="25" fillId="0" borderId="50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2" xfId="0" applyFont="1" applyBorder="1" applyAlignment="1">
      <alignment horizontal="right" vertical="center" wrapText="1"/>
    </xf>
    <xf numFmtId="0" fontId="2" fillId="0" borderId="36" xfId="0" applyFont="1" applyBorder="1" applyAlignment="1">
      <alignment horizontal="righ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36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21" xfId="0" applyFont="1" applyFill="1" applyBorder="1" applyAlignment="1">
      <alignment horizontal="left" vertical="top"/>
    </xf>
    <xf numFmtId="0" fontId="1" fillId="4" borderId="16" xfId="0" applyFont="1" applyFill="1" applyBorder="1" applyAlignment="1">
      <alignment horizontal="left" vertical="top"/>
    </xf>
    <xf numFmtId="0" fontId="1" fillId="4" borderId="38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36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left" vertical="top" wrapText="1"/>
    </xf>
    <xf numFmtId="0" fontId="1" fillId="4" borderId="16" xfId="0" applyFont="1" applyFill="1" applyBorder="1" applyAlignment="1">
      <alignment horizontal="left" vertical="top" wrapText="1"/>
    </xf>
    <xf numFmtId="0" fontId="1" fillId="4" borderId="37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2" fillId="4" borderId="31" xfId="0" applyFont="1" applyFill="1" applyBorder="1" applyAlignment="1">
      <alignment horizontal="left"/>
    </xf>
    <xf numFmtId="0" fontId="2" fillId="4" borderId="32" xfId="0" applyFont="1" applyFill="1" applyBorder="1" applyAlignment="1">
      <alignment horizontal="left"/>
    </xf>
    <xf numFmtId="0" fontId="2" fillId="4" borderId="33" xfId="0" applyFont="1" applyFill="1" applyBorder="1" applyAlignment="1">
      <alignment horizontal="left"/>
    </xf>
    <xf numFmtId="0" fontId="6" fillId="0" borderId="31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2" fillId="1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1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71" fontId="1" fillId="16" borderId="11" xfId="2" applyNumberFormat="1" applyFont="1" applyFill="1" applyBorder="1" applyAlignment="1" applyProtection="1">
      <alignment horizontal="center" vertical="center"/>
    </xf>
    <xf numFmtId="171" fontId="1" fillId="19" borderId="11" xfId="2" applyNumberFormat="1" applyFont="1" applyFill="1" applyBorder="1" applyAlignment="1" applyProtection="1">
      <alignment horizontal="center" vertical="center"/>
    </xf>
    <xf numFmtId="171" fontId="1" fillId="21" borderId="11" xfId="2" applyNumberFormat="1" applyFont="1" applyFill="1" applyBorder="1" applyAlignment="1" applyProtection="1">
      <alignment horizontal="center" vertical="center"/>
    </xf>
    <xf numFmtId="0" fontId="2" fillId="13" borderId="17" xfId="0" applyFont="1" applyFill="1" applyBorder="1" applyAlignment="1">
      <alignment horizontal="center" vertical="top" textRotation="255"/>
    </xf>
    <xf numFmtId="0" fontId="2" fillId="13" borderId="0" xfId="0" applyFont="1" applyFill="1" applyAlignment="1">
      <alignment horizontal="center" vertical="top" textRotation="255"/>
    </xf>
    <xf numFmtId="0" fontId="2" fillId="13" borderId="4" xfId="0" applyFont="1" applyFill="1" applyBorder="1" applyAlignment="1">
      <alignment horizontal="center" vertical="top" textRotation="255"/>
    </xf>
    <xf numFmtId="171" fontId="1" fillId="16" borderId="4" xfId="2" applyNumberFormat="1" applyFont="1" applyFill="1" applyBorder="1" applyAlignment="1" applyProtection="1">
      <alignment horizontal="center" vertical="center"/>
    </xf>
    <xf numFmtId="171" fontId="1" fillId="19" borderId="4" xfId="2" applyNumberFormat="1" applyFont="1" applyFill="1" applyBorder="1" applyAlignment="1" applyProtection="1">
      <alignment horizontal="center" vertical="center"/>
    </xf>
    <xf numFmtId="171" fontId="1" fillId="21" borderId="4" xfId="2" applyNumberFormat="1" applyFont="1" applyFill="1" applyBorder="1" applyAlignment="1" applyProtection="1">
      <alignment horizontal="center" vertical="center"/>
    </xf>
    <xf numFmtId="0" fontId="2" fillId="13" borderId="4" xfId="0" applyFont="1" applyFill="1" applyBorder="1" applyAlignment="1">
      <alignment horizontal="left" vertical="center" wrapText="1"/>
    </xf>
    <xf numFmtId="170" fontId="1" fillId="14" borderId="4" xfId="1" applyNumberFormat="1" applyFont="1" applyFill="1" applyBorder="1" applyAlignment="1" applyProtection="1">
      <alignment horizontal="center" vertical="center"/>
    </xf>
    <xf numFmtId="44" fontId="1" fillId="14" borderId="4" xfId="1" applyFont="1" applyFill="1" applyBorder="1" applyAlignment="1" applyProtection="1">
      <alignment horizontal="center" vertical="center"/>
    </xf>
    <xf numFmtId="170" fontId="1" fillId="18" borderId="4" xfId="1" applyNumberFormat="1" applyFont="1" applyFill="1" applyBorder="1" applyAlignment="1" applyProtection="1">
      <alignment horizontal="center" vertical="center"/>
    </xf>
    <xf numFmtId="44" fontId="1" fillId="18" borderId="4" xfId="1" applyFont="1" applyFill="1" applyBorder="1" applyAlignment="1" applyProtection="1">
      <alignment horizontal="center" vertical="center"/>
    </xf>
    <xf numFmtId="170" fontId="1" fillId="20" borderId="4" xfId="1" applyNumberFormat="1" applyFont="1" applyFill="1" applyBorder="1" applyAlignment="1" applyProtection="1">
      <alignment horizontal="center" vertical="center"/>
    </xf>
    <xf numFmtId="44" fontId="1" fillId="20" borderId="4" xfId="1" applyFont="1" applyFill="1" applyBorder="1" applyAlignment="1" applyProtection="1">
      <alignment horizontal="center" vertical="center"/>
    </xf>
    <xf numFmtId="170" fontId="1" fillId="14" borderId="0" xfId="1" applyNumberFormat="1" applyFont="1" applyFill="1" applyBorder="1" applyAlignment="1" applyProtection="1">
      <alignment horizontal="center" vertical="center"/>
    </xf>
    <xf numFmtId="170" fontId="1" fillId="18" borderId="0" xfId="1" applyNumberFormat="1" applyFont="1" applyFill="1" applyBorder="1" applyAlignment="1" applyProtection="1">
      <alignment horizontal="center" vertical="center"/>
    </xf>
    <xf numFmtId="170" fontId="1" fillId="20" borderId="0" xfId="1" applyNumberFormat="1" applyFont="1" applyFill="1" applyBorder="1" applyAlignment="1" applyProtection="1">
      <alignment horizontal="center" vertical="center"/>
    </xf>
    <xf numFmtId="0" fontId="2" fillId="13" borderId="4" xfId="0" applyFont="1" applyFill="1" applyBorder="1" applyAlignment="1">
      <alignment horizontal="right" vertical="center" wrapText="1"/>
    </xf>
    <xf numFmtId="171" fontId="2" fillId="14" borderId="0" xfId="2" applyNumberFormat="1" applyFont="1" applyFill="1" applyBorder="1" applyAlignment="1" applyProtection="1">
      <alignment horizontal="center" vertical="center"/>
    </xf>
    <xf numFmtId="171" fontId="2" fillId="18" borderId="0" xfId="2" applyNumberFormat="1" applyFont="1" applyFill="1" applyBorder="1" applyAlignment="1" applyProtection="1">
      <alignment horizontal="center" vertical="center"/>
    </xf>
    <xf numFmtId="171" fontId="2" fillId="20" borderId="0" xfId="2" applyNumberFormat="1" applyFont="1" applyFill="1" applyBorder="1" applyAlignment="1" applyProtection="1">
      <alignment horizontal="center" vertical="center"/>
    </xf>
    <xf numFmtId="0" fontId="2" fillId="13" borderId="0" xfId="0" applyFont="1" applyFill="1" applyAlignment="1">
      <alignment horizontal="left" vertical="center"/>
    </xf>
  </cellXfs>
  <cellStyles count="3">
    <cellStyle name="Moeda" xfId="1" builtinId="4"/>
    <cellStyle name="Normal" xfId="0" builtinId="0"/>
    <cellStyle name="Porcentagem" xfId="2" builtinId="5"/>
  </cellStyles>
  <dxfs count="25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 style="medium">
          <color indexed="64"/>
        </left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border diagonalUp="0" diagonalDown="0">
        <left style="medium">
          <color indexed="64"/>
        </left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border diagonalUp="0" diagonalDown="0">
        <left style="thin">
          <color indexed="64"/>
        </left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border diagonalUp="0" diagonalDown="0">
        <left style="medium">
          <color indexed="64"/>
        </left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R$&quot;\ #,##0.00"/>
      <alignment horizontal="right" vertical="bottom" textRotation="0" wrapText="0" indent="2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67" formatCode="0.0"/>
      <alignment horizontal="right" vertical="bottom" textRotation="0" wrapText="0" relativeIndent="1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center" textRotation="0" wrapText="1" indent="1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  <protection locked="1" hidden="0"/>
    </dxf>
    <dxf>
      <font>
        <b val="0"/>
        <color auto="1"/>
        <family val="2"/>
      </font>
      <numFmt numFmtId="166" formatCode="&quot;R$&quot;\ #,##0.00"/>
      <alignment horizontal="right" vertical="center" textRotation="0" wrapText="1" relativeIndent="1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1" relativeIndent="1" justifyLastLine="0" shrinkToFit="0" readingOrder="0"/>
      <border diagonalUp="0" diagonalDown="0">
        <left style="thin">
          <color indexed="64"/>
        </left>
        <right style="medium">
          <color indexed="64"/>
        </right>
        <vertical/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1" relativeIndent="1" justifyLastLine="0" shrinkToFit="0" readingOrder="0"/>
      <protection locked="1" hidden="0"/>
    </dxf>
    <dxf>
      <font>
        <b val="0"/>
        <i val="0"/>
        <strike val="0"/>
        <u val="no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1" relativeIndent="1" justifyLastLine="0" shrinkToFit="0" readingOrder="0"/>
      <protection locked="1" hidden="0"/>
    </dxf>
    <dxf>
      <font>
        <b val="0"/>
        <i val="0"/>
        <strike val="0"/>
        <u val="no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 readingOrder="0"/>
      <border diagonalUp="0" diagonalDown="0">
        <left style="medium">
          <color indexed="64"/>
        </left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center" textRotation="0" wrapText="0" indent="1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  <protection locked="1" hidden="0"/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166" formatCode="&quot;R$&quot;\ #,##0.00"/>
      <alignment horizontal="right" vertical="center" textRotation="0" wrapText="0" relativeIndent="-1" justifyLastLine="0" shrinkToFit="0" readingOrder="0"/>
      <border diagonalUp="0" diagonalDown="0">
        <left style="thin">
          <color indexed="64"/>
        </left>
        <right style="medium">
          <color auto="1"/>
        </right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solid">
          <fgColor indexed="64"/>
          <bgColor rgb="FFFFFF00"/>
        </patternFill>
      </fill>
      <alignment horizontal="right" vertical="center" textRotation="0" wrapText="0" relativeIndent="-1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2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relativeIndent="1" justifyLastLine="0" shrinkToFit="0" readingOrder="0"/>
      <border diagonalUp="0" diagonalDown="0" outline="0">
        <left style="thin">
          <color indexed="64"/>
        </lef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>
        <left style="medium">
          <color indexed="64"/>
        </left>
        <top/>
        <bottom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auto="1"/>
        </patternFill>
      </fill>
      <alignment horizontal="right" vertical="bottom" textRotation="0" wrapText="0" indent="1" justifyLastLine="0" shrinkToFit="0" readingOrder="0"/>
      <border diagonalUp="0" diagonalDown="0">
        <left/>
        <right style="medium">
          <color auto="1"/>
        </right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auto="1"/>
        </patternFill>
      </fill>
      <alignment horizontal="right" vertical="bottom" textRotation="0" wrapText="0" indent="2" justifyLastLine="0" shrinkToFit="0" readingOrder="0"/>
      <border diagonalUp="0" diagonalDown="0">
        <right style="thin">
          <color indexed="64"/>
        </right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auto="1"/>
        </patternFill>
      </fill>
      <alignment horizontal="right" vertical="bottom" textRotation="0" wrapText="0" indent="2" justifyLastLine="0" shrinkToFit="0" readingOrder="0"/>
      <protection locked="1" hidden="0"/>
    </dxf>
    <dxf>
      <font>
        <b val="0"/>
        <i val="0"/>
        <strike val="0"/>
        <u val="no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u val="none"/>
        <sz val="11"/>
        <color rgb="FFFF0000"/>
        <name val="Calibri"/>
        <family val="2"/>
        <scheme val="none"/>
      </font>
      <numFmt numFmtId="166" formatCode="&quot;R$&quot;\ #,##0.00"/>
      <fill>
        <patternFill patternType="solid">
          <fgColor indexed="64"/>
          <bgColor rgb="FFFFFF00"/>
        </patternFill>
      </fill>
      <alignment horizontal="right" vertical="center" textRotation="0" wrapText="0" relativeIndent="-1" justifyLastLine="0" shrinkToFit="0" readingOrder="0"/>
      <border diagonalUp="0" diagonalDown="0">
        <left style="medium">
          <color indexed="64"/>
        </left>
        <right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center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&quot;R$&quot;\ #,##0.00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auto="1"/>
        </right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medium">
          <color auto="1"/>
        </right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2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2" justifyLastLine="0" shrinkToFit="0" readingOrder="0"/>
      <border diagonalUp="0" diagonalDown="0">
        <left/>
        <right style="medium">
          <color indexed="64"/>
        </right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  <protection locked="1" hidden="0"/>
    </dxf>
    <dxf>
      <font>
        <b val="0"/>
        <i val="0"/>
        <strike val="0"/>
        <u val="no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alignment horizontal="right" vertical="bottom" textRotation="0" wrapText="0" relativeIndent="1" justifyLastLine="0" shrinkToFit="0" readingOrder="0"/>
      <border diagonalUp="0" diagonalDown="0">
        <left style="medium">
          <color indexed="64"/>
        </left>
        <right/>
      </border>
      <protection locked="1" hidden="0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66" formatCode="&quot;R$&quot;\ #,##0.00"/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/>
      </border>
      <protection locked="1" hidden="0"/>
    </dxf>
    <dxf>
      <font>
        <b val="0"/>
        <color rgb="FFFF0000"/>
        <family val="2"/>
      </font>
      <numFmt numFmtId="166" formatCode="&quot;R$&quot;\ #,##0.00"/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medium">
          <color auto="1"/>
        </right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indexed="64"/>
        </left>
        <right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 readingOrder="0"/>
      <border diagonalUp="0" diagonalDown="0">
        <left style="thin">
          <color indexed="64"/>
        </left>
        <right style="medium">
          <color auto="1"/>
        </right>
        <vertical/>
      </border>
      <protection locked="1" hidden="0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 readingOrder="0"/>
      <border diagonalUp="0" diagonalDown="0">
        <left style="medium">
          <color indexed="64"/>
        </left>
        <right/>
        <vertical/>
      </border>
      <protection locked="1" hidden="0"/>
    </dxf>
    <dxf>
      <font>
        <b val="0"/>
        <family val="2"/>
      </font>
      <numFmt numFmtId="1" formatCode="0"/>
      <alignment horizontal="right" vertical="bottom" textRotation="0" wrapText="0" relativeIndent="1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font>
        <b val="0"/>
        <family val="2"/>
      </font>
      <protection locked="1" hidden="0"/>
    </dxf>
    <dxf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_-&quot;R$&quot;\ * #,##0.00_-;\-&quot;R$&quot;\ * #,##0.00_-;_-&quot;R$&quot;\ * &quot;-&quot;??_-;_-@_-"/>
      <alignment horizontal="right"/>
    </dxf>
    <dxf>
      <numFmt numFmtId="168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numFmt numFmtId="168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numFmt numFmtId="168" formatCode="_-&quot;R$&quot;\ * #,##0.00_-;\-&quot;R$&quot;\ * #,##0.00_-;_-&quot;R$&quot;\ * &quot;-&quot;??_-;_-@_-"/>
      <alignment horizontal="right"/>
    </dxf>
    <dxf>
      <font>
        <b/>
        <family val="2"/>
      </font>
      <numFmt numFmtId="168" formatCode="_-&quot;R$&quot;\ * #,##0.00_-;\-&quot;R$&quot;\ * #,##0.00_-;_-&quot;R$&quot;\ * &quot;-&quot;??_-;_-@_-"/>
      <alignment horizontal="right"/>
    </dxf>
    <dxf>
      <numFmt numFmtId="168" formatCode="_-&quot;R$&quot;\ * #,##0.00_-;\-&quot;R$&quot;\ * #,##0.00_-;_-&quot;R$&quot;\ * &quot;-&quot;??_-;_-@_-"/>
      <alignment horizontal="right"/>
    </dxf>
    <dxf>
      <numFmt numFmtId="168" formatCode="_-&quot;R$&quot;\ * #,##0.00_-;\-&quot;R$&quot;\ * #,##0.00_-;_-&quot;R$&quot;\ * &quot;-&quot;??_-;_-@_-"/>
      <alignment horizontal="right"/>
    </dxf>
    <dxf>
      <alignment horizontal="center"/>
    </dxf>
    <dxf>
      <alignment vertical="center" textRotation="0" indent="0" justifyLastLine="0" shrinkToFit="0" readingOrder="0"/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B12AE-7EBE-4A26-B885-E100CDA7F97D}" name="Tabela710" displayName="Tabela710" ref="D11:K22" totalsRowShown="0" headerRowDxfId="254">
  <tableColumns count="8">
    <tableColumn id="1" xr3:uid="{97B530B4-887A-473A-B918-72C29360192A}" name="Período" dataDxfId="253"/>
    <tableColumn id="2" xr3:uid="{EDB495B1-0667-4223-9403-17469786FCD2}" name="Juros com correção da inflação por período" dataDxfId="252"/>
    <tableColumn id="3" xr3:uid="{D79344C9-E301-4BE6-859F-8D5FD343D426}" name="Amortização com correção da inflação por período" dataDxfId="251"/>
    <tableColumn id="4" xr3:uid="{74C1B827-CF16-46A8-B2B1-1F5F2823B755}" name="Prestação" dataDxfId="250"/>
    <tableColumn id="5" xr3:uid="{0689EEB6-1C0A-465D-B644-32E49D6A6079}" name="Saldo devedor antes do pagamento da prestação" dataDxfId="249"/>
    <tableColumn id="8" xr3:uid="{EF822050-8A9B-4000-A381-B1238AADC39C}" name="Saldo devedor após pagamento da amortização" dataDxfId="248"/>
    <tableColumn id="7" xr3:uid="{4D0600B4-2638-4C1E-8325-16131A8FA4FE}" name="Saldo devedor após pagamento da prestação" dataDxfId="247"/>
    <tableColumn id="6" xr3:uid="{609D5A1A-DBA8-48D9-B9B7-9DC27CA64A10}" name="Fluxo de caixa" dataDxfId="246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0D3D4A-622C-44EF-B94C-98A4AAA28096}" name="Tabela18183" displayName="Tabela18183" ref="B3:CF15" totalsRowCount="1" headerRowDxfId="214" dataDxfId="213" totalsRowDxfId="212">
  <tableColumns count="83">
    <tableColumn id="1" xr3:uid="{E93CE42C-07DB-4119-B13F-9B7B964D88DA}" name="Período" totalsRowLabel="Soma" dataDxfId="211" totalsRowDxfId="82">
      <calculatedColumnFormula>RB!B11</calculatedColumnFormula>
    </tableColumn>
    <tableColumn id="3" xr3:uid="{EB8073FA-9FEA-4D3D-8875-5CADB162B933}" name="Receita com vendas" totalsRowLabel="NA" dataDxfId="210" totalsRowDxfId="81">
      <calculatedColumnFormula>RB!D11</calculatedColumnFormula>
    </tableColumn>
    <tableColumn id="48" xr3:uid="{1D1BCF51-15B3-455D-A7E9-D2B1D8444742}" name="Receita bruta ou receita total" totalsRowLabel="NA" dataDxfId="209" totalsRowDxfId="80">
      <calculatedColumnFormula>Tabela18183[[#This Row],[Receita com vendas]]</calculatedColumnFormula>
    </tableColumn>
    <tableColumn id="68" xr3:uid="{73E0F726-5926-4EA1-9CA6-11AB35A06D43}" name="Impostos proporcionais federais em relação a receita bruta" totalsRowLabel="NA" dataDxfId="208" totalsRowDxfId="79">
      <calculatedColumnFormula>Tabela18183[[#This Row],[Receita com vendas]]*Premissas!$E$8/100</calculatedColumnFormula>
    </tableColumn>
    <tableColumn id="69" xr3:uid="{0FE72095-9477-4C69-849E-A04C021DDEA9}" name="Impostos proporcionais estaduais em relação a receita bruta" totalsRowLabel="NA" dataDxfId="207" totalsRowDxfId="78">
      <calculatedColumnFormula>Tabela18183[[#This Row],[Receita com vendas]]*Premissas!$E$9/100</calculatedColumnFormula>
    </tableColumn>
    <tableColumn id="67" xr3:uid="{46813234-B68B-4631-BBAC-C879E2A727FF}" name="Impostos proporcionais municipais em relação a receita bruta" totalsRowLabel="NA" dataDxfId="206" totalsRowDxfId="77">
      <calculatedColumnFormula>Tabela18183[[#This Row],[Receita com vendas]]*Premissas!$E$10/100</calculatedColumnFormula>
    </tableColumn>
    <tableColumn id="4" xr3:uid="{7F379C5B-6349-4145-B3E3-67E5A01BCE74}" name="Impostos proporcionais (ISS, ICMS, IPI, PIS, CONFINS etc.) total" totalsRowLabel="NA" dataDxfId="205" totalsRowDxfId="76">
      <calculatedColumnFormula>SUM(Tabela18183[[#This Row],[Impostos proporcionais federais em relação a receita bruta]:[Impostos proporcionais municipais em relação a receita bruta]])</calculatedColumnFormula>
    </tableColumn>
    <tableColumn id="5" xr3:uid="{4A5AE838-3179-42D1-86AE-B607323E532D}" name="Receita líquida" totalsRowLabel="NA" dataDxfId="204" totalsRowDxfId="75">
      <calculatedColumnFormula>Tabela18183[[#This Row],[Receita bruta ou receita total]]-Tabela18183[[#This Row],[Impostos proporcionais (ISS, ICMS, IPI, PIS, CONFINS etc.) total]]</calculatedColumnFormula>
    </tableColumn>
    <tableColumn id="58" xr3:uid="{99A24459-EDED-4B50-82C8-ACF06F409D36}" name="Investimento em bens de capital" totalsRowLabel="NA" dataDxfId="203" totalsRowDxfId="74">
      <calculatedColumnFormula>Investimento_I!C36</calculatedColumnFormula>
    </tableColumn>
    <tableColumn id="13" xr3:uid="{6454D2C9-E222-4F3C-B99E-4A30517D24F1}" name="Investimento em PD&amp;I" totalsRowLabel="NA" dataDxfId="202" totalsRowDxfId="73">
      <calculatedColumnFormula>Tabela18183[[#This Row],[Receita líquida]]*0.0035</calculatedColumnFormula>
    </tableColumn>
    <tableColumn id="2" xr3:uid="{B440E2F8-00B1-4C9C-B7B4-7105DCAA7010}" name="Investimento em marketing" totalsRowLabel="NA" dataDxfId="201" totalsRowDxfId="72">
      <calculatedColumnFormula>Tabela18183[[#This Row],[Receita líquida]]*0.003</calculatedColumnFormula>
    </tableColumn>
    <tableColumn id="57" xr3:uid="{5882A845-943F-4B98-84FB-B36479B30F1C}" name="Investimento em bens exauríveis" totalsRowLabel="NA" dataDxfId="200" totalsRowDxfId="71">
      <calculatedColumnFormula>Tabela18183[[#This Row],[Receita líquida]]*0.001</calculatedColumnFormula>
    </tableColumn>
    <tableColumn id="56" xr3:uid="{37B26DAB-9000-4C3F-9F4C-FAEBE9AD0F69}" name="Investimento em bens intangíveis" totalsRowLabel="NA" dataDxfId="199" totalsRowDxfId="70">
      <calculatedColumnFormula>BI!H3</calculatedColumnFormula>
    </tableColumn>
    <tableColumn id="6" xr3:uid="{6BAF623E-F905-473E-BE79-82EE6ADB20C7}" name="Investimento total" totalsRowLabel="NA" dataDxfId="198" totalsRowDxfId="69">
      <calculatedColumnFormula>SUM(Tabela18183[[#This Row],[Investimento em bens de capital]:[Investimento em bens intangíveis]])</calculatedColumnFormula>
    </tableColumn>
    <tableColumn id="51" xr3:uid="{6509CE2D-D0AB-43E6-AF71-0E1CE260CCA1}" name="Custo variável" totalsRowLabel="NA" dataDxfId="197" totalsRowDxfId="68"/>
    <tableColumn id="49" xr3:uid="{707E905A-18F1-4859-B96B-1A534E8578B6}" name="Custo fixo" totalsRowLabel="NA" dataDxfId="196" totalsRowDxfId="67">
      <calculatedColumnFormula>CF!C4</calculatedColumnFormula>
    </tableColumn>
    <tableColumn id="59" xr3:uid="{AF221A81-EB2F-44C9-B45B-1E2B6B25CAC4}" name="Custos operacionais" totalsRowLabel="NA" dataDxfId="195" totalsRowDxfId="66">
      <calculatedColumnFormula>Tabela18183[[#This Row],[Custo variável]]+Tabela18183[[#This Row],[Custo fixo]]</calculatedColumnFormula>
    </tableColumn>
    <tableColumn id="7" xr3:uid="{18FF8F87-6CE5-4A3B-9233-43685314B913}" name="Custos e investimentos" totalsRowLabel="NA" dataDxfId="194" totalsRowDxfId="65">
      <calculatedColumnFormula>Tabela18183[[#This Row],[Investimento total]]+Tabela18183[[#This Row],[Custos operacionais]]</calculatedColumnFormula>
    </tableColumn>
    <tableColumn id="50" xr3:uid="{DF22A366-E707-4BFE-A8C1-9A159CC7905A}" name="Lucro operacional ou LAJIRDA ou EBITDA" totalsRowLabel="NA" dataDxfId="193" totalsRowDxfId="64">
      <calculatedColumnFormula>Tabela18183[[#This Row],[Receita líquida]]-Tabela18183[[#This Row],[Custos e investimentos]]</calculatedColumnFormula>
    </tableColumn>
    <tableColumn id="40" xr3:uid="{4DB89AEA-DF7B-45F7-B660-7BB355B64CB0}" name="Lucro operacional sem investimentos" dataDxfId="192" totalsRowDxfId="63">
      <calculatedColumnFormula>Tabela18183[[#This Row],[Lucro operacional ou LAJIRDA ou EBITDA]]+Tabela18183[[#This Row],[Investimento total]]</calculatedColumnFormula>
    </tableColumn>
    <tableColumn id="9" xr3:uid="{4A7F0096-6E1B-4FF4-82B4-799D280FDAB3}" name="Depreciação variável" totalsRowLabel="NA" dataDxfId="191" totalsRowDxfId="62"/>
    <tableColumn id="10" xr3:uid="{1A69DA4D-9E8E-4E72-9A0A-ADD272BE9A1F}" name="Depreciação dos bens de capital" totalsRowLabel="NA" dataDxfId="190" totalsRowDxfId="61">
      <calculatedColumnFormula>BC!C5</calculatedColumnFormula>
    </tableColumn>
    <tableColumn id="11" xr3:uid="{92BEB3E4-A17C-45AB-9DE0-4828B94A6B25}" name="Depreciação devido a exaustão de bens tangíveis" totalsRowLabel="NA" dataDxfId="189" totalsRowDxfId="60"/>
    <tableColumn id="12" xr3:uid="{831D583A-85F0-4DEA-BDF1-7B6572BFA4C7}" name="Depreciação de bens intangíveis" totalsRowLabel="NA" dataDxfId="188" totalsRowDxfId="59">
      <calculatedColumnFormula>BI!C3</calculatedColumnFormula>
    </tableColumn>
    <tableColumn id="52" xr3:uid="{F38A4068-330B-4552-BE96-F2FBD4034B0F}" name="Depreciações (somatório)" totalsRowLabel="NA" dataDxfId="187" totalsRowDxfId="58">
      <calculatedColumnFormula>SUM(Tabela18183[[#This Row],[Depreciação variável]:[Depreciação de bens intangíveis]])</calculatedColumnFormula>
    </tableColumn>
    <tableColumn id="63" xr3:uid="{646D66FD-35B4-4AA3-959D-999D77293C64}" name="Amortização dos empréstimos (pagamento do principal)" totalsRowLabel="NA" dataDxfId="186" totalsRowDxfId="57">
      <calculatedColumnFormula>EP!F12</calculatedColumnFormula>
    </tableColumn>
    <tableColumn id="65" xr3:uid="{8786D25F-AC4A-4B57-8578-089DC9F50067}" name="OD: outras despesas, por exemplo, causas trabalhistas, multas comerciais etc." totalsRowLabel="NA" dataDxfId="185" totalsRowDxfId="56">
      <calculatedColumnFormula>Tabela18183[[#This Row],[Custos operacionais]]*Premissas!$E$13/100</calculatedColumnFormula>
    </tableColumn>
    <tableColumn id="62" xr3:uid="{146F74F4-3DB4-467E-9F26-35FC3F86B610}" name="Somatório da amortização (principal) de empréstimos e outros dedutíveis do IR" totalsRowLabel="NA" dataDxfId="184" totalsRowDxfId="55">
      <calculatedColumnFormula>SUM(Tabela18183[[#This Row],[Amortização dos empréstimos (pagamento do principal)]:[OD: outras despesas, por exemplo, causas trabalhistas, multas comerciais etc.]])</calculatedColumnFormula>
    </tableColumn>
    <tableColumn id="61" xr3:uid="{8686C111-4F74-4229-82B6-23845D270D28}" name="Lucro antes do juros, imposto de renda e das contribuições sociais (LAJIR)" totalsRowLabel="NA" dataDxfId="183" totalsRowDxfId="54">
      <calculatedColumnFormula>Tabela18183[[#This Row],[Lucro operacional ou LAJIRDA ou EBITDA]]-(Tabela18183[[#This Row],[Depreciações (somatório)]]+Tabela18183[[#This Row],[Somatório da amortização (principal) de empréstimos e outros dedutíveis do IR]])</calculatedColumnFormula>
    </tableColumn>
    <tableColumn id="41" xr3:uid="{C06405BA-6335-46F1-881D-4FB8B984F057}" name="LAJIR sem investimentos" totalsRowLabel="NA" dataDxfId="182" totalsRowDxfId="53">
      <calculatedColumnFormula>Tabela18183[[#This Row],[Lucro antes do juros, imposto de renda e das contribuições sociais (LAJIR)]]+Tabela18183[[#This Row],[Investimento total]]</calculatedColumnFormula>
    </tableColumn>
    <tableColumn id="64" xr3:uid="{2A4EEAE0-B18E-4E90-9CDA-382925FCA3BF}" name="Receitas Não Operacionais" totalsRowLabel="NA" dataDxfId="181" totalsRowDxfId="52">
      <calculatedColumnFormula>RB!C11</calculatedColumnFormula>
    </tableColumn>
    <tableColumn id="43" xr3:uid="{6DB23CFC-1FDE-4612-AE49-011639E3E1C2}" name="Juros de empréstimos pagos a credores" totalsRowLabel="NA" dataDxfId="180" totalsRowDxfId="51">
      <calculatedColumnFormula>EP!E12</calculatedColumnFormula>
    </tableColumn>
    <tableColumn id="16" xr3:uid="{6BFB7FC2-5A20-472E-8B19-41FB56669928}" name="Lucro antes do imposto de renda e das contribuições sociais (LAIR)" totalsRowLabel="NA" dataDxfId="179" totalsRowDxfId="50">
      <calculatedColumnFormula>Tabela18183[[#This Row],[Lucro antes do juros, imposto de renda e das contribuições sociais (LAJIR)]]+Tabela18183[[#This Row],[Receitas Não Operacionais]]-Tabela18183[[#This Row],[Juros de empréstimos pagos a credores]]</calculatedColumnFormula>
    </tableColumn>
    <tableColumn id="42" xr3:uid="{8DC7325A-6FA7-45FC-8917-B1E1626A2451}" name="LAIR sem investimentos" totalsRowLabel="NA" dataDxfId="178" totalsRowDxfId="49">
      <calculatedColumnFormula>Tabela18183[[#This Row],[LAJIR sem investimentos]]-Tabela18183[[#This Row],[Juros de empréstimos pagos a credores]]</calculatedColumnFormula>
    </tableColumn>
    <tableColumn id="17" xr3:uid="{9365C08A-41A9-441D-92A6-1979719F8B75}" name="Imposto de renda,  % sobre o LAIR" totalsRowLabel="NA" dataDxfId="177" totalsRowDxfId="48">
      <calculatedColumnFormula>IF($AH4&gt;0,$AH4*Premissas!$E$14/100,0)</calculatedColumnFormula>
    </tableColumn>
    <tableColumn id="18" xr3:uid="{8D75393B-363B-4407-B7A8-9897D5CFF25F}" name="Contribuições sociais, % sobre o LAIR" totalsRowLabel="NA" dataDxfId="176" totalsRowDxfId="47">
      <calculatedColumnFormula>IF($AH4&gt;0,$AH4*Premissas!$E$15/100,0)</calculatedColumnFormula>
    </tableColumn>
    <tableColumn id="19" xr3:uid="{5D5CB643-4812-404C-AA62-06B255F6EBCE}" name="Outras taxas ou impostos ou tributos sobre o LAIR" totalsRowLabel="NA" dataDxfId="175" totalsRowDxfId="46">
      <calculatedColumnFormula>IF($AH4&gt;0,$AH4*Premissas!$E$16/100,0)</calculatedColumnFormula>
    </tableColumn>
    <tableColumn id="46" xr3:uid="{0E4F5644-2942-4B63-B5E2-EC9DAF890315}" name="Total de impostos e taxas sobre o LAIR" totalsRowLabel="NA" dataDxfId="174" totalsRowDxfId="45">
      <calculatedColumnFormula>SUM(Tabela18183[[#This Row],[Imposto de renda,  % sobre o LAIR]:[Outras taxas ou impostos ou tributos sobre o LAIR]])</calculatedColumnFormula>
    </tableColumn>
    <tableColumn id="20" xr3:uid="{EC290F94-082D-4BE9-8951-6A619D470236}" name="Lucro líquido" totalsRowLabel="NA" dataDxfId="173" totalsRowDxfId="44">
      <calculatedColumnFormula>Tabela18183[[#This Row],[Lucro antes do imposto de renda e das contribuições sociais (LAIR)]]-Tabela18183[[#This Row],[Total de impostos e taxas sobre o LAIR]]</calculatedColumnFormula>
    </tableColumn>
    <tableColumn id="44" xr3:uid="{97AEFF9C-F24A-420B-9B71-8480CD46F56B}" name="LL sem investimentos" totalsRowLabel="NA" dataDxfId="172" totalsRowDxfId="43">
      <calculatedColumnFormula>Tabela18183[[#This Row],[Lucro líquido]]+Tabela18183[[#This Row],[Investimento total]]</calculatedColumnFormula>
    </tableColumn>
    <tableColumn id="21" xr3:uid="{979720BC-D2CE-49AC-9653-977E5E857B8B}" name="Lucratividade por período: lucro líquido sobre receita das vendas" totalsRowLabel="NA" dataDxfId="171" totalsRowDxfId="42">
      <calculatedColumnFormula>Tabela18183[[#This Row],[Lucro líquido]]/Tabela18183[[#This Row],[Receita com vendas]]*100</calculatedColumnFormula>
    </tableColumn>
    <tableColumn id="24" xr3:uid="{8F756187-5DF0-4E1C-B58E-4E12FC430F73}" name="Disponibilidade líquida" totalsRowLabel="NA" dataDxfId="170" totalsRowDxfId="41">
      <calculatedColumnFormula>Tabela18183[[#This Row],[Lucro líquido]]+Tabela18183[[#This Row],[Depreciações (somatório)]]</calculatedColumnFormula>
    </tableColumn>
    <tableColumn id="55" xr3:uid="{DE2D40D6-3B74-4BA8-9198-72673FC8B118}" name="Lucro líquido sem considerar o investimento" totalsRowLabel="NA" dataDxfId="169" totalsRowDxfId="40">
      <calculatedColumnFormula>Tabela18183[[#This Row],[Lucro líquido]]+Tabela18183[[#This Row],[Investimento total]]</calculatedColumnFormula>
    </tableColumn>
    <tableColumn id="60" xr3:uid="{C27491C9-8251-4DF9-9422-48F9BB5E4CB5}" name="Custo  total" totalsRowLabel="NA" dataDxfId="168" totalsRowDxfId="39">
      <calculatedColumnFormula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calculatedColumnFormula>
    </tableColumn>
    <tableColumn id="29" xr3:uid="{E71AEB32-F53E-45A2-9568-F70E8FBD4103}" name="RBj cenário menor TMA" totalsRowFunction="custom" dataDxfId="167" totalsRowDxfId="38">
      <calculatedColumnFormula>Tabela18183[[#This Row],[Receita com vendas]]/(1+Indicadores!$D$3)^Tabela18183[[#This Row],[Período]]</calculatedColumnFormula>
      <totalsRowFormula>SUM(AT4:AT14)</totalsRowFormula>
    </tableColumn>
    <tableColumn id="30" xr3:uid="{3F8D9F38-2456-462B-A0CA-61A3D832D173}" name="COj cenário menor TMA" totalsRowFunction="custom" dataDxfId="166" totalsRowDxfId="37">
      <calculatedColumnFormula>Tabela18183[[#This Row],[Custo  total]]/(1+Indicadores!$D$3)^Tabela18183[[#This Row],[Período]]</calculatedColumnFormula>
      <totalsRowFormula>SUM(AU4:AU14)</totalsRowFormula>
    </tableColumn>
    <tableColumn id="28" xr3:uid="{D4B9DB8C-BB6F-4ED2-906E-AB987EDA4C5C}" name="RBj acumulado - Inv(CFo), menor TMA" totalsRowLabel="NA" dataDxfId="165" totalsRowDxfId="36">
      <calculatedColumnFormula>AT4-$O4</calculatedColumnFormula>
    </tableColumn>
    <tableColumn id="15" xr3:uid="{88B48902-A48E-4932-BD7F-303AF6FFB7CD}" name="TR-RB menor TMA aux" totalsRowLabel="NA" dataDxfId="164" totalsRowDxfId="35">
      <calculatedColumnFormula>IF(AV4&gt;=0,B4-AV3/(AV4-AV3),"Não")</calculatedColumnFormula>
    </tableColumn>
    <tableColumn id="66" xr3:uid="{0E5E3215-AEC9-4C03-A48A-4C635E5D83AB}" name="TR-RB menor TMA" totalsRowLabel="NA" dataDxfId="163" totalsRowDxfId="34">
      <calculatedColumnFormula>IF(AND(NOT(ISNUMBER(AW3)),ISNUMBER(AW4)),$B4-AV3/(AV4-AV3),"Não")</calculatedColumnFormula>
    </tableColumn>
    <tableColumn id="8" xr3:uid="{329A597E-0E92-4063-A724-E01E84E8F394}" name="RBj cenário intermediário" totalsRowFunction="custom" dataDxfId="162" totalsRowDxfId="33">
      <calculatedColumnFormula>Tabela18183[[#This Row],[Receita com vendas]]/(1+Indicadores!$F$3)^Tabela18183[[#This Row],[Período]]</calculatedColumnFormula>
      <totalsRowFormula>SUM(AY4:AY14)</totalsRowFormula>
    </tableColumn>
    <tableColumn id="14" xr3:uid="{DE25BA33-9ED3-4209-9187-FEF8EE9F4FB4}" name="COj cenário intermediário" totalsRowFunction="custom" dataDxfId="161" totalsRowDxfId="32">
      <calculatedColumnFormula>Tabela18183[[#This Row],[Custo  total]]/(1+Indicadores!$F$3)^Tabela18183[[#This Row],[Período]]</calculatedColumnFormula>
      <totalsRowFormula>SUM(AZ4:AZ14)</totalsRowFormula>
    </tableColumn>
    <tableColumn id="53" xr3:uid="{9E923B33-6CE6-4EF0-AC15-FEB2D0465506}" name="RBj acumulado - Inv(CFo), intermediário" totalsRowLabel="NA" dataDxfId="160" totalsRowDxfId="31"/>
    <tableColumn id="22" xr3:uid="{A44F18BE-EB46-4557-B964-969E611270FF}" name="TR-RB TMA intermediário aux" totalsRowLabel="NA" dataDxfId="159" totalsRowDxfId="30"/>
    <tableColumn id="47" xr3:uid="{8D9DF937-94BB-4CF9-9806-F4E009BEE4AE}" name="TR-RB TMA intermediária" totalsRowLabel="NA" dataDxfId="158" totalsRowDxfId="29">
      <calculatedColumnFormula>IF(AND(NOT(ISNUMBER(BB3)),ISNUMBER(BB4)),$B4-BA3/(BA4-BA3),"Não")</calculatedColumnFormula>
    </tableColumn>
    <tableColumn id="23" xr3:uid="{6B53CB53-F5DF-4EDB-A9DF-58CFE6C2FE73}" name="RBj cenário maior TMA" totalsRowFunction="custom" dataDxfId="157" totalsRowDxfId="28">
      <calculatedColumnFormula>Tabela18183[[#This Row],[Receita com vendas]]/(1+Indicadores!$H$3)^Tabela18183[[#This Row],[Período]]</calculatedColumnFormula>
      <totalsRowFormula>SUM(BD4:BD14)</totalsRowFormula>
    </tableColumn>
    <tableColumn id="26" xr3:uid="{A20FDE4E-7938-42C1-B889-C91EBC38AABC}" name="COj cenário maior TMA" totalsRowFunction="custom" dataDxfId="156" totalsRowDxfId="27">
      <calculatedColumnFormula>Tabela18183[[#This Row],[Custo  total]]/(1+Indicadores!$H$3)^Tabela18183[[#This Row],[Período]]</calculatedColumnFormula>
      <totalsRowFormula>SUM(BE4:BE14)</totalsRowFormula>
    </tableColumn>
    <tableColumn id="54" xr3:uid="{1CD7C03A-7CF2-4E2F-BE57-DDDC9D2C8F98}" name="RBj acumulado - Inv(CFo), maior TMA" totalsRowLabel="NA" dataDxfId="155" totalsRowDxfId="26"/>
    <tableColumn id="39" xr3:uid="{8AF4E79F-551C-4D8F-A269-305B5AFCE75B}" name="TR-RB maior TMA aux" totalsRowLabel="NA" dataDxfId="154" totalsRowDxfId="25"/>
    <tableColumn id="32" xr3:uid="{C5D4A8CE-5822-4AF7-9847-725A18321EA1}" name="TR-RB maior TMA" totalsRowLabel="NA" dataDxfId="153" totalsRowDxfId="24">
      <calculatedColumnFormula>IF(AND(NOT(ISNUMBER(BG3)),ISNUMBER(BG4)),$B4-BF3/(BF4-BF3),"Não")</calculatedColumnFormula>
    </tableColumn>
    <tableColumn id="76" xr3:uid="{0AF3E150-535E-4C43-A4C2-D3F3E88B50D7}" name="DLj" totalsRowLabel="NA" dataDxfId="152" totalsRowDxfId="23">
      <calculatedColumnFormula>Tabela18183[[#This Row],[Disponibilidade líquida]]/(1+Premissas!$K$5)^Tabela18183[[#This Row],[Período]]</calculatedColumnFormula>
    </tableColumn>
    <tableColumn id="77" xr3:uid="{9209C955-A7BE-4DAB-BCF1-BF1DAD0943A7}" name="DLj acumulada" totalsRowLabel="NA" dataDxfId="151" totalsRowDxfId="22"/>
    <tableColumn id="78" xr3:uid="{3DB3CCC7-2C91-43C8-B206-AFE7C70BAE89}" name="TR-DL menor TMA aux" totalsRowLabel="NA" dataDxfId="150" totalsRowDxfId="21"/>
    <tableColumn id="100" xr3:uid="{0E16E4EC-5E51-4AFC-9C52-637E39A71556}" name="TR-DL menor TMA" totalsRowLabel="NA" dataDxfId="149" totalsRowDxfId="20">
      <calculatedColumnFormula>IF(AND(NOT(ISNUMBER(BK3)),ISNUMBER(BK4)),$B4-BJ3/(BJ4-BJ3),"Não")</calculatedColumnFormula>
    </tableColumn>
    <tableColumn id="85" xr3:uid="{7DD23F91-F478-4EAB-B182-6BEF43A14C54}" name="DLj  " totalsRowLabel="NA" dataDxfId="148" totalsRowDxfId="19">
      <calculatedColumnFormula>Tabela18183[[#This Row],[Disponibilidade líquida]]/(1+Premissas!$L$5)^Tabela18183[[#This Row],[Período]]</calculatedColumnFormula>
    </tableColumn>
    <tableColumn id="86" xr3:uid="{56029AB8-5AF7-4AFD-9939-8587B595AE55}" name="DLj acumulada  " totalsRowLabel="NA" dataDxfId="147" totalsRowDxfId="18"/>
    <tableColumn id="87" xr3:uid="{2BD1D080-9577-4F6B-85EC-17CB1AD6958E}" name="TR-DL TMA intermediário aux" totalsRowLabel="NA" dataDxfId="146" totalsRowDxfId="17"/>
    <tableColumn id="99" xr3:uid="{DC4E49DB-C42D-4793-A6AC-D5DB6C695293}" name="TR-DL TMA intermediário" totalsRowLabel="NA" dataDxfId="145" totalsRowDxfId="16">
      <calculatedColumnFormula>IF(AND(NOT(ISNUMBER(BO3)),ISNUMBER(BO4)),$B4-BN3/(BN4-BN3),"Não")</calculatedColumnFormula>
    </tableColumn>
    <tableColumn id="88" xr3:uid="{04D06963-F462-43C4-9CE1-CFE757D57850}" name="DLj   " totalsRowLabel="NA" dataDxfId="144" totalsRowDxfId="15">
      <calculatedColumnFormula>Tabela18183[[#This Row],[Disponibilidade líquida]]/(1+Premissas!$M$5)^Tabela18183[[#This Row],[Período]]</calculatedColumnFormula>
    </tableColumn>
    <tableColumn id="89" xr3:uid="{0FBB7592-599D-49D4-A65A-152C75BA63B3}" name="DLj acumulada   " totalsRowLabel="NA" dataDxfId="143" totalsRowDxfId="14"/>
    <tableColumn id="90" xr3:uid="{42782D75-8E0F-485A-AD3C-C7D0AF81017F}" name="TR-DL maior TAM aux" totalsRowLabel="NA" dataDxfId="142" totalsRowDxfId="13"/>
    <tableColumn id="98" xr3:uid="{4E8F3D42-19A8-4739-AC6A-1BEE1B0F3981}" name="TR-DL maior TAM" totalsRowLabel="NA" dataDxfId="141" totalsRowDxfId="12">
      <calculatedColumnFormula>IF(AND(NOT(ISNUMBER(BS3)),ISNUMBER(BS4)),$B4-BR3/(BR4-BR3),"Não")</calculatedColumnFormula>
    </tableColumn>
    <tableColumn id="79" xr3:uid="{9E79FD8C-06BD-41B8-A81B-EDE85D1D787E}" name="LLj " totalsRowLabel="NA" dataDxfId="140" totalsRowDxfId="11">
      <calculatedColumnFormula>Tabela18183[[#This Row],[Lucro líquido]]/(1+Premissas!$K$5)^Tabela18183[[#This Row],[Período]]</calculatedColumnFormula>
    </tableColumn>
    <tableColumn id="80" xr3:uid="{B2229D22-0F1B-4B39-A8F5-AC0BBBF056CF}" name="LLj acumulada " totalsRowLabel="NA" dataDxfId="139" totalsRowDxfId="10"/>
    <tableColumn id="81" xr3:uid="{0EE57239-C9F0-4963-BFB5-6238B806B116}" name="TR-LL menor TMA aux" totalsRowLabel="NA" dataDxfId="138" totalsRowDxfId="9"/>
    <tableColumn id="97" xr3:uid="{FBBDFDD5-F9A3-4DB1-AE9F-A0CEA3B8C693}" name="TR-LL menor TMA" totalsRowLabel="NA" dataDxfId="137" totalsRowDxfId="8">
      <calculatedColumnFormula>IF(AND(NOT(ISNUMBER(BW3)),ISNUMBER(BW4)),$B4-BV3/(BV4-BV3),"Não")</calculatedColumnFormula>
    </tableColumn>
    <tableColumn id="91" xr3:uid="{2199FAE6-3269-405A-928A-7E602B5F6E3E}" name="LLj  " totalsRowLabel="NA" dataDxfId="136" totalsRowDxfId="7">
      <calculatedColumnFormula>Tabela18183[[#This Row],[Lucro líquido]]/(1+Premissas!$L$5)^Tabela18183[[#This Row],[Período]]</calculatedColumnFormula>
    </tableColumn>
    <tableColumn id="92" xr3:uid="{ADDBFC65-442D-4EDB-8820-F2B0450EC94D}" name="LLj acumulado " totalsRowLabel="NA" dataDxfId="135" totalsRowDxfId="6"/>
    <tableColumn id="93" xr3:uid="{0CD0A79D-161A-4861-B6DC-938D6705C86E}" name="TR-LL  TMA intermediária aux" totalsRowLabel="NA" dataDxfId="134" totalsRowDxfId="5"/>
    <tableColumn id="96" xr3:uid="{EAD537FB-51A4-41F1-9F8C-33B5946E5B37}" name="TR-LL  TMA intermediária" totalsRowLabel="NA" dataDxfId="133" totalsRowDxfId="4">
      <calculatedColumnFormula>IF(AND(NOT(ISNUMBER(CA3)),ISNUMBER(CA4)),$B4-BZ3/(BZ4-BZ3),"Não")</calculatedColumnFormula>
    </tableColumn>
    <tableColumn id="33" xr3:uid="{6D42A9AE-F48A-41D7-A7EB-F34AEC8DDB43}" name="LLj   " totalsRowLabel="NA" dataDxfId="132" totalsRowDxfId="3">
      <calculatedColumnFormula>Tabela18183[[#This Row],[Lucro líquido]]/(1+Premissas!$M$5)^Tabela18183[[#This Row],[Período]]</calculatedColumnFormula>
    </tableColumn>
    <tableColumn id="34" xr3:uid="{818A8665-3FEA-4630-BDF0-DD1557CDE2F4}" name="LLj acumulado  " totalsRowLabel="NA" dataDxfId="131" totalsRowDxfId="2"/>
    <tableColumn id="35" xr3:uid="{3C435019-CA7A-4E00-B5AD-5F6C3ADEB738}" name="TR-LL maior TMA aux" totalsRowLabel="NA" dataDxfId="130" totalsRowDxfId="1"/>
    <tableColumn id="94" xr3:uid="{4914437F-21A3-475D-AD60-97C297F16558}" name="TR-LL maior TMA" totalsRowLabel="NA" dataDxfId="129" totalsRowDxfId="0">
      <calculatedColumnFormula>IF(AND(NOT(ISNUMBER(CE3)),ISNUMBER(CE4)),$B4-CD3/(CD4-CD3),"Não")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D94F-50B3-4B71-993A-0692BDE8EEDD}">
  <dimension ref="B1:J36"/>
  <sheetViews>
    <sheetView workbookViewId="0">
      <selection activeCell="B28" sqref="B28"/>
    </sheetView>
  </sheetViews>
  <sheetFormatPr defaultRowHeight="14.4" x14ac:dyDescent="0.3"/>
  <cols>
    <col min="2" max="2" width="45.44140625" bestFit="1" customWidth="1"/>
    <col min="3" max="4" width="27.33203125" customWidth="1"/>
    <col min="5" max="5" width="14.33203125" style="6" bestFit="1" customWidth="1"/>
    <col min="6" max="6" width="24.77734375" bestFit="1" customWidth="1"/>
    <col min="7" max="7" width="16.6640625" bestFit="1" customWidth="1"/>
    <col min="8" max="8" width="6.5546875" bestFit="1" customWidth="1"/>
    <col min="9" max="9" width="6.5546875" customWidth="1"/>
    <col min="10" max="10" width="109.44140625" bestFit="1" customWidth="1"/>
    <col min="11" max="11" width="42.33203125" bestFit="1" customWidth="1"/>
    <col min="13" max="13" width="11.33203125" bestFit="1" customWidth="1"/>
    <col min="14" max="14" width="52.109375" bestFit="1" customWidth="1"/>
  </cols>
  <sheetData>
    <row r="1" spans="2:10" x14ac:dyDescent="0.3">
      <c r="B1" s="481" t="s">
        <v>389</v>
      </c>
      <c r="C1" s="482"/>
      <c r="D1" s="483"/>
    </row>
    <row r="2" spans="2:10" ht="15" thickBot="1" x14ac:dyDescent="0.35">
      <c r="B2" s="484"/>
      <c r="C2" s="485"/>
      <c r="D2" s="486"/>
      <c r="J2" s="433" t="s">
        <v>382</v>
      </c>
    </row>
    <row r="4" spans="2:10" ht="15" thickBot="1" x14ac:dyDescent="0.35">
      <c r="B4" s="3" t="s">
        <v>390</v>
      </c>
    </row>
    <row r="5" spans="2:10" x14ac:dyDescent="0.3">
      <c r="B5" s="438" t="s">
        <v>0</v>
      </c>
      <c r="C5" s="439" t="s">
        <v>10</v>
      </c>
      <c r="D5" s="439" t="s">
        <v>17</v>
      </c>
      <c r="E5" s="440" t="s">
        <v>16</v>
      </c>
      <c r="F5" s="441" t="s">
        <v>1</v>
      </c>
      <c r="G5" s="442" t="s">
        <v>391</v>
      </c>
      <c r="H5" s="1"/>
      <c r="I5" s="1"/>
    </row>
    <row r="6" spans="2:10" x14ac:dyDescent="0.3">
      <c r="B6" s="443" t="s">
        <v>11</v>
      </c>
      <c r="C6" s="434">
        <v>1</v>
      </c>
      <c r="D6" s="434">
        <v>40</v>
      </c>
      <c r="E6" s="435">
        <f>1500/(D6*4)</f>
        <v>9.375</v>
      </c>
      <c r="F6" s="436">
        <f>E6*D6*4</f>
        <v>1500</v>
      </c>
      <c r="G6" s="444">
        <f>F6*12*C6</f>
        <v>18000</v>
      </c>
      <c r="H6" s="2"/>
      <c r="I6" s="2"/>
    </row>
    <row r="7" spans="2:10" x14ac:dyDescent="0.3">
      <c r="B7" s="443" t="s">
        <v>5</v>
      </c>
      <c r="C7" s="434">
        <v>1</v>
      </c>
      <c r="D7" s="434">
        <v>10</v>
      </c>
      <c r="E7" s="435">
        <f>15000/(40*4)</f>
        <v>93.75</v>
      </c>
      <c r="F7" s="436">
        <f t="shared" ref="F7:F11" si="0">E7*D7*4</f>
        <v>3750</v>
      </c>
      <c r="G7" s="444">
        <f t="shared" ref="G7:G14" si="1">F7*12*C7</f>
        <v>45000</v>
      </c>
      <c r="H7" s="2"/>
      <c r="I7" s="2"/>
    </row>
    <row r="8" spans="2:10" x14ac:dyDescent="0.3">
      <c r="B8" s="443" t="s">
        <v>15</v>
      </c>
      <c r="C8" s="434">
        <v>1</v>
      </c>
      <c r="D8" s="434">
        <v>40</v>
      </c>
      <c r="E8" s="435">
        <f>6000/(40*4)</f>
        <v>37.5</v>
      </c>
      <c r="F8" s="436">
        <f>E8*D8*4</f>
        <v>6000</v>
      </c>
      <c r="G8" s="444">
        <f t="shared" si="1"/>
        <v>72000</v>
      </c>
      <c r="H8" s="2"/>
      <c r="I8" s="2"/>
    </row>
    <row r="9" spans="2:10" x14ac:dyDescent="0.3">
      <c r="B9" s="443" t="s">
        <v>23</v>
      </c>
      <c r="C9" s="434">
        <v>1</v>
      </c>
      <c r="D9" s="434">
        <v>40</v>
      </c>
      <c r="E9" s="435">
        <f>12000/(40*4)</f>
        <v>75</v>
      </c>
      <c r="F9" s="436">
        <f>E9*D9*4</f>
        <v>12000</v>
      </c>
      <c r="G9" s="444">
        <f t="shared" si="1"/>
        <v>144000</v>
      </c>
      <c r="H9" s="2"/>
      <c r="I9" s="2"/>
    </row>
    <row r="10" spans="2:10" x14ac:dyDescent="0.3">
      <c r="B10" s="445" t="s">
        <v>14</v>
      </c>
      <c r="C10" s="434">
        <v>2</v>
      </c>
      <c r="D10" s="434">
        <v>40</v>
      </c>
      <c r="E10" s="435">
        <f>5500/(40*4)</f>
        <v>34.375</v>
      </c>
      <c r="F10" s="436">
        <f t="shared" si="0"/>
        <v>5500</v>
      </c>
      <c r="G10" s="444">
        <f t="shared" si="1"/>
        <v>132000</v>
      </c>
      <c r="H10" s="2"/>
      <c r="I10" s="2"/>
    </row>
    <row r="11" spans="2:10" x14ac:dyDescent="0.3">
      <c r="B11" s="445" t="s">
        <v>12</v>
      </c>
      <c r="C11" s="434">
        <v>1</v>
      </c>
      <c r="D11" s="434">
        <v>40</v>
      </c>
      <c r="E11" s="435">
        <f>7200/(40*4)</f>
        <v>45</v>
      </c>
      <c r="F11" s="436">
        <f t="shared" si="0"/>
        <v>7200</v>
      </c>
      <c r="G11" s="444">
        <f t="shared" si="1"/>
        <v>86400</v>
      </c>
      <c r="H11" s="2"/>
      <c r="I11" s="2"/>
    </row>
    <row r="12" spans="2:10" x14ac:dyDescent="0.3">
      <c r="B12" s="445" t="s">
        <v>13</v>
      </c>
      <c r="C12" s="434">
        <v>1</v>
      </c>
      <c r="D12" s="434">
        <v>40</v>
      </c>
      <c r="E12" s="435">
        <f>8800/(40*4)</f>
        <v>55</v>
      </c>
      <c r="F12" s="436">
        <f>E12*D12*4</f>
        <v>8800</v>
      </c>
      <c r="G12" s="444">
        <f t="shared" si="1"/>
        <v>105600</v>
      </c>
      <c r="H12" s="2"/>
      <c r="I12" s="2"/>
    </row>
    <row r="13" spans="2:10" x14ac:dyDescent="0.3">
      <c r="B13" s="443" t="s">
        <v>18</v>
      </c>
      <c r="C13" s="434">
        <v>1</v>
      </c>
      <c r="D13" s="434">
        <v>40</v>
      </c>
      <c r="E13" s="435">
        <f>8000/(40*4)</f>
        <v>50</v>
      </c>
      <c r="F13" s="436">
        <f t="shared" ref="F13:F26" si="2">E13*D13*4</f>
        <v>8000</v>
      </c>
      <c r="G13" s="444">
        <f t="shared" si="1"/>
        <v>96000</v>
      </c>
      <c r="H13" s="2"/>
      <c r="I13" s="2"/>
    </row>
    <row r="14" spans="2:10" x14ac:dyDescent="0.3">
      <c r="B14" s="443" t="s">
        <v>19</v>
      </c>
      <c r="C14" s="434">
        <v>2</v>
      </c>
      <c r="D14" s="434">
        <v>40</v>
      </c>
      <c r="E14" s="435">
        <f>2500/(40*4)</f>
        <v>15.625</v>
      </c>
      <c r="F14" s="436">
        <f t="shared" si="2"/>
        <v>2500</v>
      </c>
      <c r="G14" s="444">
        <f t="shared" si="1"/>
        <v>60000</v>
      </c>
      <c r="H14" s="2"/>
      <c r="I14" s="2"/>
    </row>
    <row r="15" spans="2:10" x14ac:dyDescent="0.3">
      <c r="B15" s="443" t="s">
        <v>20</v>
      </c>
      <c r="C15" s="434">
        <v>1</v>
      </c>
      <c r="D15" s="434"/>
      <c r="E15" s="435"/>
      <c r="F15" s="436">
        <v>5500</v>
      </c>
      <c r="G15" s="444">
        <f>F15*12</f>
        <v>66000</v>
      </c>
      <c r="H15" s="2"/>
      <c r="I15" s="2"/>
    </row>
    <row r="16" spans="2:10" x14ac:dyDescent="0.3">
      <c r="B16" s="443" t="s">
        <v>40</v>
      </c>
      <c r="C16" s="434">
        <v>12</v>
      </c>
      <c r="D16" s="434"/>
      <c r="E16" s="435"/>
      <c r="F16" s="436">
        <v>300</v>
      </c>
      <c r="G16" s="444">
        <f>F16*C16</f>
        <v>3600</v>
      </c>
      <c r="H16" s="2"/>
      <c r="I16" s="2"/>
    </row>
    <row r="17" spans="2:10" x14ac:dyDescent="0.3">
      <c r="B17" s="443" t="s">
        <v>25</v>
      </c>
      <c r="C17" s="434">
        <v>12</v>
      </c>
      <c r="D17" s="434"/>
      <c r="E17" s="435"/>
      <c r="F17" s="436">
        <v>4500</v>
      </c>
      <c r="G17" s="444">
        <f t="shared" ref="G17:G26" si="3">F17*12</f>
        <v>54000</v>
      </c>
      <c r="H17" s="2"/>
      <c r="I17" s="2"/>
    </row>
    <row r="18" spans="2:10" x14ac:dyDescent="0.3">
      <c r="B18" s="443" t="s">
        <v>22</v>
      </c>
      <c r="C18" s="434">
        <v>1</v>
      </c>
      <c r="D18" s="434"/>
      <c r="E18" s="435"/>
      <c r="F18" s="436">
        <v>2880</v>
      </c>
      <c r="G18" s="444">
        <f t="shared" si="3"/>
        <v>34560</v>
      </c>
      <c r="H18" s="2"/>
      <c r="I18" s="2"/>
    </row>
    <row r="19" spans="2:10" x14ac:dyDescent="0.3">
      <c r="B19" s="443" t="s">
        <v>21</v>
      </c>
      <c r="C19" s="434">
        <v>1</v>
      </c>
      <c r="D19" s="434"/>
      <c r="E19" s="435"/>
      <c r="F19" s="436">
        <v>50000</v>
      </c>
      <c r="G19" s="444">
        <f>F19</f>
        <v>50000</v>
      </c>
      <c r="H19" s="2"/>
      <c r="I19" s="2"/>
    </row>
    <row r="20" spans="2:10" x14ac:dyDescent="0.3">
      <c r="B20" s="443" t="s">
        <v>97</v>
      </c>
      <c r="C20" s="434">
        <v>1</v>
      </c>
      <c r="D20" s="434"/>
      <c r="E20" s="435"/>
      <c r="F20" s="436">
        <v>30000</v>
      </c>
      <c r="G20" s="444">
        <f>F20</f>
        <v>30000</v>
      </c>
      <c r="H20" s="2"/>
      <c r="I20" s="2"/>
      <c r="J20" s="3"/>
    </row>
    <row r="21" spans="2:10" x14ac:dyDescent="0.3">
      <c r="B21" s="443" t="s">
        <v>383</v>
      </c>
      <c r="C21" s="434"/>
      <c r="D21" s="434"/>
      <c r="E21" s="435"/>
      <c r="F21" s="437">
        <v>70000</v>
      </c>
      <c r="G21" s="444">
        <v>70000</v>
      </c>
      <c r="H21" s="2"/>
      <c r="I21" s="2"/>
      <c r="J21" s="3"/>
    </row>
    <row r="22" spans="2:10" x14ac:dyDescent="0.3">
      <c r="B22" s="443" t="s">
        <v>24</v>
      </c>
      <c r="C22" s="434"/>
      <c r="D22" s="434"/>
      <c r="E22" s="435"/>
      <c r="F22" s="436">
        <f t="shared" si="2"/>
        <v>0</v>
      </c>
      <c r="G22" s="444">
        <f t="shared" si="3"/>
        <v>0</v>
      </c>
      <c r="H22" s="2"/>
      <c r="I22" s="2"/>
    </row>
    <row r="23" spans="2:10" x14ac:dyDescent="0.3">
      <c r="B23" s="443" t="s">
        <v>26</v>
      </c>
      <c r="C23" s="434"/>
      <c r="D23" s="434"/>
      <c r="E23" s="435"/>
      <c r="F23" s="436">
        <f t="shared" si="2"/>
        <v>0</v>
      </c>
      <c r="G23" s="444">
        <f t="shared" si="3"/>
        <v>0</v>
      </c>
      <c r="H23" s="2"/>
      <c r="I23" s="2"/>
    </row>
    <row r="24" spans="2:10" x14ac:dyDescent="0.3">
      <c r="B24" s="443" t="s">
        <v>27</v>
      </c>
      <c r="C24" s="434"/>
      <c r="D24" s="434"/>
      <c r="E24" s="435"/>
      <c r="F24" s="436">
        <f t="shared" si="2"/>
        <v>0</v>
      </c>
      <c r="G24" s="444">
        <f t="shared" si="3"/>
        <v>0</v>
      </c>
      <c r="H24" s="2"/>
      <c r="I24" s="2"/>
    </row>
    <row r="25" spans="2:10" x14ac:dyDescent="0.3">
      <c r="B25" s="443" t="s">
        <v>28</v>
      </c>
      <c r="C25" s="434"/>
      <c r="D25" s="434"/>
      <c r="E25" s="435"/>
      <c r="F25" s="436">
        <f t="shared" si="2"/>
        <v>0</v>
      </c>
      <c r="G25" s="444">
        <f t="shared" si="3"/>
        <v>0</v>
      </c>
      <c r="H25" s="2"/>
      <c r="I25" s="2"/>
    </row>
    <row r="26" spans="2:10" ht="15" thickBot="1" x14ac:dyDescent="0.35">
      <c r="B26" s="446" t="s">
        <v>29</v>
      </c>
      <c r="C26" s="447"/>
      <c r="D26" s="447"/>
      <c r="E26" s="448"/>
      <c r="F26" s="449">
        <f t="shared" si="2"/>
        <v>0</v>
      </c>
      <c r="G26" s="450">
        <f t="shared" si="3"/>
        <v>0</v>
      </c>
      <c r="H26" s="2"/>
      <c r="I26" s="2"/>
    </row>
    <row r="27" spans="2:10" x14ac:dyDescent="0.3">
      <c r="F27" s="5" t="s">
        <v>9</v>
      </c>
      <c r="G27" s="4">
        <f>SUM(G6:G26)</f>
        <v>1067160</v>
      </c>
      <c r="I27" s="2"/>
    </row>
    <row r="28" spans="2:10" x14ac:dyDescent="0.3">
      <c r="H28" s="2"/>
      <c r="I28" s="2"/>
    </row>
    <row r="29" spans="2:10" ht="15" thickBot="1" x14ac:dyDescent="0.35">
      <c r="H29" s="2"/>
      <c r="I29" s="2"/>
    </row>
    <row r="30" spans="2:10" x14ac:dyDescent="0.3">
      <c r="B30" s="438" t="s">
        <v>2</v>
      </c>
      <c r="C30" s="442" t="s">
        <v>3</v>
      </c>
      <c r="H30" s="2"/>
      <c r="I30" s="2"/>
    </row>
    <row r="31" spans="2:10" x14ac:dyDescent="0.3">
      <c r="B31" s="443" t="s">
        <v>4</v>
      </c>
      <c r="C31" s="444">
        <f>SUM(G19:G21)</f>
        <v>150000</v>
      </c>
    </row>
    <row r="32" spans="2:10" x14ac:dyDescent="0.3">
      <c r="B32" s="443" t="s">
        <v>6</v>
      </c>
      <c r="C32" s="444">
        <f>SUM(G6:G14)</f>
        <v>759000</v>
      </c>
    </row>
    <row r="33" spans="2:3" x14ac:dyDescent="0.3">
      <c r="B33" s="445" t="s">
        <v>7</v>
      </c>
      <c r="C33" s="444">
        <f>SUM(G16:G17)</f>
        <v>57600</v>
      </c>
    </row>
    <row r="34" spans="2:3" x14ac:dyDescent="0.3">
      <c r="B34" s="443" t="s">
        <v>8</v>
      </c>
      <c r="C34" s="444">
        <f>G18</f>
        <v>34560</v>
      </c>
    </row>
    <row r="35" spans="2:3" x14ac:dyDescent="0.3">
      <c r="B35" s="443" t="s">
        <v>30</v>
      </c>
      <c r="C35" s="444">
        <f>G15</f>
        <v>66000</v>
      </c>
    </row>
    <row r="36" spans="2:3" ht="15" thickBot="1" x14ac:dyDescent="0.35">
      <c r="B36" s="451" t="s">
        <v>9</v>
      </c>
      <c r="C36" s="452">
        <f>SUM(C31:C35)</f>
        <v>1067160</v>
      </c>
    </row>
  </sheetData>
  <mergeCells count="1">
    <mergeCell ref="B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1608-1799-4CA1-B205-C98020167B06}">
  <dimension ref="B1:AI20"/>
  <sheetViews>
    <sheetView workbookViewId="0">
      <selection activeCell="K10" sqref="K10"/>
    </sheetView>
  </sheetViews>
  <sheetFormatPr defaultRowHeight="14.4" x14ac:dyDescent="0.3"/>
  <cols>
    <col min="3" max="3" width="15.6640625" bestFit="1" customWidth="1"/>
    <col min="4" max="5" width="18.44140625" bestFit="1" customWidth="1"/>
    <col min="6" max="6" width="21.5546875" customWidth="1"/>
    <col min="7" max="7" width="10.88671875" bestFit="1" customWidth="1"/>
    <col min="8" max="8" width="14.33203125" bestFit="1" customWidth="1"/>
    <col min="9" max="9" width="11.88671875" bestFit="1" customWidth="1"/>
    <col min="10" max="10" width="10.88671875" bestFit="1" customWidth="1"/>
    <col min="11" max="11" width="14.33203125" bestFit="1" customWidth="1"/>
    <col min="12" max="12" width="12.88671875" bestFit="1" customWidth="1"/>
    <col min="13" max="13" width="10.88671875" bestFit="1" customWidth="1"/>
    <col min="14" max="14" width="14.33203125" bestFit="1" customWidth="1"/>
    <col min="15" max="15" width="11.88671875" bestFit="1" customWidth="1"/>
    <col min="16" max="16" width="10.88671875" bestFit="1" customWidth="1"/>
    <col min="17" max="17" width="14.33203125" bestFit="1" customWidth="1"/>
    <col min="18" max="18" width="13.33203125" bestFit="1" customWidth="1"/>
    <col min="19" max="19" width="10.88671875" bestFit="1" customWidth="1"/>
    <col min="20" max="20" width="14.33203125" bestFit="1" customWidth="1"/>
    <col min="21" max="21" width="11.88671875" bestFit="1" customWidth="1"/>
    <col min="22" max="22" width="10.88671875" bestFit="1" customWidth="1"/>
    <col min="23" max="23" width="14.33203125" bestFit="1" customWidth="1"/>
    <col min="24" max="24" width="11.88671875" bestFit="1" customWidth="1"/>
    <col min="25" max="25" width="10.88671875" bestFit="1" customWidth="1"/>
    <col min="26" max="26" width="14.33203125" bestFit="1" customWidth="1"/>
    <col min="27" max="27" width="11.88671875" bestFit="1" customWidth="1"/>
    <col min="28" max="28" width="10.88671875" bestFit="1" customWidth="1"/>
    <col min="29" max="29" width="14.33203125" bestFit="1" customWidth="1"/>
    <col min="30" max="30" width="11.88671875" bestFit="1" customWidth="1"/>
    <col min="31" max="31" width="10.88671875" bestFit="1" customWidth="1"/>
    <col min="32" max="32" width="14.33203125" bestFit="1" customWidth="1"/>
    <col min="33" max="33" width="11.88671875" bestFit="1" customWidth="1"/>
    <col min="34" max="34" width="10.88671875" bestFit="1" customWidth="1"/>
    <col min="35" max="35" width="14.33203125" bestFit="1" customWidth="1"/>
  </cols>
  <sheetData>
    <row r="1" spans="2:35" ht="15" thickBot="1" x14ac:dyDescent="0.35">
      <c r="B1" s="28" t="s">
        <v>279</v>
      </c>
      <c r="C1" s="266"/>
      <c r="E1" s="267"/>
      <c r="F1" s="267"/>
      <c r="G1" s="268"/>
      <c r="H1" s="268"/>
      <c r="I1" s="268"/>
      <c r="J1" s="268"/>
      <c r="K1" s="268"/>
      <c r="L1" s="268"/>
    </row>
    <row r="2" spans="2:35" x14ac:dyDescent="0.3">
      <c r="B2" s="487" t="s">
        <v>31</v>
      </c>
      <c r="C2" s="489" t="s">
        <v>242</v>
      </c>
      <c r="D2" s="491" t="s">
        <v>243</v>
      </c>
      <c r="E2" s="496" t="s">
        <v>244</v>
      </c>
      <c r="F2" s="494" t="s">
        <v>20</v>
      </c>
      <c r="G2" s="494"/>
      <c r="H2" s="494"/>
      <c r="I2" s="493" t="s">
        <v>247</v>
      </c>
      <c r="J2" s="494"/>
      <c r="K2" s="498"/>
      <c r="L2" s="494" t="s">
        <v>23</v>
      </c>
      <c r="M2" s="494"/>
      <c r="N2" s="494"/>
      <c r="O2" s="493" t="s">
        <v>18</v>
      </c>
      <c r="P2" s="494"/>
      <c r="Q2" s="494"/>
      <c r="R2" s="494" t="s">
        <v>14</v>
      </c>
      <c r="S2" s="494"/>
      <c r="T2" s="494"/>
      <c r="U2" s="494" t="s">
        <v>12</v>
      </c>
      <c r="V2" s="494"/>
      <c r="W2" s="494"/>
      <c r="X2" s="494" t="s">
        <v>248</v>
      </c>
      <c r="Y2" s="494"/>
      <c r="Z2" s="494"/>
      <c r="AA2" s="494" t="s">
        <v>249</v>
      </c>
      <c r="AB2" s="494"/>
      <c r="AC2" s="495"/>
      <c r="AD2" s="494" t="s">
        <v>386</v>
      </c>
      <c r="AE2" s="494"/>
      <c r="AF2" s="495"/>
      <c r="AG2" s="494" t="s">
        <v>387</v>
      </c>
      <c r="AH2" s="494"/>
      <c r="AI2" s="495"/>
    </row>
    <row r="3" spans="2:35" ht="29.4" thickBot="1" x14ac:dyDescent="0.35">
      <c r="B3" s="488"/>
      <c r="C3" s="490"/>
      <c r="D3" s="492"/>
      <c r="E3" s="497"/>
      <c r="F3" s="30" t="s">
        <v>245</v>
      </c>
      <c r="G3" s="31" t="s">
        <v>246</v>
      </c>
      <c r="H3" s="271" t="s">
        <v>3</v>
      </c>
      <c r="I3" s="272" t="s">
        <v>245</v>
      </c>
      <c r="J3" s="31" t="s">
        <v>246</v>
      </c>
      <c r="K3" s="37" t="s">
        <v>3</v>
      </c>
      <c r="L3" s="271" t="s">
        <v>245</v>
      </c>
      <c r="M3" s="273" t="s">
        <v>246</v>
      </c>
      <c r="N3" s="271" t="s">
        <v>3</v>
      </c>
      <c r="O3" s="272" t="s">
        <v>245</v>
      </c>
      <c r="P3" s="273" t="s">
        <v>246</v>
      </c>
      <c r="Q3" s="271" t="s">
        <v>3</v>
      </c>
      <c r="R3" s="271" t="s">
        <v>245</v>
      </c>
      <c r="S3" s="273" t="s">
        <v>246</v>
      </c>
      <c r="T3" s="271" t="s">
        <v>3</v>
      </c>
      <c r="U3" s="271" t="s">
        <v>245</v>
      </c>
      <c r="V3" s="273" t="s">
        <v>246</v>
      </c>
      <c r="W3" s="271" t="s">
        <v>3</v>
      </c>
      <c r="X3" s="271" t="s">
        <v>245</v>
      </c>
      <c r="Y3" s="273" t="s">
        <v>246</v>
      </c>
      <c r="Z3" s="271" t="s">
        <v>3</v>
      </c>
      <c r="AA3" s="271" t="s">
        <v>245</v>
      </c>
      <c r="AB3" s="273" t="s">
        <v>246</v>
      </c>
      <c r="AC3" s="286" t="s">
        <v>3</v>
      </c>
      <c r="AD3" s="453" t="s">
        <v>245</v>
      </c>
      <c r="AE3" s="454" t="s">
        <v>246</v>
      </c>
      <c r="AF3" s="455" t="s">
        <v>3</v>
      </c>
      <c r="AG3" s="453" t="s">
        <v>245</v>
      </c>
      <c r="AH3" s="454" t="s">
        <v>246</v>
      </c>
      <c r="AI3" s="455" t="s">
        <v>3</v>
      </c>
    </row>
    <row r="4" spans="2:35" x14ac:dyDescent="0.3">
      <c r="B4" s="287">
        <f>BC!B5</f>
        <v>0</v>
      </c>
      <c r="C4" s="274">
        <f>SUM(D4:E4)*12</f>
        <v>907500</v>
      </c>
      <c r="D4" s="288">
        <f>E4*10/100</f>
        <v>6875</v>
      </c>
      <c r="E4" s="275">
        <f>H4+K4+N4+Q4+T4+W4+Z4+AF4+AC4+AI4</f>
        <v>68750</v>
      </c>
      <c r="F4" s="289">
        <f>Investimento_I!$F$15</f>
        <v>5500</v>
      </c>
      <c r="G4" s="290">
        <v>1</v>
      </c>
      <c r="H4" s="291">
        <f>F4*G4</f>
        <v>5500</v>
      </c>
      <c r="I4" s="211">
        <f>Investimento_I!$F$8</f>
        <v>6000</v>
      </c>
      <c r="J4" s="292">
        <v>1</v>
      </c>
      <c r="K4" s="276">
        <f>I4*J4</f>
        <v>6000</v>
      </c>
      <c r="L4" s="289">
        <f>Investimento_I!$F$9</f>
        <v>12000</v>
      </c>
      <c r="M4" s="292">
        <v>1</v>
      </c>
      <c r="N4" s="291">
        <f t="shared" ref="N4:N14" si="0">L4*M4</f>
        <v>12000</v>
      </c>
      <c r="O4" s="211">
        <f>Investimento_I!$F$13</f>
        <v>8000</v>
      </c>
      <c r="P4" s="292">
        <v>1</v>
      </c>
      <c r="Q4" s="291">
        <f t="shared" ref="Q4:Q14" si="1">O4*P4</f>
        <v>8000</v>
      </c>
      <c r="R4" s="289">
        <f>Investimento_I!$F$10</f>
        <v>5500</v>
      </c>
      <c r="S4" s="292">
        <v>2</v>
      </c>
      <c r="T4" s="291">
        <f t="shared" ref="T4:T14" si="2">R4*S4</f>
        <v>11000</v>
      </c>
      <c r="U4" s="289">
        <f>Investimento_I!$F$11</f>
        <v>7200</v>
      </c>
      <c r="V4" s="292">
        <v>1</v>
      </c>
      <c r="W4" s="291">
        <f t="shared" ref="W4:W14" si="3">U4*V4</f>
        <v>7200</v>
      </c>
      <c r="X4" s="289">
        <f>Investimento_I!$F$12</f>
        <v>8800</v>
      </c>
      <c r="Y4" s="292">
        <v>1</v>
      </c>
      <c r="Z4" s="291">
        <f t="shared" ref="Z4:Z14" si="4">X4*Y4</f>
        <v>8800</v>
      </c>
      <c r="AA4" s="289">
        <f>Investimento_I!$F$14</f>
        <v>2500</v>
      </c>
      <c r="AB4" s="292">
        <v>2</v>
      </c>
      <c r="AC4" s="293">
        <f t="shared" ref="AC4:AC14" si="5">AA4*AB4</f>
        <v>5000</v>
      </c>
      <c r="AD4" s="456">
        <f>Investimento_I!$F$6</f>
        <v>1500</v>
      </c>
      <c r="AE4" s="457">
        <v>1</v>
      </c>
      <c r="AF4" s="458">
        <f t="shared" ref="AF4:AF14" si="6">AD4*AE4</f>
        <v>1500</v>
      </c>
      <c r="AG4" s="459">
        <f>Investimento_I!$F$7</f>
        <v>3750</v>
      </c>
      <c r="AH4" s="457">
        <v>1</v>
      </c>
      <c r="AI4" s="458">
        <f t="shared" ref="AI4:AI14" si="7">AG4*AH4</f>
        <v>3750</v>
      </c>
    </row>
    <row r="5" spans="2:35" x14ac:dyDescent="0.3">
      <c r="B5" s="287">
        <f>BC!B6</f>
        <v>1</v>
      </c>
      <c r="C5" s="274">
        <f t="shared" ref="C5:C14" si="8">SUM(D5:E5)*12</f>
        <v>902286</v>
      </c>
      <c r="D5" s="288">
        <f t="shared" ref="D5:D14" si="9">E5*5/100</f>
        <v>3580.5</v>
      </c>
      <c r="E5" s="275">
        <f t="shared" ref="E5:E14" si="10">H5+K5+N5+Q5+T5+W5+Z5+AF5+AC5+AI5</f>
        <v>71610</v>
      </c>
      <c r="F5" s="289">
        <f>Investimento_I!$F$15 + (Investimento_I!$F$15)*0.02</f>
        <v>5610</v>
      </c>
      <c r="G5" s="290">
        <v>1</v>
      </c>
      <c r="H5" s="291">
        <f t="shared" ref="H5:H14" si="11">F5*G5</f>
        <v>5610</v>
      </c>
      <c r="I5" s="211">
        <f>I4*(1+Premissas!$D$6/100)</f>
        <v>6000</v>
      </c>
      <c r="J5" s="292">
        <f>J4</f>
        <v>1</v>
      </c>
      <c r="K5" s="276">
        <f t="shared" ref="K5:K14" si="12">I5*J5</f>
        <v>6000</v>
      </c>
      <c r="L5" s="289">
        <f>L4*(1+Premissas!$D$6/100)</f>
        <v>12000</v>
      </c>
      <c r="M5" s="292">
        <v>1</v>
      </c>
      <c r="N5" s="291">
        <f t="shared" si="0"/>
        <v>12000</v>
      </c>
      <c r="O5" s="211">
        <f>O4*(1+Premissas!$D$6/100)</f>
        <v>8000</v>
      </c>
      <c r="P5" s="292">
        <v>2</v>
      </c>
      <c r="Q5" s="291">
        <f t="shared" si="1"/>
        <v>16000</v>
      </c>
      <c r="R5" s="289">
        <f>Investimento_I!$F$10</f>
        <v>5500</v>
      </c>
      <c r="S5" s="292">
        <v>2</v>
      </c>
      <c r="T5" s="291">
        <f t="shared" si="2"/>
        <v>11000</v>
      </c>
      <c r="U5" s="289">
        <f>U4*(1+Premissas!$D$6/100)</f>
        <v>7200</v>
      </c>
      <c r="V5" s="292">
        <v>1</v>
      </c>
      <c r="W5" s="291">
        <f t="shared" si="3"/>
        <v>7200</v>
      </c>
      <c r="X5" s="289">
        <f>X4*(1+Premissas!$D$6/100)</f>
        <v>8800</v>
      </c>
      <c r="Y5" s="292">
        <v>1</v>
      </c>
      <c r="Z5" s="291">
        <f t="shared" si="4"/>
        <v>8800</v>
      </c>
      <c r="AA5" s="289">
        <f>AA4*(1+Premissas!$D$6/100)</f>
        <v>2500</v>
      </c>
      <c r="AB5" s="292">
        <v>2</v>
      </c>
      <c r="AC5" s="293">
        <f t="shared" si="5"/>
        <v>5000</v>
      </c>
      <c r="AD5" s="206">
        <f>AD4*(1+Premissas!$D$6/100)</f>
        <v>1500</v>
      </c>
      <c r="AE5" s="292">
        <v>0</v>
      </c>
      <c r="AF5" s="293">
        <f t="shared" si="6"/>
        <v>0</v>
      </c>
      <c r="AG5" s="289">
        <f>AG4*(1+Premissas!$D$6/100)</f>
        <v>3750</v>
      </c>
      <c r="AH5" s="292">
        <v>0</v>
      </c>
      <c r="AI5" s="293">
        <f t="shared" si="7"/>
        <v>0</v>
      </c>
    </row>
    <row r="6" spans="2:35" x14ac:dyDescent="0.3">
      <c r="B6" s="287">
        <f>BC!B7</f>
        <v>2</v>
      </c>
      <c r="C6" s="274">
        <f t="shared" si="8"/>
        <v>1038120.2999999999</v>
      </c>
      <c r="D6" s="288">
        <f t="shared" si="9"/>
        <v>4119.5249999999996</v>
      </c>
      <c r="E6" s="275">
        <f t="shared" si="10"/>
        <v>82390.5</v>
      </c>
      <c r="F6" s="289">
        <f>F5+ (F5)*0.05</f>
        <v>5890.5</v>
      </c>
      <c r="G6" s="290">
        <v>1</v>
      </c>
      <c r="H6" s="291">
        <f t="shared" si="11"/>
        <v>5890.5</v>
      </c>
      <c r="I6" s="211">
        <f>I5*(1+Premissas!$D$6/100)</f>
        <v>6000</v>
      </c>
      <c r="J6" s="292">
        <f t="shared" ref="J6" si="13">J5</f>
        <v>1</v>
      </c>
      <c r="K6" s="276">
        <f t="shared" si="12"/>
        <v>6000</v>
      </c>
      <c r="L6" s="289">
        <f>L5*(1+Premissas!$D$6/100)</f>
        <v>12000</v>
      </c>
      <c r="M6" s="292">
        <v>1</v>
      </c>
      <c r="N6" s="291">
        <f t="shared" si="0"/>
        <v>12000</v>
      </c>
      <c r="O6" s="211">
        <f>O5*(1+Premissas!$D$6/100)</f>
        <v>8000</v>
      </c>
      <c r="P6" s="292">
        <v>3</v>
      </c>
      <c r="Q6" s="291">
        <f t="shared" si="1"/>
        <v>24000</v>
      </c>
      <c r="R6" s="289">
        <f>Investimento_I!$F$10</f>
        <v>5500</v>
      </c>
      <c r="S6" s="292">
        <v>2</v>
      </c>
      <c r="T6" s="291">
        <f t="shared" si="2"/>
        <v>11000</v>
      </c>
      <c r="U6" s="289">
        <f>U5*(1+Premissas!$D$6/100)</f>
        <v>7200</v>
      </c>
      <c r="V6" s="292">
        <v>1</v>
      </c>
      <c r="W6" s="291">
        <f t="shared" si="3"/>
        <v>7200</v>
      </c>
      <c r="X6" s="289">
        <f>X5*(1+Premissas!$D$6/100)</f>
        <v>8800</v>
      </c>
      <c r="Y6" s="292">
        <v>1</v>
      </c>
      <c r="Z6" s="291">
        <f t="shared" si="4"/>
        <v>8800</v>
      </c>
      <c r="AA6" s="289">
        <f>AA5*(1+Premissas!$D$6/100)</f>
        <v>2500</v>
      </c>
      <c r="AB6" s="292">
        <v>3</v>
      </c>
      <c r="AC6" s="293">
        <f t="shared" si="5"/>
        <v>7500</v>
      </c>
      <c r="AD6" s="206">
        <f>AD5*(1+Premissas!$D$6/100)</f>
        <v>1500</v>
      </c>
      <c r="AE6" s="292">
        <v>0</v>
      </c>
      <c r="AF6" s="293">
        <f t="shared" si="6"/>
        <v>0</v>
      </c>
      <c r="AG6" s="289">
        <f>AG5*(1+Premissas!$D$6/100)</f>
        <v>3750</v>
      </c>
      <c r="AH6" s="292">
        <v>0</v>
      </c>
      <c r="AI6" s="293">
        <f t="shared" si="7"/>
        <v>0</v>
      </c>
    </row>
    <row r="7" spans="2:35" x14ac:dyDescent="0.3">
      <c r="B7" s="287">
        <f>BC!B8</f>
        <v>3</v>
      </c>
      <c r="C7" s="274">
        <f t="shared" si="8"/>
        <v>1146704.706</v>
      </c>
      <c r="D7" s="288">
        <f t="shared" si="9"/>
        <v>4550.4155000000001</v>
      </c>
      <c r="E7" s="275">
        <f t="shared" si="10"/>
        <v>91008.31</v>
      </c>
      <c r="F7" s="289">
        <f>F6+ (F6)*0.02</f>
        <v>6008.31</v>
      </c>
      <c r="G7" s="290">
        <v>1</v>
      </c>
      <c r="H7" s="291">
        <f t="shared" si="11"/>
        <v>6008.31</v>
      </c>
      <c r="I7" s="211">
        <f>I6*(1+Premissas!$D$6/100)</f>
        <v>6000</v>
      </c>
      <c r="J7" s="292">
        <v>2</v>
      </c>
      <c r="K7" s="276">
        <f t="shared" si="12"/>
        <v>12000</v>
      </c>
      <c r="L7" s="289">
        <f>L6*(1+Premissas!$D$6/100)</f>
        <v>12000</v>
      </c>
      <c r="M7" s="292">
        <v>1</v>
      </c>
      <c r="N7" s="291">
        <f t="shared" si="0"/>
        <v>12000</v>
      </c>
      <c r="O7" s="211">
        <f>O6*(1+Premissas!$D$6/100)</f>
        <v>8000</v>
      </c>
      <c r="P7" s="292">
        <v>3</v>
      </c>
      <c r="Q7" s="291">
        <f t="shared" si="1"/>
        <v>24000</v>
      </c>
      <c r="R7" s="289">
        <f>Investimento_I!$F$10</f>
        <v>5500</v>
      </c>
      <c r="S7" s="292">
        <v>2</v>
      </c>
      <c r="T7" s="291">
        <f t="shared" si="2"/>
        <v>11000</v>
      </c>
      <c r="U7" s="289">
        <f>U6*(1+Premissas!$D$6/100)</f>
        <v>7200</v>
      </c>
      <c r="V7" s="292">
        <v>1</v>
      </c>
      <c r="W7" s="291">
        <f t="shared" si="3"/>
        <v>7200</v>
      </c>
      <c r="X7" s="289">
        <f>X6*(1+Premissas!$D$6/100)</f>
        <v>8800</v>
      </c>
      <c r="Y7" s="292">
        <v>1</v>
      </c>
      <c r="Z7" s="291">
        <f t="shared" si="4"/>
        <v>8800</v>
      </c>
      <c r="AA7" s="289">
        <f>AA6*(1+Premissas!$D$6/100)</f>
        <v>2500</v>
      </c>
      <c r="AB7" s="292">
        <v>4</v>
      </c>
      <c r="AC7" s="293">
        <f t="shared" si="5"/>
        <v>10000</v>
      </c>
      <c r="AD7" s="206">
        <f>AD6*(1+Premissas!$D$6/100)</f>
        <v>1500</v>
      </c>
      <c r="AE7" s="292">
        <v>0</v>
      </c>
      <c r="AF7" s="293">
        <f t="shared" si="6"/>
        <v>0</v>
      </c>
      <c r="AG7" s="289">
        <f>AG6*(1+Premissas!$D$6/100)</f>
        <v>3750</v>
      </c>
      <c r="AH7" s="292">
        <v>0</v>
      </c>
      <c r="AI7" s="293">
        <f t="shared" si="7"/>
        <v>0</v>
      </c>
    </row>
    <row r="8" spans="2:35" x14ac:dyDescent="0.3">
      <c r="B8" s="287">
        <f>BC!B9</f>
        <v>4</v>
      </c>
      <c r="C8" s="274">
        <f t="shared" si="8"/>
        <v>1225437.6002400001</v>
      </c>
      <c r="D8" s="288">
        <f t="shared" si="9"/>
        <v>4862.8476200000005</v>
      </c>
      <c r="E8" s="275">
        <f t="shared" si="10"/>
        <v>97256.952400000009</v>
      </c>
      <c r="F8" s="289">
        <f t="shared" ref="F8:F14" si="14">F7+ (F7)*0.02</f>
        <v>6128.4762000000001</v>
      </c>
      <c r="G8" s="290">
        <v>2</v>
      </c>
      <c r="H8" s="291">
        <f t="shared" si="11"/>
        <v>12256.9524</v>
      </c>
      <c r="I8" s="211">
        <f>I7*(1+Premissas!$D$6/100)</f>
        <v>6000</v>
      </c>
      <c r="J8" s="292">
        <v>2</v>
      </c>
      <c r="K8" s="276">
        <f t="shared" si="12"/>
        <v>12000</v>
      </c>
      <c r="L8" s="289">
        <f>L7*(1+Premissas!$D$6/100)</f>
        <v>12000</v>
      </c>
      <c r="M8" s="292">
        <v>1</v>
      </c>
      <c r="N8" s="291">
        <f t="shared" si="0"/>
        <v>12000</v>
      </c>
      <c r="O8" s="211">
        <f>O7*(1+Premissas!$D$6/100)</f>
        <v>8000</v>
      </c>
      <c r="P8" s="292">
        <v>3</v>
      </c>
      <c r="Q8" s="291">
        <f t="shared" si="1"/>
        <v>24000</v>
      </c>
      <c r="R8" s="289">
        <f>Investimento_I!$F$10</f>
        <v>5500</v>
      </c>
      <c r="S8" s="292">
        <v>2</v>
      </c>
      <c r="T8" s="291">
        <f t="shared" si="2"/>
        <v>11000</v>
      </c>
      <c r="U8" s="289">
        <f>U7*(1+Premissas!$D$6/100)</f>
        <v>7200</v>
      </c>
      <c r="V8" s="292">
        <v>1</v>
      </c>
      <c r="W8" s="291">
        <f t="shared" si="3"/>
        <v>7200</v>
      </c>
      <c r="X8" s="289">
        <f>X7*(1+Premissas!$D$6/100)</f>
        <v>8800</v>
      </c>
      <c r="Y8" s="292">
        <v>1</v>
      </c>
      <c r="Z8" s="291">
        <f t="shared" si="4"/>
        <v>8800</v>
      </c>
      <c r="AA8" s="289">
        <f>AA7*(1+Premissas!$D$6/100)</f>
        <v>2500</v>
      </c>
      <c r="AB8" s="292">
        <v>4</v>
      </c>
      <c r="AC8" s="293">
        <f t="shared" si="5"/>
        <v>10000</v>
      </c>
      <c r="AD8" s="206">
        <f>AD7*(1+Premissas!$D$6/100)</f>
        <v>1500</v>
      </c>
      <c r="AE8" s="292">
        <v>0</v>
      </c>
      <c r="AF8" s="293">
        <f t="shared" si="6"/>
        <v>0</v>
      </c>
      <c r="AG8" s="289">
        <f>AG7*(1+Premissas!$D$6/100)</f>
        <v>3750</v>
      </c>
      <c r="AH8" s="292">
        <v>0</v>
      </c>
      <c r="AI8" s="293">
        <f t="shared" si="7"/>
        <v>0</v>
      </c>
    </row>
    <row r="9" spans="2:35" x14ac:dyDescent="0.3">
      <c r="B9" s="287">
        <f>BC!B10</f>
        <v>5</v>
      </c>
      <c r="C9" s="274">
        <f t="shared" si="8"/>
        <v>1609046.3522447997</v>
      </c>
      <c r="D9" s="288">
        <f t="shared" si="9"/>
        <v>6385.1045723999987</v>
      </c>
      <c r="E9" s="275">
        <f t="shared" si="10"/>
        <v>127702.09144799999</v>
      </c>
      <c r="F9" s="289">
        <f t="shared" si="14"/>
        <v>6251.0457239999996</v>
      </c>
      <c r="G9" s="290">
        <v>2</v>
      </c>
      <c r="H9" s="291">
        <f t="shared" si="11"/>
        <v>12502.091447999999</v>
      </c>
      <c r="I9" s="211">
        <f>I8*(1+Premissas!$D$6/100)</f>
        <v>6000</v>
      </c>
      <c r="J9" s="292">
        <v>2</v>
      </c>
      <c r="K9" s="276">
        <f t="shared" si="12"/>
        <v>12000</v>
      </c>
      <c r="L9" s="289">
        <f>L8*(1+Premissas!$D$6/100)</f>
        <v>12000</v>
      </c>
      <c r="M9" s="292">
        <v>2</v>
      </c>
      <c r="N9" s="291">
        <f t="shared" si="0"/>
        <v>24000</v>
      </c>
      <c r="O9" s="211">
        <f>O8*(1+Premissas!$D$6/100)</f>
        <v>8000</v>
      </c>
      <c r="P9" s="292">
        <v>3</v>
      </c>
      <c r="Q9" s="291">
        <f t="shared" si="1"/>
        <v>24000</v>
      </c>
      <c r="R9" s="289">
        <f>Investimento_I!$F$10</f>
        <v>5500</v>
      </c>
      <c r="S9" s="292">
        <v>4</v>
      </c>
      <c r="T9" s="291">
        <f t="shared" si="2"/>
        <v>22000</v>
      </c>
      <c r="U9" s="289">
        <f>U8*(1+Premissas!$D$6/100)</f>
        <v>7200</v>
      </c>
      <c r="V9" s="292">
        <v>2</v>
      </c>
      <c r="W9" s="291">
        <f t="shared" si="3"/>
        <v>14400</v>
      </c>
      <c r="X9" s="289">
        <f>X8*(1+Premissas!$D$6/100)</f>
        <v>8800</v>
      </c>
      <c r="Y9" s="292">
        <v>1</v>
      </c>
      <c r="Z9" s="291">
        <f t="shared" si="4"/>
        <v>8800</v>
      </c>
      <c r="AA9" s="289">
        <f>AA8*(1+Premissas!$D$6/100)</f>
        <v>2500</v>
      </c>
      <c r="AB9" s="292">
        <v>4</v>
      </c>
      <c r="AC9" s="293">
        <f t="shared" si="5"/>
        <v>10000</v>
      </c>
      <c r="AD9" s="206">
        <f>AD8*(1+Premissas!$D$6/100)</f>
        <v>1500</v>
      </c>
      <c r="AE9" s="292">
        <v>0</v>
      </c>
      <c r="AF9" s="293">
        <f t="shared" si="6"/>
        <v>0</v>
      </c>
      <c r="AG9" s="289">
        <f>AG8*(1+Premissas!$D$6/100)</f>
        <v>3750</v>
      </c>
      <c r="AH9" s="292">
        <v>0</v>
      </c>
      <c r="AI9" s="293">
        <f t="shared" si="7"/>
        <v>0</v>
      </c>
    </row>
    <row r="10" spans="2:35" x14ac:dyDescent="0.3">
      <c r="B10" s="287">
        <f>BC!B11</f>
        <v>6</v>
      </c>
      <c r="C10" s="274">
        <f t="shared" si="8"/>
        <v>1744496.879289696</v>
      </c>
      <c r="D10" s="288">
        <f t="shared" si="9"/>
        <v>6922.6066638479997</v>
      </c>
      <c r="E10" s="275">
        <f t="shared" si="10"/>
        <v>138452.13327696</v>
      </c>
      <c r="F10" s="289">
        <f t="shared" si="14"/>
        <v>6376.0666384799997</v>
      </c>
      <c r="G10" s="290">
        <v>2</v>
      </c>
      <c r="H10" s="291">
        <f t="shared" si="11"/>
        <v>12752.133276959999</v>
      </c>
      <c r="I10" s="211">
        <f>I9*(1+Premissas!$D$6/100)</f>
        <v>6000</v>
      </c>
      <c r="J10" s="292">
        <v>2</v>
      </c>
      <c r="K10" s="276">
        <f t="shared" si="12"/>
        <v>12000</v>
      </c>
      <c r="L10" s="289">
        <f>L9*(1+Premissas!$D$6/100)</f>
        <v>12000</v>
      </c>
      <c r="M10" s="292">
        <v>2</v>
      </c>
      <c r="N10" s="291">
        <f t="shared" si="0"/>
        <v>24000</v>
      </c>
      <c r="O10" s="211">
        <f>O9*(1+Premissas!$D$6/100)</f>
        <v>8000</v>
      </c>
      <c r="P10" s="292">
        <v>4</v>
      </c>
      <c r="Q10" s="291">
        <f t="shared" si="1"/>
        <v>32000</v>
      </c>
      <c r="R10" s="289">
        <f>Investimento_I!$F$10</f>
        <v>5500</v>
      </c>
      <c r="S10" s="292">
        <v>4</v>
      </c>
      <c r="T10" s="291">
        <f t="shared" si="2"/>
        <v>22000</v>
      </c>
      <c r="U10" s="289">
        <f>U9*(1+Premissas!$D$6/100)</f>
        <v>7200</v>
      </c>
      <c r="V10" s="292">
        <v>2</v>
      </c>
      <c r="W10" s="291">
        <f t="shared" si="3"/>
        <v>14400</v>
      </c>
      <c r="X10" s="289">
        <f>X9*(1+Premissas!$D$6/100)</f>
        <v>8800</v>
      </c>
      <c r="Y10" s="292">
        <v>1</v>
      </c>
      <c r="Z10" s="291">
        <f t="shared" si="4"/>
        <v>8800</v>
      </c>
      <c r="AA10" s="289">
        <f>AA9*(1+Premissas!$D$6/100)</f>
        <v>2500</v>
      </c>
      <c r="AB10" s="292">
        <v>5</v>
      </c>
      <c r="AC10" s="293">
        <f t="shared" si="5"/>
        <v>12500</v>
      </c>
      <c r="AD10" s="206">
        <f>AD9*(1+Premissas!$D$6/100)</f>
        <v>1500</v>
      </c>
      <c r="AE10" s="292">
        <v>0</v>
      </c>
      <c r="AF10" s="293">
        <f t="shared" si="6"/>
        <v>0</v>
      </c>
      <c r="AG10" s="289">
        <f>AG9*(1+Premissas!$D$6/100)</f>
        <v>3750</v>
      </c>
      <c r="AH10" s="292">
        <v>0</v>
      </c>
      <c r="AI10" s="293">
        <f t="shared" si="7"/>
        <v>0</v>
      </c>
    </row>
    <row r="11" spans="2:35" x14ac:dyDescent="0.3">
      <c r="B11" s="287">
        <f>BC!B12</f>
        <v>7</v>
      </c>
      <c r="C11" s="274">
        <f t="shared" si="8"/>
        <v>1934190.41687549</v>
      </c>
      <c r="D11" s="288">
        <f t="shared" si="9"/>
        <v>7675.3587971249599</v>
      </c>
      <c r="E11" s="275">
        <f t="shared" si="10"/>
        <v>153507.17594249919</v>
      </c>
      <c r="F11" s="289">
        <f t="shared" si="14"/>
        <v>6503.5879712495998</v>
      </c>
      <c r="G11" s="290">
        <v>2</v>
      </c>
      <c r="H11" s="291">
        <f t="shared" si="11"/>
        <v>13007.1759424992</v>
      </c>
      <c r="I11" s="211">
        <f>I10*(1+Premissas!$D$6/100)</f>
        <v>6000</v>
      </c>
      <c r="J11" s="292">
        <v>3</v>
      </c>
      <c r="K11" s="276">
        <f t="shared" si="12"/>
        <v>18000</v>
      </c>
      <c r="L11" s="289">
        <f>L10*(1+Premissas!$D$6/100)</f>
        <v>12000</v>
      </c>
      <c r="M11" s="292">
        <v>2</v>
      </c>
      <c r="N11" s="291">
        <f t="shared" si="0"/>
        <v>24000</v>
      </c>
      <c r="O11" s="211">
        <f>O10*(1+Premissas!$D$6/100)</f>
        <v>8000</v>
      </c>
      <c r="P11" s="292">
        <v>4</v>
      </c>
      <c r="Q11" s="291">
        <f t="shared" si="1"/>
        <v>32000</v>
      </c>
      <c r="R11" s="289">
        <f>Investimento_I!$F$10</f>
        <v>5500</v>
      </c>
      <c r="S11" s="292">
        <v>4</v>
      </c>
      <c r="T11" s="291">
        <f t="shared" si="2"/>
        <v>22000</v>
      </c>
      <c r="U11" s="289">
        <f>U10*(1+Premissas!$D$6/100)</f>
        <v>7200</v>
      </c>
      <c r="V11" s="292">
        <v>2</v>
      </c>
      <c r="W11" s="291">
        <f t="shared" si="3"/>
        <v>14400</v>
      </c>
      <c r="X11" s="289">
        <f>X10*(1+Premissas!$D$6/100)</f>
        <v>8800</v>
      </c>
      <c r="Y11" s="292">
        <v>2</v>
      </c>
      <c r="Z11" s="291">
        <f t="shared" si="4"/>
        <v>17600</v>
      </c>
      <c r="AA11" s="289">
        <f>AA10*(1+Premissas!$D$6/100)</f>
        <v>2500</v>
      </c>
      <c r="AB11" s="292">
        <v>5</v>
      </c>
      <c r="AC11" s="293">
        <f t="shared" si="5"/>
        <v>12500</v>
      </c>
      <c r="AD11" s="206">
        <f>AD10*(1+Premissas!$D$6/100)</f>
        <v>1500</v>
      </c>
      <c r="AE11" s="292">
        <v>0</v>
      </c>
      <c r="AF11" s="293">
        <f t="shared" si="6"/>
        <v>0</v>
      </c>
      <c r="AG11" s="289">
        <f>AG10*(1+Premissas!$D$6/100)</f>
        <v>3750</v>
      </c>
      <c r="AH11" s="292">
        <v>0</v>
      </c>
      <c r="AI11" s="293">
        <f t="shared" si="7"/>
        <v>0</v>
      </c>
    </row>
    <row r="12" spans="2:35" x14ac:dyDescent="0.3">
      <c r="B12" s="287">
        <f>BC!B13</f>
        <v>8</v>
      </c>
      <c r="C12" s="274">
        <f t="shared" si="8"/>
        <v>2052552.3378194994</v>
      </c>
      <c r="D12" s="288">
        <f t="shared" si="9"/>
        <v>8145.0489596011885</v>
      </c>
      <c r="E12" s="275">
        <f t="shared" si="10"/>
        <v>162900.97919202378</v>
      </c>
      <c r="F12" s="289">
        <f t="shared" si="14"/>
        <v>6633.6597306745916</v>
      </c>
      <c r="G12" s="290">
        <v>3</v>
      </c>
      <c r="H12" s="291">
        <f t="shared" si="11"/>
        <v>19900.979192023777</v>
      </c>
      <c r="I12" s="211">
        <f>I11*(1+Premissas!$D$6/100)</f>
        <v>6000</v>
      </c>
      <c r="J12" s="292">
        <v>3</v>
      </c>
      <c r="K12" s="276">
        <f t="shared" si="12"/>
        <v>18000</v>
      </c>
      <c r="L12" s="289">
        <f>L11*(1+Premissas!$D$6/100)</f>
        <v>12000</v>
      </c>
      <c r="M12" s="292">
        <v>2</v>
      </c>
      <c r="N12" s="291">
        <f t="shared" si="0"/>
        <v>24000</v>
      </c>
      <c r="O12" s="211">
        <f>O11*(1+Premissas!$D$6/100)</f>
        <v>8000</v>
      </c>
      <c r="P12" s="292">
        <v>4</v>
      </c>
      <c r="Q12" s="291">
        <f t="shared" si="1"/>
        <v>32000</v>
      </c>
      <c r="R12" s="289">
        <f>Investimento_I!$F$10</f>
        <v>5500</v>
      </c>
      <c r="S12" s="292">
        <v>4</v>
      </c>
      <c r="T12" s="291">
        <f t="shared" si="2"/>
        <v>22000</v>
      </c>
      <c r="U12" s="289">
        <f>U11*(1+Premissas!$D$6/100)</f>
        <v>7200</v>
      </c>
      <c r="V12" s="292">
        <v>2</v>
      </c>
      <c r="W12" s="291">
        <f t="shared" si="3"/>
        <v>14400</v>
      </c>
      <c r="X12" s="289">
        <f>X11*(1+Premissas!$D$6/100)</f>
        <v>8800</v>
      </c>
      <c r="Y12" s="292">
        <v>2</v>
      </c>
      <c r="Z12" s="291">
        <f t="shared" si="4"/>
        <v>17600</v>
      </c>
      <c r="AA12" s="289">
        <f>AA11*(1+Premissas!$D$6/100)</f>
        <v>2500</v>
      </c>
      <c r="AB12" s="292">
        <v>6</v>
      </c>
      <c r="AC12" s="293">
        <f t="shared" si="5"/>
        <v>15000</v>
      </c>
      <c r="AD12" s="206">
        <f>AD11*(1+Premissas!$D$6/100)</f>
        <v>1500</v>
      </c>
      <c r="AE12" s="292">
        <v>0</v>
      </c>
      <c r="AF12" s="293">
        <f t="shared" si="6"/>
        <v>0</v>
      </c>
      <c r="AG12" s="289">
        <f>AG11*(1+Premissas!$D$6/100)</f>
        <v>3750</v>
      </c>
      <c r="AH12" s="292">
        <v>0</v>
      </c>
      <c r="AI12" s="293">
        <f t="shared" si="7"/>
        <v>0</v>
      </c>
    </row>
    <row r="13" spans="2:35" x14ac:dyDescent="0.3">
      <c r="B13" s="287">
        <f>BC!B14</f>
        <v>9</v>
      </c>
      <c r="C13" s="274">
        <f t="shared" si="8"/>
        <v>2629607.3845758894</v>
      </c>
      <c r="D13" s="288">
        <f t="shared" si="9"/>
        <v>10434.949938793212</v>
      </c>
      <c r="E13" s="275">
        <f t="shared" si="10"/>
        <v>208698.99877586425</v>
      </c>
      <c r="F13" s="289">
        <f t="shared" si="14"/>
        <v>6766.3329252880831</v>
      </c>
      <c r="G13" s="290">
        <v>3</v>
      </c>
      <c r="H13" s="291">
        <f t="shared" si="11"/>
        <v>20298.998775864249</v>
      </c>
      <c r="I13" s="211">
        <f>I12*(1+Premissas!$D$6/100)</f>
        <v>6000</v>
      </c>
      <c r="J13" s="292">
        <v>3</v>
      </c>
      <c r="K13" s="276">
        <f t="shared" si="12"/>
        <v>18000</v>
      </c>
      <c r="L13" s="289">
        <f>L12*(1+Premissas!$D$6/100)</f>
        <v>12000</v>
      </c>
      <c r="M13" s="292">
        <v>3</v>
      </c>
      <c r="N13" s="291">
        <f t="shared" si="0"/>
        <v>36000</v>
      </c>
      <c r="O13" s="211">
        <f>O12*(1+Premissas!$D$6/100)</f>
        <v>8000</v>
      </c>
      <c r="P13" s="292">
        <v>5</v>
      </c>
      <c r="Q13" s="291">
        <f t="shared" si="1"/>
        <v>40000</v>
      </c>
      <c r="R13" s="289">
        <f>Investimento_I!$F$10</f>
        <v>5500</v>
      </c>
      <c r="S13" s="292">
        <v>6</v>
      </c>
      <c r="T13" s="291">
        <f t="shared" si="2"/>
        <v>33000</v>
      </c>
      <c r="U13" s="289">
        <f>U12*(1+Premissas!$D$6/100)</f>
        <v>7200</v>
      </c>
      <c r="V13" s="292">
        <v>4</v>
      </c>
      <c r="W13" s="291">
        <f t="shared" si="3"/>
        <v>28800</v>
      </c>
      <c r="X13" s="289">
        <f>X12*(1+Premissas!$D$6/100)</f>
        <v>8800</v>
      </c>
      <c r="Y13" s="292">
        <v>2</v>
      </c>
      <c r="Z13" s="291">
        <f t="shared" si="4"/>
        <v>17600</v>
      </c>
      <c r="AA13" s="289">
        <f>AA12*(1+Premissas!$D$6/100)</f>
        <v>2500</v>
      </c>
      <c r="AB13" s="292">
        <v>6</v>
      </c>
      <c r="AC13" s="293">
        <f t="shared" si="5"/>
        <v>15000</v>
      </c>
      <c r="AD13" s="206">
        <f>AD12*(1+Premissas!$D$6/100)</f>
        <v>1500</v>
      </c>
      <c r="AE13" s="292">
        <v>0</v>
      </c>
      <c r="AF13" s="293">
        <f t="shared" si="6"/>
        <v>0</v>
      </c>
      <c r="AG13" s="289">
        <f>AG12*(1+Premissas!$D$6/100)</f>
        <v>3750</v>
      </c>
      <c r="AH13" s="292">
        <v>0</v>
      </c>
      <c r="AI13" s="293">
        <f t="shared" si="7"/>
        <v>0</v>
      </c>
    </row>
    <row r="14" spans="2:35" ht="15" thickBot="1" x14ac:dyDescent="0.35">
      <c r="B14" s="294">
        <f>BC!B15</f>
        <v>10</v>
      </c>
      <c r="C14" s="277">
        <f t="shared" si="8"/>
        <v>2741822.7322674072</v>
      </c>
      <c r="D14" s="278">
        <f t="shared" si="9"/>
        <v>10880.248937569077</v>
      </c>
      <c r="E14" s="279">
        <f t="shared" si="10"/>
        <v>217604.97875138154</v>
      </c>
      <c r="F14" s="261">
        <f t="shared" si="14"/>
        <v>6901.6595837938448</v>
      </c>
      <c r="G14" s="280">
        <v>3</v>
      </c>
      <c r="H14" s="283">
        <f t="shared" si="11"/>
        <v>20704.978751381535</v>
      </c>
      <c r="I14" s="281">
        <f>I13*(1+Premissas!$D$6/100)</f>
        <v>6000</v>
      </c>
      <c r="J14" s="284">
        <v>4</v>
      </c>
      <c r="K14" s="282">
        <f t="shared" si="12"/>
        <v>24000</v>
      </c>
      <c r="L14" s="261">
        <f>L13*(1+Premissas!$D$6/100)</f>
        <v>12000</v>
      </c>
      <c r="M14" s="284">
        <v>3</v>
      </c>
      <c r="N14" s="283">
        <f t="shared" si="0"/>
        <v>36000</v>
      </c>
      <c r="O14" s="281">
        <f>O13*(1+Premissas!$D$6/100)</f>
        <v>8000</v>
      </c>
      <c r="P14" s="284">
        <v>5</v>
      </c>
      <c r="Q14" s="283">
        <f t="shared" si="1"/>
        <v>40000</v>
      </c>
      <c r="R14" s="261">
        <f>Investimento_I!$F$10</f>
        <v>5500</v>
      </c>
      <c r="S14" s="284">
        <v>6</v>
      </c>
      <c r="T14" s="283">
        <f t="shared" si="2"/>
        <v>33000</v>
      </c>
      <c r="U14" s="261">
        <f>U13*(1+Premissas!$D$6/100)</f>
        <v>7200</v>
      </c>
      <c r="V14" s="284">
        <v>4</v>
      </c>
      <c r="W14" s="283">
        <f t="shared" si="3"/>
        <v>28800</v>
      </c>
      <c r="X14" s="261">
        <f>X13*(1+Premissas!$D$6/100)</f>
        <v>8800</v>
      </c>
      <c r="Y14" s="284">
        <v>2</v>
      </c>
      <c r="Z14" s="283">
        <f t="shared" si="4"/>
        <v>17600</v>
      </c>
      <c r="AA14" s="261">
        <f>AA13*(1+Premissas!$D$6/100)</f>
        <v>2500</v>
      </c>
      <c r="AB14" s="284">
        <v>7</v>
      </c>
      <c r="AC14" s="295">
        <f t="shared" si="5"/>
        <v>17500</v>
      </c>
      <c r="AD14" s="460">
        <f>AD13*(1+Premissas!$D$6/100)</f>
        <v>1500</v>
      </c>
      <c r="AE14" s="284">
        <v>0</v>
      </c>
      <c r="AF14" s="295">
        <f t="shared" si="6"/>
        <v>0</v>
      </c>
      <c r="AG14" s="261">
        <f>AG13*(1+Premissas!$D$6/100)</f>
        <v>3750</v>
      </c>
      <c r="AH14" s="284">
        <v>0</v>
      </c>
      <c r="AI14" s="295">
        <f t="shared" si="7"/>
        <v>0</v>
      </c>
    </row>
    <row r="20" spans="2:2" x14ac:dyDescent="0.3">
      <c r="B20" s="433" t="s">
        <v>382</v>
      </c>
    </row>
  </sheetData>
  <mergeCells count="14">
    <mergeCell ref="AD2:AF2"/>
    <mergeCell ref="AG2:AI2"/>
    <mergeCell ref="E2:E3"/>
    <mergeCell ref="F2:H2"/>
    <mergeCell ref="I2:K2"/>
    <mergeCell ref="L2:N2"/>
    <mergeCell ref="U2:W2"/>
    <mergeCell ref="X2:Z2"/>
    <mergeCell ref="AA2:AC2"/>
    <mergeCell ref="B2:B3"/>
    <mergeCell ref="C2:C3"/>
    <mergeCell ref="D2:D3"/>
    <mergeCell ref="O2:Q2"/>
    <mergeCell ref="R2:T2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F78D-3E5C-4EE3-9648-E12785BEAF68}">
  <dimension ref="C1:M28"/>
  <sheetViews>
    <sheetView workbookViewId="0">
      <selection activeCell="C14" sqref="C14:D14"/>
    </sheetView>
  </sheetViews>
  <sheetFormatPr defaultRowHeight="14.4" x14ac:dyDescent="0.3"/>
  <cols>
    <col min="3" max="3" width="42.33203125" bestFit="1" customWidth="1"/>
    <col min="5" max="5" width="11.33203125" bestFit="1" customWidth="1"/>
    <col min="6" max="6" width="52.109375" bestFit="1" customWidth="1"/>
    <col min="10" max="10" width="60.88671875" bestFit="1" customWidth="1"/>
    <col min="11" max="11" width="11.109375" bestFit="1" customWidth="1"/>
    <col min="12" max="12" width="16.77734375" bestFit="1" customWidth="1"/>
    <col min="13" max="13" width="10.44140625" bestFit="1" customWidth="1"/>
    <col min="15" max="15" width="60.88671875" bestFit="1" customWidth="1"/>
    <col min="16" max="16" width="11.109375" bestFit="1" customWidth="1"/>
    <col min="17" max="17" width="16.77734375" bestFit="1" customWidth="1"/>
    <col min="18" max="18" width="10.44140625" bestFit="1" customWidth="1"/>
  </cols>
  <sheetData>
    <row r="1" spans="3:13" x14ac:dyDescent="0.3">
      <c r="C1" s="3" t="s">
        <v>388</v>
      </c>
    </row>
    <row r="2" spans="3:13" ht="15" thickBot="1" x14ac:dyDescent="0.35"/>
    <row r="3" spans="3:13" ht="15" thickBot="1" x14ac:dyDescent="0.35">
      <c r="C3" s="516" t="s">
        <v>68</v>
      </c>
      <c r="D3" s="517"/>
      <c r="E3" s="517"/>
      <c r="F3" s="517"/>
      <c r="G3" s="518"/>
      <c r="J3" s="77" t="s">
        <v>69</v>
      </c>
      <c r="K3" s="78"/>
      <c r="L3" s="78"/>
      <c r="M3" s="79"/>
    </row>
    <row r="4" spans="3:13" ht="15" thickBot="1" x14ac:dyDescent="0.35">
      <c r="C4" s="64" t="s">
        <v>42</v>
      </c>
      <c r="D4" s="65"/>
      <c r="E4" s="66" t="s">
        <v>43</v>
      </c>
      <c r="F4" s="65"/>
      <c r="G4" s="67"/>
      <c r="J4" s="84" t="s">
        <v>95</v>
      </c>
      <c r="K4" s="80" t="s">
        <v>70</v>
      </c>
      <c r="L4" s="80" t="s">
        <v>71</v>
      </c>
      <c r="M4" s="81" t="s">
        <v>72</v>
      </c>
    </row>
    <row r="5" spans="3:13" ht="15" thickBot="1" x14ac:dyDescent="0.35">
      <c r="C5" s="514" t="s">
        <v>44</v>
      </c>
      <c r="D5" s="515"/>
      <c r="E5" s="66" t="s">
        <v>93</v>
      </c>
      <c r="F5" s="68" t="s">
        <v>94</v>
      </c>
      <c r="G5" s="67"/>
      <c r="J5" s="82" t="s">
        <v>73</v>
      </c>
      <c r="K5" s="27">
        <f>$E$6/100+0.04</f>
        <v>0.04</v>
      </c>
      <c r="L5" s="27">
        <f>$E$6/100+0.06</f>
        <v>0.06</v>
      </c>
      <c r="M5" s="83">
        <f>$E$6/100+0.08</f>
        <v>0.08</v>
      </c>
    </row>
    <row r="6" spans="3:13" x14ac:dyDescent="0.3">
      <c r="C6" s="499" t="s">
        <v>45</v>
      </c>
      <c r="D6" s="500"/>
      <c r="E6" s="69">
        <v>0</v>
      </c>
      <c r="F6" s="65" t="str">
        <f>"% / ano"</f>
        <v>% / ano</v>
      </c>
      <c r="G6" s="67"/>
    </row>
    <row r="7" spans="3:13" x14ac:dyDescent="0.3">
      <c r="C7" s="499" t="s">
        <v>46</v>
      </c>
      <c r="D7" s="500"/>
      <c r="E7" s="69">
        <v>1</v>
      </c>
      <c r="F7" s="65" t="s">
        <v>393</v>
      </c>
      <c r="G7" s="67"/>
    </row>
    <row r="8" spans="3:13" x14ac:dyDescent="0.3">
      <c r="C8" s="514" t="s">
        <v>47</v>
      </c>
      <c r="D8" s="515"/>
      <c r="E8" s="69">
        <v>8</v>
      </c>
      <c r="F8" s="65" t="s">
        <v>48</v>
      </c>
      <c r="G8" s="67"/>
    </row>
    <row r="9" spans="3:13" x14ac:dyDescent="0.3">
      <c r="C9" s="514" t="s">
        <v>49</v>
      </c>
      <c r="D9" s="515"/>
      <c r="E9" s="69">
        <v>2.5</v>
      </c>
      <c r="F9" s="65" t="s">
        <v>48</v>
      </c>
      <c r="G9" s="67"/>
    </row>
    <row r="10" spans="3:13" x14ac:dyDescent="0.3">
      <c r="C10" s="514" t="s">
        <v>50</v>
      </c>
      <c r="D10" s="515"/>
      <c r="E10" s="69">
        <v>0</v>
      </c>
      <c r="F10" s="65" t="s">
        <v>48</v>
      </c>
      <c r="G10" s="67"/>
    </row>
    <row r="11" spans="3:13" x14ac:dyDescent="0.3">
      <c r="C11" s="499" t="s">
        <v>51</v>
      </c>
      <c r="D11" s="500"/>
      <c r="E11" s="69">
        <v>10</v>
      </c>
      <c r="F11" s="65" t="s">
        <v>52</v>
      </c>
      <c r="G11" s="67"/>
    </row>
    <row r="12" spans="3:13" x14ac:dyDescent="0.3">
      <c r="C12" s="509" t="s">
        <v>53</v>
      </c>
      <c r="D12" s="510"/>
      <c r="E12" s="22">
        <v>5</v>
      </c>
      <c r="F12" s="60" t="s">
        <v>52</v>
      </c>
      <c r="G12" s="67"/>
    </row>
    <row r="13" spans="3:13" x14ac:dyDescent="0.3">
      <c r="C13" s="511" t="s">
        <v>54</v>
      </c>
      <c r="D13" s="512"/>
      <c r="E13" s="23">
        <v>5</v>
      </c>
      <c r="F13" s="512" t="s">
        <v>55</v>
      </c>
      <c r="G13" s="513"/>
    </row>
    <row r="14" spans="3:13" x14ac:dyDescent="0.3">
      <c r="C14" s="507" t="s">
        <v>56</v>
      </c>
      <c r="D14" s="508"/>
      <c r="E14" s="69">
        <v>10</v>
      </c>
      <c r="F14" s="65" t="s">
        <v>57</v>
      </c>
      <c r="G14" s="67"/>
    </row>
    <row r="15" spans="3:13" x14ac:dyDescent="0.3">
      <c r="C15" s="499" t="s">
        <v>58</v>
      </c>
      <c r="D15" s="500"/>
      <c r="E15" s="69">
        <v>7.5</v>
      </c>
      <c r="F15" s="65" t="s">
        <v>57</v>
      </c>
      <c r="G15" s="67"/>
    </row>
    <row r="16" spans="3:13" x14ac:dyDescent="0.3">
      <c r="C16" s="503" t="s">
        <v>59</v>
      </c>
      <c r="D16" s="504"/>
      <c r="E16" s="24">
        <v>5</v>
      </c>
      <c r="F16" s="61" t="s">
        <v>57</v>
      </c>
      <c r="G16" s="70"/>
    </row>
    <row r="17" spans="3:9" x14ac:dyDescent="0.3">
      <c r="C17" s="505" t="s">
        <v>60</v>
      </c>
      <c r="D17" s="506"/>
      <c r="E17" s="25">
        <v>3</v>
      </c>
      <c r="F17" s="62" t="s">
        <v>277</v>
      </c>
      <c r="G17" s="71"/>
    </row>
    <row r="18" spans="3:9" x14ac:dyDescent="0.3">
      <c r="C18" s="507" t="s">
        <v>61</v>
      </c>
      <c r="D18" s="508"/>
      <c r="E18" s="72">
        <f>200000</f>
        <v>200000</v>
      </c>
      <c r="F18" s="65" t="s">
        <v>62</v>
      </c>
      <c r="G18" s="67"/>
    </row>
    <row r="19" spans="3:9" x14ac:dyDescent="0.3">
      <c r="C19" s="73" t="s">
        <v>63</v>
      </c>
      <c r="D19" s="74"/>
      <c r="E19" s="72">
        <v>100000</v>
      </c>
      <c r="F19" s="65" t="s">
        <v>62</v>
      </c>
      <c r="G19" s="67"/>
    </row>
    <row r="20" spans="3:9" x14ac:dyDescent="0.3">
      <c r="C20" s="499" t="s">
        <v>64</v>
      </c>
      <c r="D20" s="500"/>
      <c r="E20" s="75">
        <v>5</v>
      </c>
      <c r="F20" s="65" t="s">
        <v>276</v>
      </c>
      <c r="G20" s="67"/>
    </row>
    <row r="21" spans="3:9" x14ac:dyDescent="0.3">
      <c r="C21" s="499" t="s">
        <v>65</v>
      </c>
      <c r="D21" s="500"/>
      <c r="E21" s="75">
        <v>2</v>
      </c>
      <c r="F21" s="65" t="s">
        <v>274</v>
      </c>
      <c r="G21" s="67"/>
    </row>
    <row r="22" spans="3:9" x14ac:dyDescent="0.3">
      <c r="C22" s="499" t="s">
        <v>66</v>
      </c>
      <c r="D22" s="500"/>
      <c r="E22" s="75">
        <v>2</v>
      </c>
      <c r="F22" s="65" t="s">
        <v>275</v>
      </c>
      <c r="G22" s="67"/>
    </row>
    <row r="23" spans="3:9" ht="15" thickBot="1" x14ac:dyDescent="0.35">
      <c r="C23" s="501" t="s">
        <v>67</v>
      </c>
      <c r="D23" s="502"/>
      <c r="E23" s="26">
        <v>6</v>
      </c>
      <c r="F23" s="63" t="str">
        <f>"% por " &amp; E4</f>
        <v>% por ano</v>
      </c>
      <c r="G23" s="76"/>
    </row>
    <row r="25" spans="3:9" x14ac:dyDescent="0.3">
      <c r="I25" t="s">
        <v>392</v>
      </c>
    </row>
    <row r="28" spans="3:9" x14ac:dyDescent="0.3">
      <c r="C28" s="433" t="s">
        <v>382</v>
      </c>
    </row>
  </sheetData>
  <mergeCells count="20">
    <mergeCell ref="C8:D8"/>
    <mergeCell ref="C9:D9"/>
    <mergeCell ref="C10:D10"/>
    <mergeCell ref="C11:D11"/>
    <mergeCell ref="C3:G3"/>
    <mergeCell ref="C5:D5"/>
    <mergeCell ref="C6:D6"/>
    <mergeCell ref="C7:D7"/>
    <mergeCell ref="C12:D12"/>
    <mergeCell ref="C13:D13"/>
    <mergeCell ref="F13:G13"/>
    <mergeCell ref="C14:D14"/>
    <mergeCell ref="C15:D15"/>
    <mergeCell ref="C22:D22"/>
    <mergeCell ref="C23:D23"/>
    <mergeCell ref="C16:D16"/>
    <mergeCell ref="C17:D17"/>
    <mergeCell ref="C18:D18"/>
    <mergeCell ref="C20:D20"/>
    <mergeCell ref="C21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07C8-5D4D-4CF1-9AC1-0AF622072A14}">
  <dimension ref="B1:H21"/>
  <sheetViews>
    <sheetView workbookViewId="0">
      <selection activeCell="B5" sqref="B5"/>
    </sheetView>
  </sheetViews>
  <sheetFormatPr defaultRowHeight="14.4" x14ac:dyDescent="0.3"/>
  <cols>
    <col min="3" max="3" width="21.33203125" bestFit="1" customWidth="1"/>
    <col min="4" max="4" width="22" bestFit="1" customWidth="1"/>
    <col min="5" max="5" width="19.5546875" bestFit="1" customWidth="1"/>
    <col min="6" max="6" width="22" bestFit="1" customWidth="1"/>
    <col min="7" max="7" width="21.44140625" customWidth="1"/>
    <col min="8" max="8" width="19.77734375" customWidth="1"/>
  </cols>
  <sheetData>
    <row r="1" spans="2:8" ht="15" thickBot="1" x14ac:dyDescent="0.35">
      <c r="B1" s="249" t="s">
        <v>235</v>
      </c>
      <c r="C1" s="250"/>
      <c r="D1" s="250"/>
      <c r="E1" s="250"/>
      <c r="F1" s="251"/>
      <c r="G1" s="250"/>
      <c r="H1" s="250"/>
    </row>
    <row r="2" spans="2:8" ht="15" thickBot="1" x14ac:dyDescent="0.35">
      <c r="B2" s="521" t="s">
        <v>31</v>
      </c>
      <c r="C2" s="523" t="s">
        <v>236</v>
      </c>
      <c r="D2" s="525" t="s">
        <v>237</v>
      </c>
      <c r="E2" s="527" t="s">
        <v>238</v>
      </c>
      <c r="F2" s="529" t="s">
        <v>239</v>
      </c>
      <c r="G2" s="519" t="s">
        <v>241</v>
      </c>
      <c r="H2" s="520"/>
    </row>
    <row r="3" spans="2:8" ht="28.8" x14ac:dyDescent="0.3">
      <c r="B3" s="522"/>
      <c r="C3" s="524"/>
      <c r="D3" s="526"/>
      <c r="E3" s="528"/>
      <c r="F3" s="530"/>
      <c r="G3" s="252" t="s">
        <v>240</v>
      </c>
      <c r="H3" s="262" t="s">
        <v>3</v>
      </c>
    </row>
    <row r="4" spans="2:8" x14ac:dyDescent="0.3">
      <c r="B4" s="263">
        <f>BC!B5</f>
        <v>0</v>
      </c>
      <c r="C4" s="253">
        <f>SUM(D4:E4)*12</f>
        <v>36288</v>
      </c>
      <c r="D4" s="254">
        <f>E4*5/100</f>
        <v>144</v>
      </c>
      <c r="E4" s="255">
        <f>H4</f>
        <v>2880</v>
      </c>
      <c r="F4" s="264">
        <f>RB!F11</f>
        <v>0</v>
      </c>
      <c r="G4" s="256">
        <f>4</f>
        <v>4</v>
      </c>
      <c r="H4" s="255">
        <f>$G4*24*30</f>
        <v>2880</v>
      </c>
    </row>
    <row r="5" spans="2:8" x14ac:dyDescent="0.3">
      <c r="B5" s="263">
        <f>BC!B6</f>
        <v>1</v>
      </c>
      <c r="C5" s="253">
        <f t="shared" ref="C5:C14" si="0">SUM(D5:E5)*12</f>
        <v>65318.399999999994</v>
      </c>
      <c r="D5" s="254">
        <f t="shared" ref="D5:D14" si="1">E5*5/100</f>
        <v>259.2</v>
      </c>
      <c r="E5" s="255">
        <f t="shared" ref="E5:E14" si="2">H5</f>
        <v>5184</v>
      </c>
      <c r="F5" s="264">
        <f>RB!F12</f>
        <v>1200000</v>
      </c>
      <c r="G5" s="256">
        <f>6*F5/1000000</f>
        <v>7.2</v>
      </c>
      <c r="H5" s="255">
        <f>$G5*24*30</f>
        <v>5184</v>
      </c>
    </row>
    <row r="6" spans="2:8" x14ac:dyDescent="0.3">
      <c r="B6" s="263">
        <f>BC!B7</f>
        <v>2</v>
      </c>
      <c r="C6" s="253">
        <f t="shared" si="0"/>
        <v>130636.79999999999</v>
      </c>
      <c r="D6" s="254">
        <f t="shared" si="1"/>
        <v>518.4</v>
      </c>
      <c r="E6" s="255">
        <f t="shared" si="2"/>
        <v>10368</v>
      </c>
      <c r="F6" s="264">
        <f>RB!F13</f>
        <v>2400000</v>
      </c>
      <c r="G6" s="256">
        <f t="shared" ref="G6:G14" si="3">6*F6/1000000</f>
        <v>14.4</v>
      </c>
      <c r="H6" s="255">
        <f t="shared" ref="H6:H14" si="4">$G6*24*30</f>
        <v>10368</v>
      </c>
    </row>
    <row r="7" spans="2:8" x14ac:dyDescent="0.3">
      <c r="B7" s="263">
        <f>BC!B8</f>
        <v>3</v>
      </c>
      <c r="C7" s="253">
        <f t="shared" si="0"/>
        <v>195955.20000000004</v>
      </c>
      <c r="D7" s="254">
        <f t="shared" si="1"/>
        <v>777.60000000000014</v>
      </c>
      <c r="E7" s="255">
        <f t="shared" si="2"/>
        <v>15552.000000000004</v>
      </c>
      <c r="F7" s="264">
        <f>RB!F14</f>
        <v>3600000</v>
      </c>
      <c r="G7" s="256">
        <f t="shared" si="3"/>
        <v>21.6</v>
      </c>
      <c r="H7" s="255">
        <f t="shared" si="4"/>
        <v>15552.000000000004</v>
      </c>
    </row>
    <row r="8" spans="2:8" x14ac:dyDescent="0.3">
      <c r="B8" s="263">
        <f>BC!B9</f>
        <v>4</v>
      </c>
      <c r="C8" s="253">
        <f t="shared" si="0"/>
        <v>261273.59999999998</v>
      </c>
      <c r="D8" s="254">
        <f t="shared" si="1"/>
        <v>1036.8</v>
      </c>
      <c r="E8" s="255">
        <f t="shared" si="2"/>
        <v>20736</v>
      </c>
      <c r="F8" s="264">
        <f>RB!F15</f>
        <v>4800000</v>
      </c>
      <c r="G8" s="256">
        <f t="shared" si="3"/>
        <v>28.8</v>
      </c>
      <c r="H8" s="255">
        <f t="shared" si="4"/>
        <v>20736</v>
      </c>
    </row>
    <row r="9" spans="2:8" x14ac:dyDescent="0.3">
      <c r="B9" s="263">
        <f>BC!B10</f>
        <v>5</v>
      </c>
      <c r="C9" s="253">
        <f t="shared" si="0"/>
        <v>326592</v>
      </c>
      <c r="D9" s="254">
        <f t="shared" si="1"/>
        <v>1296</v>
      </c>
      <c r="E9" s="255">
        <f t="shared" si="2"/>
        <v>25920</v>
      </c>
      <c r="F9" s="264">
        <f>RB!F16</f>
        <v>6000000</v>
      </c>
      <c r="G9" s="256">
        <f t="shared" si="3"/>
        <v>36</v>
      </c>
      <c r="H9" s="255">
        <f t="shared" si="4"/>
        <v>25920</v>
      </c>
    </row>
    <row r="10" spans="2:8" x14ac:dyDescent="0.3">
      <c r="B10" s="263">
        <f>BC!B11</f>
        <v>6</v>
      </c>
      <c r="C10" s="253">
        <f t="shared" si="0"/>
        <v>391910.40000000008</v>
      </c>
      <c r="D10" s="254">
        <f t="shared" si="1"/>
        <v>1555.2000000000003</v>
      </c>
      <c r="E10" s="255">
        <f t="shared" si="2"/>
        <v>31104.000000000007</v>
      </c>
      <c r="F10" s="264">
        <f>RB!F17</f>
        <v>7200000</v>
      </c>
      <c r="G10" s="256">
        <f t="shared" si="3"/>
        <v>43.2</v>
      </c>
      <c r="H10" s="255">
        <f t="shared" si="4"/>
        <v>31104.000000000007</v>
      </c>
    </row>
    <row r="11" spans="2:8" x14ac:dyDescent="0.3">
      <c r="B11" s="263">
        <f>BC!B12</f>
        <v>7</v>
      </c>
      <c r="C11" s="253">
        <f t="shared" si="0"/>
        <v>457228.80000000005</v>
      </c>
      <c r="D11" s="254">
        <f t="shared" si="1"/>
        <v>1814.4</v>
      </c>
      <c r="E11" s="255">
        <f t="shared" si="2"/>
        <v>36288</v>
      </c>
      <c r="F11" s="264">
        <f>RB!F18</f>
        <v>8400000</v>
      </c>
      <c r="G11" s="256">
        <f t="shared" si="3"/>
        <v>50.4</v>
      </c>
      <c r="H11" s="255">
        <f t="shared" si="4"/>
        <v>36288</v>
      </c>
    </row>
    <row r="12" spans="2:8" x14ac:dyDescent="0.3">
      <c r="B12" s="263">
        <f>BC!B13</f>
        <v>8</v>
      </c>
      <c r="C12" s="253">
        <f t="shared" si="0"/>
        <v>522547.19999999995</v>
      </c>
      <c r="D12" s="254">
        <f t="shared" si="1"/>
        <v>2073.6</v>
      </c>
      <c r="E12" s="255">
        <f t="shared" si="2"/>
        <v>41472</v>
      </c>
      <c r="F12" s="264">
        <f>RB!F19</f>
        <v>9600000</v>
      </c>
      <c r="G12" s="256">
        <f t="shared" si="3"/>
        <v>57.6</v>
      </c>
      <c r="H12" s="255">
        <f t="shared" si="4"/>
        <v>41472</v>
      </c>
    </row>
    <row r="13" spans="2:8" x14ac:dyDescent="0.3">
      <c r="B13" s="263">
        <f>BC!B14</f>
        <v>9</v>
      </c>
      <c r="C13" s="253">
        <f t="shared" si="0"/>
        <v>587865.59999999998</v>
      </c>
      <c r="D13" s="254">
        <f t="shared" si="1"/>
        <v>2332.7999999999997</v>
      </c>
      <c r="E13" s="255">
        <f t="shared" si="2"/>
        <v>46655.999999999993</v>
      </c>
      <c r="F13" s="264">
        <f>RB!F20</f>
        <v>10800000</v>
      </c>
      <c r="G13" s="256">
        <f t="shared" si="3"/>
        <v>64.8</v>
      </c>
      <c r="H13" s="255">
        <f t="shared" si="4"/>
        <v>46655.999999999993</v>
      </c>
    </row>
    <row r="14" spans="2:8" ht="15" thickBot="1" x14ac:dyDescent="0.35">
      <c r="B14" s="265">
        <f>BC!B15</f>
        <v>10</v>
      </c>
      <c r="C14" s="477">
        <f t="shared" si="0"/>
        <v>653184</v>
      </c>
      <c r="D14" s="257">
        <f t="shared" si="1"/>
        <v>2592</v>
      </c>
      <c r="E14" s="258">
        <f t="shared" si="2"/>
        <v>51840</v>
      </c>
      <c r="F14" s="259">
        <f>RB!F21</f>
        <v>12000000</v>
      </c>
      <c r="G14" s="260">
        <f t="shared" si="3"/>
        <v>72</v>
      </c>
      <c r="H14" s="258">
        <f t="shared" si="4"/>
        <v>51840</v>
      </c>
    </row>
    <row r="21" spans="2:2" x14ac:dyDescent="0.3">
      <c r="B21" s="433" t="s">
        <v>382</v>
      </c>
    </row>
  </sheetData>
  <mergeCells count="6">
    <mergeCell ref="G2:H2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ABAB-933D-49FC-B39C-51BFA3D53957}">
  <dimension ref="B2:K28"/>
  <sheetViews>
    <sheetView zoomScale="81" zoomScaleNormal="81" workbookViewId="0">
      <selection activeCell="B28" sqref="B28"/>
    </sheetView>
  </sheetViews>
  <sheetFormatPr defaultRowHeight="14.4" x14ac:dyDescent="0.3"/>
  <cols>
    <col min="2" max="2" width="29" customWidth="1"/>
    <col min="3" max="3" width="33.88671875" bestFit="1" customWidth="1"/>
    <col min="4" max="5" width="23.33203125" bestFit="1" customWidth="1"/>
    <col min="6" max="6" width="21.5546875" bestFit="1" customWidth="1"/>
    <col min="7" max="7" width="16" bestFit="1" customWidth="1"/>
    <col min="8" max="8" width="16.5546875" bestFit="1" customWidth="1"/>
    <col min="9" max="11" width="17.77734375" bestFit="1" customWidth="1"/>
  </cols>
  <sheetData>
    <row r="2" spans="2:11" ht="15" thickBot="1" x14ac:dyDescent="0.35"/>
    <row r="3" spans="2:11" ht="15" thickBot="1" x14ac:dyDescent="0.35">
      <c r="B3" s="531" t="s">
        <v>92</v>
      </c>
      <c r="C3" s="532"/>
      <c r="D3" s="532"/>
      <c r="E3" s="533"/>
    </row>
    <row r="4" spans="2:11" x14ac:dyDescent="0.3">
      <c r="B4" s="54" t="s">
        <v>86</v>
      </c>
      <c r="C4" s="52" t="s">
        <v>87</v>
      </c>
      <c r="D4" s="53" t="s">
        <v>89</v>
      </c>
      <c r="E4" s="55" t="s">
        <v>88</v>
      </c>
    </row>
    <row r="5" spans="2:11" ht="15" thickBot="1" x14ac:dyDescent="0.35">
      <c r="B5" s="56">
        <v>1</v>
      </c>
      <c r="C5" s="50" t="s">
        <v>90</v>
      </c>
      <c r="D5" s="51">
        <v>2</v>
      </c>
      <c r="E5" s="57" t="s">
        <v>91</v>
      </c>
    </row>
    <row r="7" spans="2:11" ht="15" thickBot="1" x14ac:dyDescent="0.35"/>
    <row r="8" spans="2:11" ht="15" thickBot="1" x14ac:dyDescent="0.35">
      <c r="B8" s="240" t="s">
        <v>81</v>
      </c>
      <c r="C8" s="240"/>
      <c r="D8" s="241"/>
      <c r="E8" s="241"/>
      <c r="F8" s="241"/>
      <c r="G8" s="241"/>
      <c r="H8" s="241"/>
      <c r="I8" s="242" t="s">
        <v>74</v>
      </c>
      <c r="J8" s="243" t="s">
        <v>75</v>
      </c>
      <c r="K8" s="243" t="s">
        <v>76</v>
      </c>
    </row>
    <row r="9" spans="2:11" x14ac:dyDescent="0.3">
      <c r="B9" s="534" t="s">
        <v>31</v>
      </c>
      <c r="C9" s="536" t="s">
        <v>77</v>
      </c>
      <c r="D9" s="536" t="s">
        <v>78</v>
      </c>
      <c r="E9" s="538" t="s">
        <v>83</v>
      </c>
      <c r="F9" s="494"/>
      <c r="G9" s="498"/>
      <c r="H9" s="38" t="s">
        <v>79</v>
      </c>
      <c r="I9" s="244">
        <v>0</v>
      </c>
      <c r="J9" s="244">
        <v>0</v>
      </c>
      <c r="K9" s="245">
        <v>1</v>
      </c>
    </row>
    <row r="10" spans="2:11" ht="32.4" customHeight="1" x14ac:dyDescent="0.3">
      <c r="B10" s="535"/>
      <c r="C10" s="537"/>
      <c r="D10" s="537"/>
      <c r="E10" s="29" t="s">
        <v>82</v>
      </c>
      <c r="F10" s="30" t="s">
        <v>85</v>
      </c>
      <c r="G10" s="31" t="s">
        <v>80</v>
      </c>
      <c r="H10" s="39" t="s">
        <v>84</v>
      </c>
      <c r="I10" s="37" t="s">
        <v>84</v>
      </c>
      <c r="J10" s="32" t="s">
        <v>84</v>
      </c>
      <c r="K10" s="39" t="s">
        <v>84</v>
      </c>
    </row>
    <row r="11" spans="2:11" x14ac:dyDescent="0.3">
      <c r="B11" s="40">
        <v>0</v>
      </c>
      <c r="C11" s="34">
        <v>0</v>
      </c>
      <c r="D11" s="41">
        <f>G11</f>
        <v>0</v>
      </c>
      <c r="E11" s="33">
        <v>2</v>
      </c>
      <c r="F11" s="42">
        <f>H11*12</f>
        <v>0</v>
      </c>
      <c r="G11" s="43">
        <f t="shared" ref="G11:G21" si="0">E11*F11</f>
        <v>0</v>
      </c>
      <c r="H11" s="44">
        <f t="shared" ref="H11:H21" si="1">SUMPRODUCT($I$9:$K$9,$I11:$K11)</f>
        <v>0</v>
      </c>
      <c r="I11" s="58">
        <v>0</v>
      </c>
      <c r="J11" s="58">
        <f>(I11+K11)/2</f>
        <v>0</v>
      </c>
      <c r="K11" s="246">
        <v>0</v>
      </c>
    </row>
    <row r="12" spans="2:11" x14ac:dyDescent="0.3">
      <c r="B12" s="40">
        <v>1</v>
      </c>
      <c r="C12" s="34">
        <v>0</v>
      </c>
      <c r="D12" s="41">
        <f t="shared" ref="D12:D21" si="2">G12</f>
        <v>2400000</v>
      </c>
      <c r="E12" s="33">
        <v>2</v>
      </c>
      <c r="F12" s="42">
        <f>H12*12</f>
        <v>1200000</v>
      </c>
      <c r="G12" s="43">
        <f>E12*F12</f>
        <v>2400000</v>
      </c>
      <c r="H12" s="44">
        <f t="shared" si="1"/>
        <v>100000</v>
      </c>
      <c r="I12" s="58">
        <v>50000</v>
      </c>
      <c r="J12" s="58">
        <f t="shared" ref="J12:J21" si="3">(I12+K12)/2</f>
        <v>75000</v>
      </c>
      <c r="K12" s="246">
        <v>100000</v>
      </c>
    </row>
    <row r="13" spans="2:11" x14ac:dyDescent="0.3">
      <c r="B13" s="40">
        <v>2</v>
      </c>
      <c r="C13" s="34">
        <v>0</v>
      </c>
      <c r="D13" s="41">
        <f t="shared" si="2"/>
        <v>4800000</v>
      </c>
      <c r="E13" s="33">
        <v>2</v>
      </c>
      <c r="F13" s="42">
        <f t="shared" ref="F13:F21" si="4">H13*12</f>
        <v>2400000</v>
      </c>
      <c r="G13" s="43">
        <f t="shared" si="0"/>
        <v>4800000</v>
      </c>
      <c r="H13" s="44">
        <f t="shared" si="1"/>
        <v>200000</v>
      </c>
      <c r="I13" s="58">
        <f>K12</f>
        <v>100000</v>
      </c>
      <c r="J13" s="58">
        <f t="shared" si="3"/>
        <v>150000</v>
      </c>
      <c r="K13" s="246">
        <v>200000</v>
      </c>
    </row>
    <row r="14" spans="2:11" x14ac:dyDescent="0.3">
      <c r="B14" s="40">
        <v>3</v>
      </c>
      <c r="C14" s="34">
        <v>0</v>
      </c>
      <c r="D14" s="41">
        <f t="shared" si="2"/>
        <v>7200000</v>
      </c>
      <c r="E14" s="33">
        <v>2</v>
      </c>
      <c r="F14" s="42">
        <f t="shared" si="4"/>
        <v>3600000</v>
      </c>
      <c r="G14" s="43">
        <f t="shared" si="0"/>
        <v>7200000</v>
      </c>
      <c r="H14" s="44">
        <f t="shared" si="1"/>
        <v>300000</v>
      </c>
      <c r="I14" s="58">
        <f t="shared" ref="I14:I21" si="5">K13</f>
        <v>200000</v>
      </c>
      <c r="J14" s="58">
        <f t="shared" si="3"/>
        <v>250000</v>
      </c>
      <c r="K14" s="246">
        <v>300000</v>
      </c>
    </row>
    <row r="15" spans="2:11" x14ac:dyDescent="0.3">
      <c r="B15" s="40">
        <v>4</v>
      </c>
      <c r="C15" s="34">
        <v>0</v>
      </c>
      <c r="D15" s="41">
        <f t="shared" si="2"/>
        <v>9600000</v>
      </c>
      <c r="E15" s="33">
        <v>2</v>
      </c>
      <c r="F15" s="42">
        <f t="shared" si="4"/>
        <v>4800000</v>
      </c>
      <c r="G15" s="43">
        <f t="shared" si="0"/>
        <v>9600000</v>
      </c>
      <c r="H15" s="44">
        <f t="shared" si="1"/>
        <v>400000</v>
      </c>
      <c r="I15" s="58">
        <f t="shared" si="5"/>
        <v>300000</v>
      </c>
      <c r="J15" s="58">
        <f t="shared" si="3"/>
        <v>350000</v>
      </c>
      <c r="K15" s="246">
        <v>400000</v>
      </c>
    </row>
    <row r="16" spans="2:11" x14ac:dyDescent="0.3">
      <c r="B16" s="40">
        <v>5</v>
      </c>
      <c r="C16" s="34">
        <v>0</v>
      </c>
      <c r="D16" s="41">
        <f t="shared" si="2"/>
        <v>12000000</v>
      </c>
      <c r="E16" s="33">
        <v>2</v>
      </c>
      <c r="F16" s="42">
        <f t="shared" si="4"/>
        <v>6000000</v>
      </c>
      <c r="G16" s="43">
        <f t="shared" si="0"/>
        <v>12000000</v>
      </c>
      <c r="H16" s="44">
        <f t="shared" si="1"/>
        <v>500000</v>
      </c>
      <c r="I16" s="58">
        <f t="shared" si="5"/>
        <v>400000</v>
      </c>
      <c r="J16" s="58">
        <f t="shared" si="3"/>
        <v>450000</v>
      </c>
      <c r="K16" s="246">
        <v>500000</v>
      </c>
    </row>
    <row r="17" spans="2:11" x14ac:dyDescent="0.3">
      <c r="B17" s="40">
        <v>6</v>
      </c>
      <c r="C17" s="34">
        <v>0</v>
      </c>
      <c r="D17" s="41">
        <f t="shared" si="2"/>
        <v>14400000</v>
      </c>
      <c r="E17" s="33">
        <v>2</v>
      </c>
      <c r="F17" s="42">
        <f t="shared" si="4"/>
        <v>7200000</v>
      </c>
      <c r="G17" s="43">
        <f t="shared" si="0"/>
        <v>14400000</v>
      </c>
      <c r="H17" s="44">
        <f t="shared" si="1"/>
        <v>600000</v>
      </c>
      <c r="I17" s="58">
        <f t="shared" si="5"/>
        <v>500000</v>
      </c>
      <c r="J17" s="58">
        <f t="shared" si="3"/>
        <v>550000</v>
      </c>
      <c r="K17" s="246">
        <v>600000</v>
      </c>
    </row>
    <row r="18" spans="2:11" x14ac:dyDescent="0.3">
      <c r="B18" s="40">
        <v>7</v>
      </c>
      <c r="C18" s="34">
        <v>0</v>
      </c>
      <c r="D18" s="41">
        <f t="shared" si="2"/>
        <v>16800000</v>
      </c>
      <c r="E18" s="33">
        <v>2</v>
      </c>
      <c r="F18" s="42">
        <f t="shared" si="4"/>
        <v>8400000</v>
      </c>
      <c r="G18" s="43">
        <f t="shared" si="0"/>
        <v>16800000</v>
      </c>
      <c r="H18" s="44">
        <f t="shared" si="1"/>
        <v>700000</v>
      </c>
      <c r="I18" s="58">
        <f t="shared" si="5"/>
        <v>600000</v>
      </c>
      <c r="J18" s="58">
        <f t="shared" si="3"/>
        <v>650000</v>
      </c>
      <c r="K18" s="246">
        <v>700000</v>
      </c>
    </row>
    <row r="19" spans="2:11" x14ac:dyDescent="0.3">
      <c r="B19" s="40">
        <v>8</v>
      </c>
      <c r="C19" s="34">
        <v>0</v>
      </c>
      <c r="D19" s="41">
        <f t="shared" si="2"/>
        <v>19200000</v>
      </c>
      <c r="E19" s="33">
        <v>2</v>
      </c>
      <c r="F19" s="42">
        <f t="shared" si="4"/>
        <v>9600000</v>
      </c>
      <c r="G19" s="43">
        <f t="shared" si="0"/>
        <v>19200000</v>
      </c>
      <c r="H19" s="44">
        <f t="shared" si="1"/>
        <v>800000</v>
      </c>
      <c r="I19" s="58">
        <f t="shared" si="5"/>
        <v>700000</v>
      </c>
      <c r="J19" s="58">
        <f t="shared" si="3"/>
        <v>750000</v>
      </c>
      <c r="K19" s="246">
        <v>800000</v>
      </c>
    </row>
    <row r="20" spans="2:11" x14ac:dyDescent="0.3">
      <c r="B20" s="40">
        <v>9</v>
      </c>
      <c r="C20" s="34">
        <v>0</v>
      </c>
      <c r="D20" s="41">
        <f t="shared" si="2"/>
        <v>21600000</v>
      </c>
      <c r="E20" s="33">
        <v>2</v>
      </c>
      <c r="F20" s="42">
        <f t="shared" si="4"/>
        <v>10800000</v>
      </c>
      <c r="G20" s="43">
        <f t="shared" si="0"/>
        <v>21600000</v>
      </c>
      <c r="H20" s="44">
        <f t="shared" si="1"/>
        <v>900000</v>
      </c>
      <c r="I20" s="58">
        <f t="shared" si="5"/>
        <v>800000</v>
      </c>
      <c r="J20" s="58">
        <f t="shared" si="3"/>
        <v>850000</v>
      </c>
      <c r="K20" s="246">
        <v>900000</v>
      </c>
    </row>
    <row r="21" spans="2:11" ht="15" thickBot="1" x14ac:dyDescent="0.35">
      <c r="B21" s="45">
        <v>10</v>
      </c>
      <c r="C21" s="46">
        <v>0</v>
      </c>
      <c r="D21" s="47">
        <f t="shared" si="2"/>
        <v>24000000</v>
      </c>
      <c r="E21" s="48">
        <v>2</v>
      </c>
      <c r="F21" s="36">
        <f t="shared" si="4"/>
        <v>12000000</v>
      </c>
      <c r="G21" s="35">
        <f t="shared" si="0"/>
        <v>24000000</v>
      </c>
      <c r="H21" s="49">
        <f t="shared" si="1"/>
        <v>1000000</v>
      </c>
      <c r="I21" s="478">
        <f t="shared" si="5"/>
        <v>900000</v>
      </c>
      <c r="J21" s="59">
        <f t="shared" si="3"/>
        <v>950000</v>
      </c>
      <c r="K21" s="479">
        <v>1000000</v>
      </c>
    </row>
    <row r="22" spans="2:11" x14ac:dyDescent="0.3">
      <c r="B22" s="20"/>
    </row>
    <row r="27" spans="2:11" ht="15" customHeight="1" x14ac:dyDescent="0.3"/>
    <row r="28" spans="2:11" x14ac:dyDescent="0.3">
      <c r="B28" s="433" t="s">
        <v>382</v>
      </c>
    </row>
  </sheetData>
  <mergeCells count="5">
    <mergeCell ref="B3:E3"/>
    <mergeCell ref="B9:B10"/>
    <mergeCell ref="C9:C10"/>
    <mergeCell ref="D9:D10"/>
    <mergeCell ref="E9:G9"/>
  </mergeCells>
  <conditionalFormatting sqref="C11:C21">
    <cfRule type="cellIs" dxfId="257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F01A-DCA7-443E-A2C4-5AC4BC4C8357}">
  <dimension ref="B1:K29"/>
  <sheetViews>
    <sheetView zoomScale="62" zoomScaleNormal="62" workbookViewId="0">
      <selection activeCell="H29" sqref="H29"/>
    </sheetView>
  </sheetViews>
  <sheetFormatPr defaultColWidth="9" defaultRowHeight="14.4" x14ac:dyDescent="0.3"/>
  <cols>
    <col min="1" max="1" width="3.6640625" customWidth="1"/>
    <col min="2" max="2" width="82.5546875" customWidth="1"/>
    <col min="3" max="3" width="25.88671875" customWidth="1"/>
    <col min="4" max="4" width="11.5546875" customWidth="1"/>
    <col min="5" max="5" width="23.44140625" bestFit="1" customWidth="1"/>
    <col min="6" max="6" width="23.109375" customWidth="1"/>
    <col min="7" max="7" width="23.44140625" bestFit="1" customWidth="1"/>
    <col min="8" max="8" width="22.33203125" customWidth="1"/>
    <col min="9" max="9" width="20.109375" bestFit="1" customWidth="1"/>
    <col min="10" max="10" width="22" customWidth="1"/>
    <col min="11" max="11" width="18.88671875" bestFit="1" customWidth="1"/>
  </cols>
  <sheetData>
    <row r="1" spans="2:11" ht="22.5" customHeight="1" x14ac:dyDescent="0.35">
      <c r="B1" s="296" t="s">
        <v>250</v>
      </c>
      <c r="C1" s="297">
        <f>Premissas!E18 + Premissas!E19</f>
        <v>300000</v>
      </c>
      <c r="D1" s="298"/>
      <c r="E1" s="298"/>
      <c r="F1" s="298"/>
      <c r="G1" s="298"/>
      <c r="H1" s="298"/>
      <c r="I1" s="298"/>
      <c r="J1" s="298"/>
    </row>
    <row r="2" spans="2:11" ht="22.5" customHeight="1" x14ac:dyDescent="0.35">
      <c r="B2" s="296" t="str">
        <f>Premissas!$C$20</f>
        <v>Quantidade de períodos para quitar o empréstimo</v>
      </c>
      <c r="C2" s="299">
        <f>IF(Premissas!$E$20+MAX(C5:C6)-1&gt;MAX(RB!$B$11:$B$21),MAX(RB!$B$11:$B$21)-MAX(C5:C6)+1,Premissas!$E$20)</f>
        <v>5</v>
      </c>
      <c r="D2" s="298" t="s">
        <v>276</v>
      </c>
      <c r="F2" s="298"/>
      <c r="G2" s="298"/>
      <c r="H2" s="298"/>
    </row>
    <row r="3" spans="2:11" ht="22.5" customHeight="1" x14ac:dyDescent="0.35">
      <c r="B3" s="296" t="s">
        <v>251</v>
      </c>
      <c r="C3" s="299">
        <f>IF(Premissas!$E$20+MAX(C5:C6)&gt;MAX(RB!$B$11:$B$21),MAX(RB!$B$11:$B$21),Premissas!$E$20+MAX(C5:C6)-1)</f>
        <v>6</v>
      </c>
      <c r="D3" s="298" t="s">
        <v>252</v>
      </c>
      <c r="E3" s="298"/>
      <c r="F3" s="298"/>
      <c r="G3" s="298"/>
    </row>
    <row r="4" spans="2:11" ht="22.5" customHeight="1" x14ac:dyDescent="0.35">
      <c r="B4" s="296" t="s">
        <v>253</v>
      </c>
      <c r="C4" s="300">
        <f>Premissas!$E$23/100</f>
        <v>0.06</v>
      </c>
      <c r="D4" s="298" t="s">
        <v>254</v>
      </c>
      <c r="E4" s="298"/>
      <c r="F4" s="301" t="s">
        <v>255</v>
      </c>
      <c r="G4" s="298"/>
    </row>
    <row r="5" spans="2:11" ht="22.5" customHeight="1" x14ac:dyDescent="0.35">
      <c r="B5" s="296" t="str">
        <f>Premissas!$C$21 &amp;":"</f>
        <v>Período de carência para pagamento do juros do empréstimo:</v>
      </c>
      <c r="C5" s="302">
        <f>Premissas!E21</f>
        <v>2</v>
      </c>
      <c r="D5" s="298" t="str">
        <f>Premissas!F21</f>
        <v>ano(s), apenas para período inteiro de carência</v>
      </c>
      <c r="E5" s="298"/>
      <c r="F5" s="303"/>
      <c r="G5" s="298"/>
    </row>
    <row r="6" spans="2:11" ht="22.5" customHeight="1" x14ac:dyDescent="0.35">
      <c r="B6" s="296" t="str">
        <f>Premissas!$C$22 &amp;":"</f>
        <v>Período de carência para pagamento do principal do empréstimo:</v>
      </c>
      <c r="C6" s="302">
        <f>Premissas!E22</f>
        <v>2</v>
      </c>
      <c r="D6" s="298" t="str">
        <f>Premissas!F22</f>
        <v>ano (s), deve ser maior ou igual a carência para os juros</v>
      </c>
      <c r="E6" s="298"/>
      <c r="F6" s="303"/>
      <c r="G6" s="298"/>
    </row>
    <row r="7" spans="2:11" ht="22.5" customHeight="1" x14ac:dyDescent="0.35">
      <c r="B7" s="296"/>
      <c r="C7" s="302"/>
      <c r="D7" s="298"/>
      <c r="E7" s="298"/>
      <c r="F7" s="303"/>
      <c r="G7" s="298"/>
    </row>
    <row r="8" spans="2:11" x14ac:dyDescent="0.3">
      <c r="B8" s="266"/>
    </row>
    <row r="9" spans="2:11" ht="54" customHeight="1" x14ac:dyDescent="0.5">
      <c r="B9" s="539" t="s">
        <v>278</v>
      </c>
      <c r="C9" s="539"/>
      <c r="D9" s="539"/>
      <c r="E9" s="539"/>
      <c r="F9" s="539"/>
      <c r="G9" s="539"/>
      <c r="H9" s="539"/>
      <c r="I9" s="539"/>
      <c r="J9" s="539"/>
      <c r="K9" s="539"/>
    </row>
    <row r="10" spans="2:11" ht="25.8" x14ac:dyDescent="0.5">
      <c r="B10" s="304"/>
      <c r="C10" s="304"/>
      <c r="D10" s="305" t="s">
        <v>256</v>
      </c>
      <c r="E10" s="306">
        <f>SUM(E12:E22)</f>
        <v>59460.274799999999</v>
      </c>
      <c r="F10" s="306">
        <f>SUM(F12:F22)</f>
        <v>317999.99114847288</v>
      </c>
      <c r="G10" s="306">
        <f>SUM(G12:G22)</f>
        <v>377460.26594847289</v>
      </c>
      <c r="H10" s="307" t="s">
        <v>233</v>
      </c>
      <c r="I10" s="307" t="s">
        <v>233</v>
      </c>
      <c r="J10" s="307" t="s">
        <v>233</v>
      </c>
      <c r="K10" s="308" t="s">
        <v>233</v>
      </c>
    </row>
    <row r="11" spans="2:11" s="142" customFormat="1" ht="43.2" x14ac:dyDescent="0.3">
      <c r="B11" s="309" t="s">
        <v>257</v>
      </c>
      <c r="C11" s="310">
        <f>(C4)/(1-(1+C4)^(-C2))</f>
        <v>0.23739640043118937</v>
      </c>
      <c r="D11" s="134" t="s">
        <v>31</v>
      </c>
      <c r="E11" s="166" t="s">
        <v>258</v>
      </c>
      <c r="F11" s="166" t="s">
        <v>259</v>
      </c>
      <c r="G11" s="134" t="s">
        <v>260</v>
      </c>
      <c r="H11" s="166" t="s">
        <v>261</v>
      </c>
      <c r="I11" s="166" t="s">
        <v>262</v>
      </c>
      <c r="J11" s="166" t="s">
        <v>263</v>
      </c>
      <c r="K11" s="134" t="s">
        <v>264</v>
      </c>
    </row>
    <row r="12" spans="2:11" x14ac:dyDescent="0.3">
      <c r="B12" s="311" t="s">
        <v>265</v>
      </c>
      <c r="C12" s="312">
        <f>$C$1*((1+$C$4))^($C$6-1)*$C$11</f>
        <v>75492.055337118218</v>
      </c>
      <c r="D12" s="313">
        <v>0</v>
      </c>
      <c r="E12" s="314">
        <v>0</v>
      </c>
      <c r="F12" s="314">
        <v>0</v>
      </c>
      <c r="G12" s="315">
        <f>IF(ISNUMBER(D12),$C$12*IF(D12&gt;=C$6,1,0),"")</f>
        <v>0</v>
      </c>
      <c r="H12" s="314">
        <f>C1</f>
        <v>300000</v>
      </c>
      <c r="I12" s="314">
        <f>H12-F12</f>
        <v>300000</v>
      </c>
      <c r="J12" s="314">
        <f>IF(ISNUMBER(D12),ROUNDDOWN((H12-G12),2),"")</f>
        <v>300000</v>
      </c>
      <c r="K12" s="314">
        <f>J12</f>
        <v>300000</v>
      </c>
    </row>
    <row r="13" spans="2:11" x14ac:dyDescent="0.3">
      <c r="D13" s="313">
        <f>IF(ISNUMBER(D12),IF((D12+1)&lt;=C$3,(D12+1),""),"")</f>
        <v>1</v>
      </c>
      <c r="E13" s="316">
        <f>IF(ISNUMBER(D13),$C$4*J12*IF(D13&gt;=C$5,1,0)*IF($J12&lt;=0,0,1),"")</f>
        <v>0</v>
      </c>
      <c r="F13" s="316">
        <f>IF(ISNUMBER(D13),(G13-E13)*IF(D13&gt;=C$6,1,0)*IF($J12&lt;=0,0,1),"")</f>
        <v>0</v>
      </c>
      <c r="G13" s="315">
        <f>IF(ISNUMBER(D13),IF(G12&gt;H13,H13,$C$12*IF(D13&gt;=C$6,1,0)*IF($J12&lt;=0,0,1))*(1+Premissas!$E$6/100)^D13,"")</f>
        <v>0</v>
      </c>
      <c r="H13" s="317">
        <f>IF(ISNUMBER(D13),J12*(1+Premissas!$E$6/100)*(1+C$4)*IF($J12&lt;=0,0,1),"")</f>
        <v>318000</v>
      </c>
      <c r="I13" s="317">
        <f>IF(ISNUMBER(D13),(H13-F13)*IF($J12&lt;=0,0,1),"")</f>
        <v>318000</v>
      </c>
      <c r="J13" s="316">
        <f>IF(ISNUMBER(D13),ROUND((H13-G13)*IF($J12&lt;=0,0,1),2),"")</f>
        <v>318000</v>
      </c>
      <c r="K13" s="318">
        <f>IF(ISNUMBER(D13),-G13,"")</f>
        <v>0</v>
      </c>
    </row>
    <row r="14" spans="2:11" x14ac:dyDescent="0.3">
      <c r="B14" s="540" t="s">
        <v>266</v>
      </c>
      <c r="C14" s="540"/>
      <c r="D14" s="313">
        <f t="shared" ref="D14:D22" si="0">IF(ISNUMBER(D13),IF((D13+1)&lt;=C$3,(D13+1),""),"")</f>
        <v>2</v>
      </c>
      <c r="E14" s="316">
        <f t="shared" ref="E14:E22" si="1">IF(ISNUMBER(D14),$C$4*J13*IF(D14&gt;=C$5,1,0)*IF($J13&lt;=0,0,1),"")</f>
        <v>19080</v>
      </c>
      <c r="F14" s="316">
        <f t="shared" ref="F14:F22" si="2">IF(ISNUMBER(D14),(G14-E14)*IF(D14&gt;=C$6,1,0)*IF($J13&lt;=0,0,1),"")</f>
        <v>56412.055337118218</v>
      </c>
      <c r="G14" s="315">
        <f>IF(ISNUMBER(D14),IF(G13&gt;H14,H14,$C$12*IF(D14&gt;=C$6,1,0)*IF($J13&lt;=0,0,1))*(1+Premissas!$E$6/100)^D14,"")</f>
        <v>75492.055337118218</v>
      </c>
      <c r="H14" s="317">
        <f>IF(ISNUMBER(D14),J13*(1+Premissas!$E$6/100)*(1+C$4)*IF($J13&lt;=0,0,1),"")</f>
        <v>337080</v>
      </c>
      <c r="I14" s="317">
        <f t="shared" ref="I14:I22" si="3">IF(ISNUMBER(D14),(H14-F14)*IF($J13&lt;=0,0,1),"")</f>
        <v>280667.94466288178</v>
      </c>
      <c r="J14" s="316">
        <f t="shared" ref="J14:J22" si="4">IF(ISNUMBER(D14),ROUND((H14-G14)*IF($J13&lt;=0,0,1),2),"")</f>
        <v>261587.94</v>
      </c>
      <c r="K14" s="318">
        <f t="shared" ref="K14:K22" si="5">IF(ISNUMBER(D14),-G14,"")</f>
        <v>-75492.055337118218</v>
      </c>
    </row>
    <row r="15" spans="2:11" x14ac:dyDescent="0.3">
      <c r="B15" s="321" t="s">
        <v>267</v>
      </c>
      <c r="D15" s="313">
        <f t="shared" si="0"/>
        <v>3</v>
      </c>
      <c r="E15" s="316">
        <f t="shared" si="1"/>
        <v>15695.276399999999</v>
      </c>
      <c r="F15" s="316">
        <f t="shared" si="2"/>
        <v>59796.778937118215</v>
      </c>
      <c r="G15" s="315">
        <f>IF(ISNUMBER(D15),IF(G14&gt;H15,H15,$C$12*IF(D15&gt;=C$6,1,0)*IF($J14&lt;=0,0,1))*(1+Premissas!$E$6/100)^D15,"")</f>
        <v>75492.055337118218</v>
      </c>
      <c r="H15" s="317">
        <f>IF(ISNUMBER(D15),J14*(1+Premissas!$E$6/100)*(1+C$4)*IF($J14&lt;=0,0,1),"")</f>
        <v>277283.21640000003</v>
      </c>
      <c r="I15" s="317">
        <f t="shared" si="3"/>
        <v>217486.43746288182</v>
      </c>
      <c r="J15" s="316">
        <f t="shared" si="4"/>
        <v>201791.16</v>
      </c>
      <c r="K15" s="318">
        <f t="shared" si="5"/>
        <v>-75492.055337118218</v>
      </c>
    </row>
    <row r="16" spans="2:11" x14ac:dyDescent="0.3">
      <c r="B16" s="320" t="s">
        <v>268</v>
      </c>
      <c r="C16" s="96"/>
      <c r="D16" s="313">
        <f t="shared" si="0"/>
        <v>4</v>
      </c>
      <c r="E16" s="316">
        <f t="shared" si="1"/>
        <v>12107.4696</v>
      </c>
      <c r="F16" s="316">
        <f t="shared" si="2"/>
        <v>63384.585737118221</v>
      </c>
      <c r="G16" s="315">
        <f>IF(ISNUMBER(D16),IF(G15&gt;H16,H16,$C$12*IF(D16&gt;=C$6,1,0)*IF($J15&lt;=0,0,1))*(1+Premissas!$E$6/100)^D16,"")</f>
        <v>75492.055337118218</v>
      </c>
      <c r="H16" s="317">
        <f>IF(ISNUMBER(D16),J15*(1+Premissas!$E$6/100)*(1+C$4)*IF($J15&lt;=0,0,1),"")</f>
        <v>213898.62960000001</v>
      </c>
      <c r="I16" s="317">
        <f t="shared" si="3"/>
        <v>150514.04386288178</v>
      </c>
      <c r="J16" s="316">
        <f t="shared" si="4"/>
        <v>138406.57</v>
      </c>
      <c r="K16" s="318">
        <f t="shared" si="5"/>
        <v>-75492.055337118218</v>
      </c>
    </row>
    <row r="17" spans="2:11" x14ac:dyDescent="0.3">
      <c r="B17" s="320" t="s">
        <v>269</v>
      </c>
      <c r="D17" s="313">
        <f t="shared" si="0"/>
        <v>5</v>
      </c>
      <c r="E17" s="316">
        <f t="shared" si="1"/>
        <v>8304.3942000000006</v>
      </c>
      <c r="F17" s="316">
        <f t="shared" si="2"/>
        <v>67187.661137118223</v>
      </c>
      <c r="G17" s="315">
        <f>IF(ISNUMBER(D17),IF(G16&gt;H17,H17,$C$12*IF(D17&gt;=C$6,1,0)*IF($J16&lt;=0,0,1))*(1+Premissas!$E$6/100)^D17,"")</f>
        <v>75492.055337118218</v>
      </c>
      <c r="H17" s="317">
        <f>IF(ISNUMBER(D17),J16*(1+Premissas!$E$6/100)*(1+C$4)*IF($J16&lt;=0,0,1),"")</f>
        <v>146710.96420000002</v>
      </c>
      <c r="I17" s="317">
        <f t="shared" si="3"/>
        <v>79523.303062881794</v>
      </c>
      <c r="J17" s="316">
        <f t="shared" si="4"/>
        <v>71218.91</v>
      </c>
      <c r="K17" s="318">
        <f t="shared" si="5"/>
        <v>-75492.055337118218</v>
      </c>
    </row>
    <row r="18" spans="2:11" s="96" customFormat="1" x14ac:dyDescent="0.3">
      <c r="B18" s="320" t="s">
        <v>270</v>
      </c>
      <c r="C18"/>
      <c r="D18" s="313">
        <f t="shared" si="0"/>
        <v>6</v>
      </c>
      <c r="E18" s="316">
        <f t="shared" si="1"/>
        <v>4273.1346000000003</v>
      </c>
      <c r="F18" s="316">
        <f t="shared" si="2"/>
        <v>71218.91</v>
      </c>
      <c r="G18" s="315">
        <f>IF(ISNUMBER(D18),IF(G17&gt;H18,H18,$C$12*IF(D18&gt;=C$6,1,0)*IF($J17&lt;=0,0,1))*(1+Premissas!$E$6/100)^D18,"")</f>
        <v>75492.044600000008</v>
      </c>
      <c r="H18" s="317">
        <f>IF(ISNUMBER(D18),J17*(1+Premissas!$E$6/100)*(1+C$4)*IF($J17&lt;=0,0,1),"")</f>
        <v>75492.044600000008</v>
      </c>
      <c r="I18" s="317">
        <f t="shared" si="3"/>
        <v>4273.1346000000049</v>
      </c>
      <c r="J18" s="316">
        <f t="shared" si="4"/>
        <v>0</v>
      </c>
      <c r="K18" s="318">
        <f t="shared" si="5"/>
        <v>-75492.044600000008</v>
      </c>
    </row>
    <row r="19" spans="2:11" x14ac:dyDescent="0.3">
      <c r="D19" s="313" t="str">
        <f t="shared" si="0"/>
        <v/>
      </c>
      <c r="E19" s="316" t="str">
        <f t="shared" si="1"/>
        <v/>
      </c>
      <c r="F19" s="316" t="str">
        <f t="shared" si="2"/>
        <v/>
      </c>
      <c r="G19" s="315" t="str">
        <f>IF(ISNUMBER(D19),IF(G18&gt;H19,H19,$C$12*IF(D19&gt;=C$6,1,0)*IF($J18&lt;=0,0,1))*(1+Premissas!$E$6/100)^D19,"")</f>
        <v/>
      </c>
      <c r="H19" s="317" t="str">
        <f>IF(ISNUMBER(D19),J18*(1+Premissas!$E$6/100)*(1+C$4)*IF($J18&lt;=0,0,1),"")</f>
        <v/>
      </c>
      <c r="I19" s="317" t="str">
        <f t="shared" si="3"/>
        <v/>
      </c>
      <c r="J19" s="316" t="str">
        <f t="shared" si="4"/>
        <v/>
      </c>
      <c r="K19" s="318" t="str">
        <f t="shared" si="5"/>
        <v/>
      </c>
    </row>
    <row r="20" spans="2:11" x14ac:dyDescent="0.3">
      <c r="C20" s="124" t="s">
        <v>271</v>
      </c>
      <c r="D20" s="313" t="str">
        <f t="shared" si="0"/>
        <v/>
      </c>
      <c r="E20" s="316" t="str">
        <f t="shared" si="1"/>
        <v/>
      </c>
      <c r="F20" s="316" t="str">
        <f t="shared" si="2"/>
        <v/>
      </c>
      <c r="G20" s="315" t="str">
        <f>IF(ISNUMBER(D20),IF(G19&gt;H20,H20,$C$12*IF(D20&gt;=C$6,1,0)*IF($J19&lt;=0,0,1))*(1+Premissas!$E$6/100)^D20,"")</f>
        <v/>
      </c>
      <c r="H20" s="317" t="str">
        <f>IF(ISNUMBER(D20),J19*(1+Premissas!$E$6/100)*(1+C$4)*IF($J19&lt;=0,0,1),"")</f>
        <v/>
      </c>
      <c r="I20" s="317" t="str">
        <f t="shared" si="3"/>
        <v/>
      </c>
      <c r="J20" s="316" t="str">
        <f t="shared" si="4"/>
        <v/>
      </c>
      <c r="K20" s="318" t="str">
        <f t="shared" si="5"/>
        <v/>
      </c>
    </row>
    <row r="21" spans="2:11" x14ac:dyDescent="0.3">
      <c r="B21" s="266" t="s">
        <v>272</v>
      </c>
      <c r="C21" s="322">
        <f>NPV(C4,G13:G22)</f>
        <v>299999.99243075494</v>
      </c>
      <c r="D21" s="313" t="str">
        <f t="shared" si="0"/>
        <v/>
      </c>
      <c r="E21" s="316" t="str">
        <f t="shared" si="1"/>
        <v/>
      </c>
      <c r="F21" s="316" t="str">
        <f t="shared" si="2"/>
        <v/>
      </c>
      <c r="G21" s="315" t="str">
        <f>IF(ISNUMBER(D21),IF(G20&gt;H21,H21,$C$12*IF(D21&gt;=C$6,1,0)*IF($J20&lt;=0,0,1))*(1+Premissas!$E$6/100)^D21,"")</f>
        <v/>
      </c>
      <c r="H21" s="317" t="str">
        <f>IF(ISNUMBER(D21),J20*(1+Premissas!$E$6/100)*(1+C$4)*IF($J20&lt;=0,0,1),"")</f>
        <v/>
      </c>
      <c r="I21" s="317" t="str">
        <f t="shared" si="3"/>
        <v/>
      </c>
      <c r="J21" s="316" t="str">
        <f t="shared" si="4"/>
        <v/>
      </c>
      <c r="K21" s="318" t="str">
        <f t="shared" si="5"/>
        <v/>
      </c>
    </row>
    <row r="22" spans="2:11" x14ac:dyDescent="0.3">
      <c r="B22" s="266" t="s">
        <v>273</v>
      </c>
      <c r="C22" s="323">
        <f>IRR(K12:K22)</f>
        <v>5.9999993113493799E-2</v>
      </c>
      <c r="D22" s="313" t="str">
        <f t="shared" si="0"/>
        <v/>
      </c>
      <c r="E22" s="316" t="str">
        <f t="shared" si="1"/>
        <v/>
      </c>
      <c r="F22" s="316" t="str">
        <f t="shared" si="2"/>
        <v/>
      </c>
      <c r="G22" s="315" t="str">
        <f>IF(ISNUMBER(D22),IF(G21&gt;H22,H22,$C$12*IF(D22&gt;=C$6,1,0)*IF($J21&lt;=0,0,1))*(1+Premissas!$E$6/100)^D22,"")</f>
        <v/>
      </c>
      <c r="H22" s="317" t="str">
        <f>IF(ISNUMBER(D22),J21*(1+Premissas!$E$6/100)*(1+C$4)*IF($J21&lt;=0,0,1),"")</f>
        <v/>
      </c>
      <c r="I22" s="317" t="str">
        <f t="shared" si="3"/>
        <v/>
      </c>
      <c r="J22" s="316" t="str">
        <f t="shared" si="4"/>
        <v/>
      </c>
      <c r="K22" s="318" t="str">
        <f t="shared" si="5"/>
        <v/>
      </c>
    </row>
    <row r="29" spans="2:11" x14ac:dyDescent="0.3">
      <c r="B29" s="433" t="s">
        <v>382</v>
      </c>
    </row>
  </sheetData>
  <mergeCells count="2">
    <mergeCell ref="B9:K9"/>
    <mergeCell ref="B14:C14"/>
  </mergeCells>
  <conditionalFormatting sqref="C12 H13:K13 E12:K12 E10:K10 H14:J22 E13:G22">
    <cfRule type="cellIs" dxfId="256" priority="2" operator="lessThan">
      <formula>0</formula>
    </cfRule>
  </conditionalFormatting>
  <conditionalFormatting sqref="K14:K22">
    <cfRule type="cellIs" dxfId="255" priority="1" operator="lessThan">
      <formula>0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5DD9-7D1E-4513-A550-470F2702695E}">
  <dimension ref="B2:L22"/>
  <sheetViews>
    <sheetView workbookViewId="0">
      <selection activeCell="I10" sqref="I10"/>
    </sheetView>
  </sheetViews>
  <sheetFormatPr defaultRowHeight="14.4" x14ac:dyDescent="0.3"/>
  <cols>
    <col min="3" max="3" width="13.109375" bestFit="1" customWidth="1"/>
    <col min="4" max="4" width="13.33203125" bestFit="1" customWidth="1"/>
    <col min="5" max="6" width="14.33203125" bestFit="1" customWidth="1"/>
    <col min="7" max="7" width="15.33203125" bestFit="1" customWidth="1"/>
    <col min="8" max="8" width="14.33203125" bestFit="1" customWidth="1"/>
    <col min="9" max="9" width="15.33203125" bestFit="1" customWidth="1"/>
    <col min="10" max="10" width="47.109375" bestFit="1" customWidth="1"/>
    <col min="11" max="11" width="14.21875" customWidth="1"/>
    <col min="12" max="12" width="16.88671875" customWidth="1"/>
  </cols>
  <sheetData>
    <row r="2" spans="2:12" ht="15" thickBot="1" x14ac:dyDescent="0.35"/>
    <row r="3" spans="2:12" ht="15" thickBot="1" x14ac:dyDescent="0.35">
      <c r="B3" s="541" t="s">
        <v>98</v>
      </c>
      <c r="C3" s="542"/>
      <c r="D3" s="542"/>
      <c r="E3" s="542"/>
      <c r="F3" s="543"/>
    </row>
    <row r="4" spans="2:12" ht="72" x14ac:dyDescent="0.3">
      <c r="B4" s="7" t="s">
        <v>31</v>
      </c>
      <c r="C4" s="7" t="s">
        <v>32</v>
      </c>
      <c r="D4" s="8" t="s">
        <v>33</v>
      </c>
      <c r="E4" s="9" t="s">
        <v>34</v>
      </c>
      <c r="F4" s="10" t="s">
        <v>35</v>
      </c>
      <c r="G4" s="7" t="s">
        <v>36</v>
      </c>
      <c r="H4" s="8" t="s">
        <v>37</v>
      </c>
      <c r="I4" s="9" t="s">
        <v>38</v>
      </c>
      <c r="J4" s="10" t="s">
        <v>39</v>
      </c>
      <c r="K4" s="86" t="s">
        <v>96</v>
      </c>
      <c r="L4" s="87" t="s">
        <v>40</v>
      </c>
    </row>
    <row r="5" spans="2:12" x14ac:dyDescent="0.3">
      <c r="B5" s="88">
        <v>0</v>
      </c>
      <c r="C5" s="11">
        <f t="shared" ref="C5:C15" si="0">SUM(D5:F5)</f>
        <v>0</v>
      </c>
      <c r="D5" s="462">
        <v>0</v>
      </c>
      <c r="E5" s="468">
        <v>0</v>
      </c>
      <c r="F5" s="465">
        <v>0</v>
      </c>
      <c r="G5" s="14">
        <f t="shared" ref="G5:G15" si="1">SUM(H5:J5)</f>
        <v>57600</v>
      </c>
      <c r="H5" s="12">
        <f>SUMIF($K$16:$Y$16,20,$K5:$Y5)</f>
        <v>0</v>
      </c>
      <c r="I5" s="89">
        <f t="shared" ref="I5:I15" si="2">SUMIF($K$16:$Y$16,10,$K5:$Y5)</f>
        <v>0</v>
      </c>
      <c r="J5" s="13">
        <f>SUMIF($K$16:$L$16,5,$K5:$L5)</f>
        <v>57600</v>
      </c>
      <c r="K5" s="90">
        <v>54000</v>
      </c>
      <c r="L5" s="91">
        <v>3600</v>
      </c>
    </row>
    <row r="6" spans="2:12" x14ac:dyDescent="0.3">
      <c r="B6" s="88">
        <v>1</v>
      </c>
      <c r="C6" s="11">
        <f t="shared" si="0"/>
        <v>11520</v>
      </c>
      <c r="D6" s="12">
        <f>H5/$K$16</f>
        <v>0</v>
      </c>
      <c r="E6" s="424">
        <f>I5/10</f>
        <v>0</v>
      </c>
      <c r="F6" s="13">
        <f>J5/5</f>
        <v>11520</v>
      </c>
      <c r="G6" s="14">
        <f t="shared" si="1"/>
        <v>0</v>
      </c>
      <c r="H6" s="12">
        <f t="shared" ref="H6:H15" si="3">SUMIF($K$16:$Y$16,20,K6:Y6)</f>
        <v>0</v>
      </c>
      <c r="I6" s="89">
        <f t="shared" si="2"/>
        <v>0</v>
      </c>
      <c r="J6" s="13">
        <f>SUMIF($K$16:$Y$16,5,$K6:$Y6)</f>
        <v>0</v>
      </c>
      <c r="K6" s="90">
        <v>0</v>
      </c>
      <c r="L6" s="91">
        <v>0</v>
      </c>
    </row>
    <row r="7" spans="2:12" x14ac:dyDescent="0.3">
      <c r="B7" s="88">
        <v>2</v>
      </c>
      <c r="C7" s="11">
        <f t="shared" si="0"/>
        <v>11520</v>
      </c>
      <c r="D7" s="461">
        <f>D6*(1+Premissas!$E$6/100)</f>
        <v>0</v>
      </c>
      <c r="E7" s="461">
        <f>E6*(1+Premissas!$E$6/100)</f>
        <v>0</v>
      </c>
      <c r="F7" s="466">
        <f>F6*(1+Premissas!$E$6/100)</f>
        <v>11520</v>
      </c>
      <c r="G7" s="14">
        <f t="shared" si="1"/>
        <v>0</v>
      </c>
      <c r="H7" s="12">
        <f t="shared" si="3"/>
        <v>0</v>
      </c>
      <c r="I7" s="89">
        <f t="shared" si="2"/>
        <v>0</v>
      </c>
      <c r="J7" s="13">
        <f>SUMIF($K$16:$Y$16,5,$K7:$Y7)</f>
        <v>0</v>
      </c>
      <c r="K7" s="90">
        <v>0</v>
      </c>
      <c r="L7" s="91">
        <v>0</v>
      </c>
    </row>
    <row r="8" spans="2:12" x14ac:dyDescent="0.3">
      <c r="B8" s="88">
        <v>3</v>
      </c>
      <c r="C8" s="11">
        <f t="shared" si="0"/>
        <v>11520</v>
      </c>
      <c r="D8" s="461">
        <f>D7*(1+Premissas!$E$6/100)</f>
        <v>0</v>
      </c>
      <c r="E8" s="461">
        <f>E7*(1+Premissas!$E$6/100)</f>
        <v>0</v>
      </c>
      <c r="F8" s="466">
        <f>F7*(1+Premissas!$E$6/100)</f>
        <v>11520</v>
      </c>
      <c r="G8" s="14">
        <f t="shared" si="1"/>
        <v>0</v>
      </c>
      <c r="H8" s="12">
        <f t="shared" si="3"/>
        <v>0</v>
      </c>
      <c r="I8" s="89">
        <f t="shared" si="2"/>
        <v>0</v>
      </c>
      <c r="J8" s="13">
        <f>SUMIF($K$16:$Y$16,5,$K8:$Y8)</f>
        <v>0</v>
      </c>
      <c r="K8" s="90">
        <v>0</v>
      </c>
      <c r="L8" s="91">
        <v>0</v>
      </c>
    </row>
    <row r="9" spans="2:12" x14ac:dyDescent="0.3">
      <c r="B9" s="88">
        <v>4</v>
      </c>
      <c r="C9" s="11">
        <f t="shared" si="0"/>
        <v>11520</v>
      </c>
      <c r="D9" s="461">
        <f>D8*(1+Premissas!$E$6/100)</f>
        <v>0</v>
      </c>
      <c r="E9" s="461">
        <f>E8*(1+Premissas!$E$6/100)</f>
        <v>0</v>
      </c>
      <c r="F9" s="466">
        <f>F8*(1+Premissas!$E$6/100)</f>
        <v>11520</v>
      </c>
      <c r="G9" s="14">
        <f t="shared" si="1"/>
        <v>0</v>
      </c>
      <c r="H9" s="12">
        <f t="shared" si="3"/>
        <v>0</v>
      </c>
      <c r="I9" s="89">
        <f t="shared" si="2"/>
        <v>0</v>
      </c>
      <c r="J9" s="13">
        <f>SUMIF($K$16:$Y$16,5,$K9:$Y9)</f>
        <v>0</v>
      </c>
      <c r="K9" s="90">
        <v>0</v>
      </c>
      <c r="L9" s="91">
        <v>0</v>
      </c>
    </row>
    <row r="10" spans="2:12" x14ac:dyDescent="0.3">
      <c r="B10" s="88">
        <v>5</v>
      </c>
      <c r="C10" s="11">
        <f t="shared" si="0"/>
        <v>11520</v>
      </c>
      <c r="D10" s="461">
        <f>D9*(1+Premissas!$E$6/100)</f>
        <v>0</v>
      </c>
      <c r="E10" s="461">
        <f>E9*(1+Premissas!$E$6/100)</f>
        <v>0</v>
      </c>
      <c r="F10" s="466">
        <f>F9*(1+Premissas!$E$6/100)</f>
        <v>11520</v>
      </c>
      <c r="G10" s="14">
        <f t="shared" si="1"/>
        <v>57600</v>
      </c>
      <c r="H10" s="12">
        <f t="shared" si="3"/>
        <v>0</v>
      </c>
      <c r="I10" s="89">
        <f t="shared" si="2"/>
        <v>0</v>
      </c>
      <c r="J10" s="13">
        <f>SUMIF($K$16:$L$16,5,$K10:$L10)</f>
        <v>57600</v>
      </c>
      <c r="K10" s="90">
        <v>54000</v>
      </c>
      <c r="L10" s="91">
        <v>3600</v>
      </c>
    </row>
    <row r="11" spans="2:12" x14ac:dyDescent="0.3">
      <c r="B11" s="88">
        <v>6</v>
      </c>
      <c r="C11" s="11">
        <f t="shared" si="0"/>
        <v>11520</v>
      </c>
      <c r="D11" s="461">
        <f>D10*(1+Premissas!$E$6/100)</f>
        <v>0</v>
      </c>
      <c r="E11" s="461">
        <f>E10*(1+Premissas!$E$6/100)</f>
        <v>0</v>
      </c>
      <c r="F11" s="466">
        <f>F10*(1+Premissas!$E$6/100)</f>
        <v>11520</v>
      </c>
      <c r="G11" s="14">
        <f t="shared" si="1"/>
        <v>0</v>
      </c>
      <c r="H11" s="12">
        <f t="shared" si="3"/>
        <v>0</v>
      </c>
      <c r="I11" s="89">
        <f t="shared" si="2"/>
        <v>0</v>
      </c>
      <c r="J11" s="13">
        <f>SUMIF($K$16:$Y$16,5,$K11:$Y11)</f>
        <v>0</v>
      </c>
      <c r="K11" s="90">
        <v>0</v>
      </c>
      <c r="L11" s="91">
        <v>0</v>
      </c>
    </row>
    <row r="12" spans="2:12" x14ac:dyDescent="0.3">
      <c r="B12" s="88">
        <v>7</v>
      </c>
      <c r="C12" s="11">
        <f t="shared" si="0"/>
        <v>11520</v>
      </c>
      <c r="D12" s="461">
        <f>D11*(1+Premissas!$E$6/100)</f>
        <v>0</v>
      </c>
      <c r="E12" s="461">
        <f>E11*(1+Premissas!$E$6/100)</f>
        <v>0</v>
      </c>
      <c r="F12" s="466">
        <f>F11*(1+Premissas!$E$6/100)</f>
        <v>11520</v>
      </c>
      <c r="G12" s="14">
        <f t="shared" si="1"/>
        <v>0</v>
      </c>
      <c r="H12" s="12">
        <f t="shared" si="3"/>
        <v>0</v>
      </c>
      <c r="I12" s="89">
        <f t="shared" si="2"/>
        <v>0</v>
      </c>
      <c r="J12" s="13">
        <f>SUMIF($K$16:$Y$16,5,$K12:$Y12)</f>
        <v>0</v>
      </c>
      <c r="K12" s="90">
        <v>0</v>
      </c>
      <c r="L12" s="91">
        <v>0</v>
      </c>
    </row>
    <row r="13" spans="2:12" x14ac:dyDescent="0.3">
      <c r="B13" s="88">
        <v>8</v>
      </c>
      <c r="C13" s="11">
        <f t="shared" si="0"/>
        <v>11520</v>
      </c>
      <c r="D13" s="461">
        <f>D12*(1+Premissas!$E$6/100)</f>
        <v>0</v>
      </c>
      <c r="E13" s="461">
        <f>E12*(1+Premissas!$E$6/100)</f>
        <v>0</v>
      </c>
      <c r="F13" s="466">
        <f>F12*(1+Premissas!$E$6/100)</f>
        <v>11520</v>
      </c>
      <c r="G13" s="14">
        <f t="shared" si="1"/>
        <v>0</v>
      </c>
      <c r="H13" s="12">
        <f t="shared" si="3"/>
        <v>0</v>
      </c>
      <c r="I13" s="89">
        <f t="shared" si="2"/>
        <v>0</v>
      </c>
      <c r="J13" s="13">
        <f>SUMIF($K$16:$Y$16,5,$K13:$Y13)</f>
        <v>0</v>
      </c>
      <c r="K13" s="90">
        <v>0</v>
      </c>
      <c r="L13" s="91">
        <v>0</v>
      </c>
    </row>
    <row r="14" spans="2:12" x14ac:dyDescent="0.3">
      <c r="B14" s="88">
        <v>9</v>
      </c>
      <c r="C14" s="11">
        <f t="shared" si="0"/>
        <v>11520</v>
      </c>
      <c r="D14" s="461">
        <f>D13*(1+Premissas!$E$6/100)</f>
        <v>0</v>
      </c>
      <c r="E14" s="461">
        <f>E13*(1+Premissas!$E$6/100)</f>
        <v>0</v>
      </c>
      <c r="F14" s="466">
        <f>F13*(1+Premissas!$E$6/100)</f>
        <v>11520</v>
      </c>
      <c r="G14" s="14">
        <f t="shared" si="1"/>
        <v>0</v>
      </c>
      <c r="H14" s="12">
        <f t="shared" si="3"/>
        <v>0</v>
      </c>
      <c r="I14" s="89">
        <f t="shared" si="2"/>
        <v>0</v>
      </c>
      <c r="J14" s="13">
        <f>SUMIF($K$16:$Y$16,5,$K14:$Y14)</f>
        <v>0</v>
      </c>
      <c r="K14" s="90">
        <v>0</v>
      </c>
      <c r="L14" s="91">
        <v>0</v>
      </c>
    </row>
    <row r="15" spans="2:12" ht="15" thickBot="1" x14ac:dyDescent="0.35">
      <c r="B15" s="92">
        <v>10</v>
      </c>
      <c r="C15" s="15">
        <f t="shared" si="0"/>
        <v>11520</v>
      </c>
      <c r="D15" s="463">
        <f>D14*(1+Premissas!$E$6/100)</f>
        <v>0</v>
      </c>
      <c r="E15" s="463">
        <f>E14*(1+Premissas!$E$6/100)</f>
        <v>0</v>
      </c>
      <c r="F15" s="467">
        <f>F14*(1+Premissas!$E$6/100)</f>
        <v>11520</v>
      </c>
      <c r="G15" s="19">
        <f t="shared" si="1"/>
        <v>57600</v>
      </c>
      <c r="H15" s="16">
        <f t="shared" si="3"/>
        <v>0</v>
      </c>
      <c r="I15" s="17">
        <f t="shared" si="2"/>
        <v>0</v>
      </c>
      <c r="J15" s="18">
        <f>SUMIF($K$16:$Y$16,5,$K15:$Y15)</f>
        <v>57600</v>
      </c>
      <c r="K15" s="90">
        <v>54000</v>
      </c>
      <c r="L15" s="91">
        <v>3600</v>
      </c>
    </row>
    <row r="16" spans="2:12" ht="15" thickBot="1" x14ac:dyDescent="0.35">
      <c r="J16" s="21" t="s">
        <v>41</v>
      </c>
      <c r="K16" s="85">
        <v>5</v>
      </c>
      <c r="L16" s="85">
        <v>5</v>
      </c>
    </row>
    <row r="22" spans="2:2" x14ac:dyDescent="0.3">
      <c r="B22" s="433" t="s">
        <v>382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CBFC-EA39-4C09-96A7-8E077DC282EF}">
  <dimension ref="B1:G21"/>
  <sheetViews>
    <sheetView workbookViewId="0">
      <selection activeCell="L9" sqref="L9"/>
    </sheetView>
  </sheetViews>
  <sheetFormatPr defaultRowHeight="14.4" x14ac:dyDescent="0.3"/>
  <cols>
    <col min="2" max="2" width="8.33203125" bestFit="1" customWidth="1"/>
    <col min="3" max="3" width="21.109375" bestFit="1" customWidth="1"/>
    <col min="4" max="4" width="16.44140625" bestFit="1" customWidth="1"/>
    <col min="5" max="5" width="20.5546875" bestFit="1" customWidth="1"/>
    <col min="6" max="6" width="14.33203125" bestFit="1" customWidth="1"/>
    <col min="7" max="7" width="18.21875" bestFit="1" customWidth="1"/>
  </cols>
  <sheetData>
    <row r="1" spans="2:7" ht="15" thickBot="1" x14ac:dyDescent="0.35">
      <c r="B1" s="28" t="s">
        <v>366</v>
      </c>
      <c r="C1" s="28"/>
      <c r="D1" s="28"/>
      <c r="E1" s="28"/>
      <c r="F1" s="268"/>
      <c r="G1" s="93"/>
    </row>
    <row r="2" spans="2:7" x14ac:dyDescent="0.3">
      <c r="B2" s="247"/>
      <c r="C2" s="248"/>
      <c r="D2" s="248" t="s">
        <v>361</v>
      </c>
      <c r="E2" s="248" t="s">
        <v>362</v>
      </c>
      <c r="F2" s="248" t="s">
        <v>138</v>
      </c>
      <c r="G2" s="285"/>
    </row>
    <row r="3" spans="2:7" ht="57.6" x14ac:dyDescent="0.3">
      <c r="B3" s="365" t="s">
        <v>31</v>
      </c>
      <c r="C3" s="271" t="s">
        <v>363</v>
      </c>
      <c r="D3" s="271" t="s">
        <v>364</v>
      </c>
      <c r="E3" s="271" t="str">
        <f>Tabela18183[[#Headers],[Lucro líquido]]</f>
        <v>Lucro líquido</v>
      </c>
      <c r="F3" s="271" t="str">
        <f>Tabela18183[[#Headers],[Depreciações (somatório)]]</f>
        <v>Depreciações (somatório)</v>
      </c>
      <c r="G3" s="286" t="s">
        <v>365</v>
      </c>
    </row>
    <row r="4" spans="2:7" x14ac:dyDescent="0.3">
      <c r="B4" s="287">
        <f>RB!B11</f>
        <v>0</v>
      </c>
      <c r="C4" s="412">
        <v>0</v>
      </c>
      <c r="D4" s="413">
        <f>E4+F4</f>
        <v>-1198577.3999999999</v>
      </c>
      <c r="E4" s="414">
        <f>FCD!AN4</f>
        <v>-1228577.3999999999</v>
      </c>
      <c r="F4" s="291">
        <f>FCD!Z4</f>
        <v>30000</v>
      </c>
      <c r="G4" s="415">
        <v>0</v>
      </c>
    </row>
    <row r="5" spans="2:7" x14ac:dyDescent="0.3">
      <c r="B5" s="287">
        <f>RB!B12</f>
        <v>1</v>
      </c>
      <c r="C5" s="412">
        <f>IF(Premissas!$E$7=0,0,IF(Premissas!$E$7&lt;=1,Premissas!$E$7*MAX(SIGN(-D5),G5), IF(Premissas!$E$7&lt;=2, MAX(SIGN(-D5),G5) + (Premissas!$E$7-1)*MAX(SIGN(-D6),G6),IF(Premissas!$E$7&lt;=3, MAX(SIGN(-D5),G5) + MAX(SIGN(-D6),G6) + (Premissas!$E$7-2)*MAX(SIGN(-D7),G7),IF(Premissas!$E$7&lt;=4, MAX(SIGN(-D5),G5) + MAX(SIGN(-D6),G6) + MAX(SIGN(-D7),G7) + (Premissas!$E$7-3)*MAX(SIGN(-D8),G8))))))</f>
        <v>1055214.3999999999</v>
      </c>
      <c r="D5" s="413">
        <f t="shared" ref="D5:D14" si="0">E5+F5</f>
        <v>812906.16950000008</v>
      </c>
      <c r="E5" s="414">
        <f>FCD!AN5</f>
        <v>797386.16950000008</v>
      </c>
      <c r="F5" s="291">
        <f>FCD!Z5</f>
        <v>15520</v>
      </c>
      <c r="G5" s="415">
        <f>FCD!S5</f>
        <v>1055214.3999999999</v>
      </c>
    </row>
    <row r="6" spans="2:7" x14ac:dyDescent="0.3">
      <c r="B6" s="287">
        <f>RB!B13</f>
        <v>2</v>
      </c>
      <c r="C6" s="412">
        <f>IF(Premissas!$E$7=0,0,IF(Premissas!$E$7&lt;=1,Premissas!$E$7*MAX(SIGN(-D6),G6), IF(Premissas!$E$7&lt;=2, MAX(SIGN(-D6),G6) + (Premissas!$E$7-1)*MAX(SIGN(-D7),G7),IF(Premissas!$E$7&lt;=3, MAX(SIGN(-D6),G6) + MAX(SIGN(-D7),G7) + (Premissas!$E$7-2)*MAX(SIGN(-D8),G8),IF(Premissas!$E$7&lt;=4, MAX(SIGN(-D6),G6) + MAX(SIGN(-D7),G7) + MAX(SIGN(-D8),G8) + (Premissas!$E$7-3)*MAX(SIGN(-D9),G9))))))</f>
        <v>1272477.0999999999</v>
      </c>
      <c r="D6" s="413">
        <f t="shared" si="0"/>
        <v>2242926.5669887336</v>
      </c>
      <c r="E6" s="414">
        <f>FCD!AN6</f>
        <v>2227406.5669887336</v>
      </c>
      <c r="F6" s="291">
        <f>FCD!Z6</f>
        <v>15520</v>
      </c>
      <c r="G6" s="415">
        <f>FCD!S6</f>
        <v>1272477.0999999999</v>
      </c>
    </row>
    <row r="7" spans="2:7" x14ac:dyDescent="0.3">
      <c r="B7" s="287">
        <f>RB!B14</f>
        <v>3</v>
      </c>
      <c r="C7" s="412">
        <f>IF(Premissas!$E$7=0,0,IF(Premissas!$E$7&lt;=1,Premissas!$E$7*MAX(SIGN(-D7),G7), IF(Premissas!$E$7&lt;=2, MAX(SIGN(-D7),G7) + (Premissas!$E$7-1)*MAX(SIGN(-D8),G8),IF(Premissas!$E$7&lt;=3, MAX(SIGN(-D7),G7) + MAX(SIGN(-D8),G8) + (Premissas!$E$7-2)*MAX(SIGN(-D9),G9),IF(Premissas!$E$7&lt;=4, MAX(SIGN(-D7),G7) + MAX(SIGN(-D8),G8) + MAX(SIGN(-D9),G9) + (Premissas!$E$7-3)*MAX(SIGN(-D10),G10))))))</f>
        <v>1462489.906</v>
      </c>
      <c r="D7" s="413">
        <f t="shared" si="0"/>
        <v>3753627.9086062335</v>
      </c>
      <c r="E7" s="414">
        <f>FCD!AN7</f>
        <v>3738107.9086062335</v>
      </c>
      <c r="F7" s="291">
        <f>FCD!Z7</f>
        <v>15520</v>
      </c>
      <c r="G7" s="415">
        <f>FCD!S7</f>
        <v>1462489.906</v>
      </c>
    </row>
    <row r="8" spans="2:7" x14ac:dyDescent="0.3">
      <c r="B8" s="287">
        <f>RB!B15</f>
        <v>4</v>
      </c>
      <c r="C8" s="412">
        <f>IF(Premissas!$E$7=0,0,IF(Premissas!$E$7&lt;=1,Premissas!$E$7*MAX(SIGN(-D8),G8), IF(Premissas!$E$7&lt;=2, MAX(SIGN(-D8),G8) + (Premissas!$E$7-1)*MAX(SIGN(-D9),G9),IF(Premissas!$E$7&lt;=3, MAX(SIGN(-D8),G8) + MAX(SIGN(-D9),G9) + (Premissas!$E$7-2)*MAX(SIGN(-D10),G10),IF(Premissas!$E$7&lt;=4, MAX(SIGN(-D8),G8) + MAX(SIGN(-D9),G9) + MAX(SIGN(-D10),G10) + (Premissas!$E$7-3)*MAX(SIGN(-D11),G11))))))</f>
        <v>1622651.2002400002</v>
      </c>
      <c r="D8" s="413">
        <f t="shared" si="0"/>
        <v>5288620.9179184325</v>
      </c>
      <c r="E8" s="414">
        <f>FCD!AN8</f>
        <v>5273100.9179184325</v>
      </c>
      <c r="F8" s="291">
        <f>FCD!Z8</f>
        <v>15520</v>
      </c>
      <c r="G8" s="415">
        <f>FCD!S8</f>
        <v>1622651.2002400002</v>
      </c>
    </row>
    <row r="9" spans="2:7" x14ac:dyDescent="0.3">
      <c r="B9" s="287">
        <f>RB!B16</f>
        <v>5</v>
      </c>
      <c r="C9" s="412">
        <f>IF(Premissas!$E$7=0,0,IF(Premissas!$E$7&lt;=1,Premissas!$E$7*MAX(SIGN(-D9),G9), IF(Premissas!$E$7&lt;=2, MAX(SIGN(-D9),G9) + (Premissas!$E$7-1)*MAX(SIGN(-D10),G10),IF(Premissas!$E$7&lt;=3, MAX(SIGN(-D9),G9) + MAX(SIGN(-D10),G10) + (Premissas!$E$7-2)*MAX(SIGN(-D11),G11),IF(Premissas!$E$7&lt;=4, MAX(SIGN(-D9),G9) + MAX(SIGN(-D10),G10) + MAX(SIGN(-D11),G11) + (Premissas!$E$7-3)*MAX(SIGN(-D12),G12))))))</f>
        <v>2087688.3522447997</v>
      </c>
      <c r="D9" s="413">
        <f t="shared" si="0"/>
        <v>6575521.1979745263</v>
      </c>
      <c r="E9" s="414">
        <f>FCD!AN9</f>
        <v>6560001.1979745263</v>
      </c>
      <c r="F9" s="291">
        <f>FCD!Z9</f>
        <v>15520</v>
      </c>
      <c r="G9" s="415">
        <f>FCD!S9</f>
        <v>2087688.3522447997</v>
      </c>
    </row>
    <row r="10" spans="2:7" x14ac:dyDescent="0.3">
      <c r="B10" s="287">
        <f>RB!B17</f>
        <v>6</v>
      </c>
      <c r="C10" s="412">
        <f>IF(Premissas!$E$7=0,0,IF(Premissas!$E$7&lt;=1,Premissas!$E$7*MAX(SIGN(-D10),G10), IF(Premissas!$E$7&lt;=2, MAX(SIGN(-D10),G10) + (Premissas!$E$7-1)*MAX(SIGN(-D11),G11),IF(Premissas!$E$7&lt;=3, MAX(SIGN(-D10),G10) + MAX(SIGN(-D11),G11) + (Premissas!$E$7-2)*MAX(SIGN(-D12),G12),IF(Premissas!$E$7&lt;=4, MAX(SIGN(-D10),G10) + MAX(SIGN(-D11),G11) + MAX(SIGN(-D12),G12) + (Premissas!$E$7-3)*MAX(SIGN(-D13),G13))))))</f>
        <v>2304567.2792896959</v>
      </c>
      <c r="D10" s="413">
        <f t="shared" si="0"/>
        <v>8064360.2419130094</v>
      </c>
      <c r="E10" s="414">
        <f>FCD!AN10</f>
        <v>8048840.2419130094</v>
      </c>
      <c r="F10" s="291">
        <f>FCD!Z10</f>
        <v>15520</v>
      </c>
      <c r="G10" s="415">
        <f>FCD!S10</f>
        <v>2304567.2792896959</v>
      </c>
    </row>
    <row r="11" spans="2:7" x14ac:dyDescent="0.3">
      <c r="B11" s="287">
        <f>RB!B18</f>
        <v>7</v>
      </c>
      <c r="C11" s="412">
        <f>IF(Premissas!$E$7=0,0,IF(Premissas!$E$7&lt;=1,Premissas!$E$7*MAX(SIGN(-D11),G11), IF(Premissas!$E$7&lt;=2, MAX(SIGN(-D11),G11) + (Premissas!$E$7-1)*MAX(SIGN(-D12),G12),IF(Premissas!$E$7&lt;=3, MAX(SIGN(-D11),G11) + MAX(SIGN(-D12),G12) + (Premissas!$E$7-2)*MAX(SIGN(-D13),G13),IF(Premissas!$E$7&lt;=4, MAX(SIGN(-D11),G11) + MAX(SIGN(-D12),G12) + MAX(SIGN(-D13),G13) + (Premissas!$E$7-3)*MAX(SIGN(-D14),G14))))))</f>
        <v>2575689.2168754898</v>
      </c>
      <c r="D11" s="413">
        <f t="shared" si="0"/>
        <v>9567565.3622675687</v>
      </c>
      <c r="E11" s="414">
        <f>FCD!AN11</f>
        <v>9552045.3622675687</v>
      </c>
      <c r="F11" s="291">
        <f>FCD!Z11</f>
        <v>15520</v>
      </c>
      <c r="G11" s="415">
        <f>FCD!S11</f>
        <v>2575689.2168754898</v>
      </c>
    </row>
    <row r="12" spans="2:7" x14ac:dyDescent="0.3">
      <c r="B12" s="287">
        <f>RB!B19</f>
        <v>8</v>
      </c>
      <c r="C12" s="412">
        <f>IF(Premissas!$E$7=0,0,IF(Premissas!$E$7&lt;=1,Premissas!$E$7*MAX(SIGN(-D12),G12), IF(Premissas!$E$7&lt;=2, MAX(SIGN(-D12),G12) + (Premissas!$E$7-1)*MAX(SIGN(-D13),G13),IF(Premissas!$E$7&lt;=3, MAX(SIGN(-D12),G12) + MAX(SIGN(-D13),G13) + (Premissas!$E$7-2)*MAX(SIGN(-D14),G14),IF(Premissas!$E$7&lt;=4, MAX(SIGN(-D12),G12) + MAX(SIGN(-D13),G13) + MAX(SIGN(-D14),G14) + (Premissas!$E$7-3)*MAX(SIGN(-D15),G15))))))</f>
        <v>2775479.5378194991</v>
      </c>
      <c r="D12" s="413">
        <f t="shared" si="0"/>
        <v>11070310.251099382</v>
      </c>
      <c r="E12" s="414">
        <f>FCD!AN12</f>
        <v>11054790.251099382</v>
      </c>
      <c r="F12" s="291">
        <f>FCD!Z12</f>
        <v>15520</v>
      </c>
      <c r="G12" s="415">
        <f>FCD!S12</f>
        <v>2775479.5378194991</v>
      </c>
    </row>
    <row r="13" spans="2:7" x14ac:dyDescent="0.3">
      <c r="B13" s="287">
        <f>RB!B20</f>
        <v>9</v>
      </c>
      <c r="C13" s="412">
        <f>IF(Premissas!$E$7=0,0,IF(Premissas!$E$7&lt;=1,Premissas!$E$7*MAX(SIGN(-D13),G13), IF(Premissas!$E$7&lt;=2, MAX(SIGN(-D13),G13) + (Premissas!$E$7-1)*MAX(SIGN(-D14),G14),IF(Premissas!$E$7&lt;=3, MAX(SIGN(-D13),G13) + MAX(SIGN(-D14),G14) + (Premissas!$E$7-2)*MAX(SIGN(-D15),G15),IF(Premissas!$E$7&lt;=4, MAX(SIGN(-D13),G13) + MAX(SIGN(-D14),G14) + MAX(SIGN(-D15),G15) + (Premissas!$E$7-3)*MAX(SIGN(-D16),G16))))))</f>
        <v>3433962.9845758895</v>
      </c>
      <c r="D13" s="413">
        <f t="shared" si="0"/>
        <v>12199793.608801369</v>
      </c>
      <c r="E13" s="414">
        <f>FCD!AN13</f>
        <v>12184273.608801369</v>
      </c>
      <c r="F13" s="291">
        <f>FCD!Z13</f>
        <v>15520</v>
      </c>
      <c r="G13" s="415">
        <f>FCD!S13</f>
        <v>3433962.9845758895</v>
      </c>
    </row>
    <row r="14" spans="2:7" ht="15" thickBot="1" x14ac:dyDescent="0.35">
      <c r="B14" s="294">
        <f>RB!B21</f>
        <v>10</v>
      </c>
      <c r="C14" s="412">
        <f>IF(Premissas!$E$7=0,0,IF(Premissas!$E$7&lt;=1,Premissas!$E$7*MAX(SIGN(-D14),G14), IF(Premissas!$E$7&lt;=2, MAX(SIGN(-D14),G14) + (Premissas!$E$7-1)*MAX(SIGN(-D15),G15),IF(Premissas!$E$7&lt;=3, MAX(SIGN(-D14),G14) + MAX(SIGN(-D15),G15) + (Premissas!$E$7-2)*MAX(SIGN(-D16),G16),IF(Premissas!$E$7&lt;=4, MAX(SIGN(-D14),G14) + MAX(SIGN(-D15),G15) + MAX(SIGN(-D16),G16) + (Premissas!$E$7-3)*MAX(SIGN(-D17),G17))))))</f>
        <v>3627606.7322674072</v>
      </c>
      <c r="D14" s="410">
        <f t="shared" si="0"/>
        <v>13707540.271617398</v>
      </c>
      <c r="E14" s="411">
        <f>FCD!AN14</f>
        <v>13692020.271617398</v>
      </c>
      <c r="F14" s="283">
        <f>FCD!Z14</f>
        <v>15520</v>
      </c>
      <c r="G14" s="416">
        <f>FCD!S14</f>
        <v>3627606.7322674072</v>
      </c>
    </row>
    <row r="21" spans="2:2" x14ac:dyDescent="0.3">
      <c r="B21" s="433" t="s">
        <v>382</v>
      </c>
    </row>
  </sheetData>
  <conditionalFormatting sqref="C5:C1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0DF0-7CFB-4B5B-9F11-42180814C237}">
  <dimension ref="B1:P18"/>
  <sheetViews>
    <sheetView workbookViewId="0">
      <selection activeCell="B18" sqref="B18"/>
    </sheetView>
  </sheetViews>
  <sheetFormatPr defaultRowHeight="14.4" x14ac:dyDescent="0.3"/>
  <cols>
    <col min="2" max="2" width="12.5546875" customWidth="1"/>
    <col min="3" max="3" width="14.33203125" bestFit="1" customWidth="1"/>
    <col min="4" max="4" width="13.33203125" bestFit="1" customWidth="1"/>
    <col min="5" max="6" width="9.77734375" bestFit="1" customWidth="1"/>
    <col min="7" max="7" width="14.33203125" bestFit="1" customWidth="1"/>
    <col min="8" max="8" width="15.33203125" bestFit="1" customWidth="1"/>
    <col min="9" max="10" width="14.33203125" bestFit="1" customWidth="1"/>
    <col min="11" max="12" width="9.77734375" bestFit="1" customWidth="1"/>
    <col min="13" max="13" width="47.109375" bestFit="1" customWidth="1"/>
    <col min="14" max="14" width="36.44140625" bestFit="1" customWidth="1"/>
    <col min="15" max="15" width="15.77734375" bestFit="1" customWidth="1"/>
    <col min="16" max="16" width="14.44140625" bestFit="1" customWidth="1"/>
  </cols>
  <sheetData>
    <row r="1" spans="2:16" ht="15" thickBot="1" x14ac:dyDescent="0.35">
      <c r="B1" s="28" t="s">
        <v>381</v>
      </c>
      <c r="C1" s="268"/>
      <c r="D1" s="268"/>
      <c r="E1" s="268"/>
      <c r="F1" s="268"/>
      <c r="G1" s="93"/>
      <c r="H1" s="268"/>
      <c r="I1" s="268"/>
      <c r="J1" s="268"/>
      <c r="K1" s="268"/>
      <c r="L1" s="268"/>
      <c r="M1" s="268"/>
      <c r="N1" s="417" t="s">
        <v>367</v>
      </c>
      <c r="O1" s="418" t="s">
        <v>233</v>
      </c>
      <c r="P1" s="419">
        <v>0</v>
      </c>
    </row>
    <row r="2" spans="2:16" ht="115.2" x14ac:dyDescent="0.3">
      <c r="B2" s="271" t="s">
        <v>31</v>
      </c>
      <c r="C2" s="420" t="s">
        <v>368</v>
      </c>
      <c r="D2" s="9" t="s">
        <v>369</v>
      </c>
      <c r="E2" s="9" t="s">
        <v>370</v>
      </c>
      <c r="F2" s="9" t="s">
        <v>371</v>
      </c>
      <c r="G2" s="10" t="s">
        <v>372</v>
      </c>
      <c r="H2" s="7" t="s">
        <v>373</v>
      </c>
      <c r="I2" s="421" t="s">
        <v>374</v>
      </c>
      <c r="J2" s="9" t="s">
        <v>375</v>
      </c>
      <c r="K2" s="9" t="s">
        <v>376</v>
      </c>
      <c r="L2" s="9" t="s">
        <v>377</v>
      </c>
      <c r="M2" s="10" t="s">
        <v>378</v>
      </c>
      <c r="N2" s="422" t="s">
        <v>379</v>
      </c>
      <c r="O2" s="422" t="s">
        <v>380</v>
      </c>
      <c r="P2" s="422" t="s">
        <v>384</v>
      </c>
    </row>
    <row r="3" spans="2:16" x14ac:dyDescent="0.3">
      <c r="B3" s="474">
        <f>RB!B11</f>
        <v>0</v>
      </c>
      <c r="C3" s="468">
        <f>SUM(D3:G3)</f>
        <v>30000</v>
      </c>
      <c r="D3" s="464">
        <v>0</v>
      </c>
      <c r="E3" s="464">
        <v>0</v>
      </c>
      <c r="F3" s="464">
        <v>0</v>
      </c>
      <c r="G3" s="469">
        <f>M3</f>
        <v>30000</v>
      </c>
      <c r="H3" s="468">
        <f>SUM(N3:P3)</f>
        <v>150000</v>
      </c>
      <c r="I3" s="424">
        <f>H3-SUM(J3:M3)</f>
        <v>70000</v>
      </c>
      <c r="J3" s="423">
        <f>SUMIF($N$14:$P$14,20,$N3:$P3)</f>
        <v>50000</v>
      </c>
      <c r="K3" s="423">
        <f t="shared" ref="K3:K13" si="0">SUMIF($N$14:$P$14,10,$N3:$P3)</f>
        <v>0</v>
      </c>
      <c r="L3" s="423">
        <f t="shared" ref="L3:L13" si="1">SUMIF($N$14:$P$14,5,$N3:$P3)</f>
        <v>0</v>
      </c>
      <c r="M3" s="13">
        <f t="shared" ref="M3:M13" si="2">SUMIF($N$14:$P$14,1,$N3:$P3)</f>
        <v>30000</v>
      </c>
      <c r="N3" s="425">
        <v>70000</v>
      </c>
      <c r="O3" s="426">
        <v>50000</v>
      </c>
      <c r="P3" s="425">
        <f>30000</f>
        <v>30000</v>
      </c>
    </row>
    <row r="4" spans="2:16" x14ac:dyDescent="0.3">
      <c r="B4" s="475">
        <f>RB!B12</f>
        <v>1</v>
      </c>
      <c r="C4" s="424">
        <f t="shared" ref="C4:C13" si="3">SUM(D4:G4)</f>
        <v>4000</v>
      </c>
      <c r="D4" s="89">
        <f>J3/20</f>
        <v>2500</v>
      </c>
      <c r="E4" s="89">
        <f>K3/10</f>
        <v>0</v>
      </c>
      <c r="F4" s="89">
        <f>L3/5</f>
        <v>0</v>
      </c>
      <c r="G4" s="470">
        <f t="shared" ref="G4:G13" si="4">M4</f>
        <v>1500</v>
      </c>
      <c r="H4" s="424">
        <f t="shared" ref="H4:H13" si="5">SUM(N4:P4)</f>
        <v>71500</v>
      </c>
      <c r="I4" s="424">
        <f t="shared" ref="I4:I13" si="6">H4-SUM(J4:M4)</f>
        <v>70000</v>
      </c>
      <c r="J4" s="423">
        <f t="shared" ref="J4:J13" si="7">SUMIF($N$14:$P$14,20,N4:P4)</f>
        <v>0</v>
      </c>
      <c r="K4" s="423">
        <f t="shared" si="0"/>
        <v>0</v>
      </c>
      <c r="L4" s="423">
        <f t="shared" si="1"/>
        <v>0</v>
      </c>
      <c r="M4" s="13">
        <f t="shared" si="2"/>
        <v>1500</v>
      </c>
      <c r="N4" s="427">
        <f>N3*(1+Premissas!$E$6/100)</f>
        <v>70000</v>
      </c>
      <c r="O4" s="428">
        <v>0</v>
      </c>
      <c r="P4" s="427">
        <f>$P$3*(1+Premissas!$E$6/100)*0.05</f>
        <v>1500</v>
      </c>
    </row>
    <row r="5" spans="2:16" x14ac:dyDescent="0.3">
      <c r="B5" s="475">
        <f>RB!B13</f>
        <v>2</v>
      </c>
      <c r="C5" s="424">
        <f t="shared" si="3"/>
        <v>4000</v>
      </c>
      <c r="D5" s="89">
        <f>D4*(1+Premissas!$E$6/100)</f>
        <v>2500</v>
      </c>
      <c r="E5" s="89">
        <f>E4*(1+Premissas!$E$6/100)</f>
        <v>0</v>
      </c>
      <c r="F5" s="89">
        <f>F4*(1+Premissas!$E$6/100)</f>
        <v>0</v>
      </c>
      <c r="G5" s="470">
        <f t="shared" si="4"/>
        <v>1500</v>
      </c>
      <c r="H5" s="424">
        <f t="shared" si="5"/>
        <v>71500</v>
      </c>
      <c r="I5" s="424">
        <f t="shared" si="6"/>
        <v>70000</v>
      </c>
      <c r="J5" s="423">
        <f t="shared" si="7"/>
        <v>0</v>
      </c>
      <c r="K5" s="423">
        <f t="shared" si="0"/>
        <v>0</v>
      </c>
      <c r="L5" s="423">
        <f t="shared" si="1"/>
        <v>0</v>
      </c>
      <c r="M5" s="13">
        <f t="shared" si="2"/>
        <v>1500</v>
      </c>
      <c r="N5" s="427">
        <f>N4*(1+Premissas!$E$6/100)</f>
        <v>70000</v>
      </c>
      <c r="O5" s="428">
        <v>0</v>
      </c>
      <c r="P5" s="427">
        <f>$P$3*(1+Premissas!$E$6/100)*0.05</f>
        <v>1500</v>
      </c>
    </row>
    <row r="6" spans="2:16" x14ac:dyDescent="0.3">
      <c r="B6" s="475">
        <f>RB!B14</f>
        <v>3</v>
      </c>
      <c r="C6" s="424">
        <f t="shared" si="3"/>
        <v>4000</v>
      </c>
      <c r="D6" s="89">
        <f>D5*(1+Premissas!$E$6/100)</f>
        <v>2500</v>
      </c>
      <c r="E6" s="89">
        <f>E5*(1+Premissas!$E$6/100)</f>
        <v>0</v>
      </c>
      <c r="F6" s="89">
        <f>F5*(1+Premissas!$E$6/100)</f>
        <v>0</v>
      </c>
      <c r="G6" s="470">
        <f t="shared" si="4"/>
        <v>1500</v>
      </c>
      <c r="H6" s="424">
        <f t="shared" si="5"/>
        <v>71500</v>
      </c>
      <c r="I6" s="424">
        <f t="shared" si="6"/>
        <v>70000</v>
      </c>
      <c r="J6" s="423">
        <f t="shared" si="7"/>
        <v>0</v>
      </c>
      <c r="K6" s="423">
        <f t="shared" si="0"/>
        <v>0</v>
      </c>
      <c r="L6" s="423">
        <f t="shared" si="1"/>
        <v>0</v>
      </c>
      <c r="M6" s="13">
        <f t="shared" si="2"/>
        <v>1500</v>
      </c>
      <c r="N6" s="427">
        <f>N5*(1+Premissas!$E$6/100)</f>
        <v>70000</v>
      </c>
      <c r="O6" s="428">
        <v>0</v>
      </c>
      <c r="P6" s="427">
        <f>$P$3*(1+Premissas!$E$6/100)*0.05</f>
        <v>1500</v>
      </c>
    </row>
    <row r="7" spans="2:16" x14ac:dyDescent="0.3">
      <c r="B7" s="475">
        <f>RB!B15</f>
        <v>4</v>
      </c>
      <c r="C7" s="424">
        <f t="shared" si="3"/>
        <v>4000</v>
      </c>
      <c r="D7" s="89">
        <f>D6*(1+Premissas!$E$6/100)</f>
        <v>2500</v>
      </c>
      <c r="E7" s="89">
        <f>E6*(1+Premissas!$E$6/100)</f>
        <v>0</v>
      </c>
      <c r="F7" s="89">
        <f>F6*(1+Premissas!$E$6/100)</f>
        <v>0</v>
      </c>
      <c r="G7" s="470">
        <f t="shared" si="4"/>
        <v>1500</v>
      </c>
      <c r="H7" s="424">
        <f t="shared" si="5"/>
        <v>71500</v>
      </c>
      <c r="I7" s="424">
        <f t="shared" si="6"/>
        <v>70000</v>
      </c>
      <c r="J7" s="423">
        <f t="shared" si="7"/>
        <v>0</v>
      </c>
      <c r="K7" s="423">
        <f t="shared" si="0"/>
        <v>0</v>
      </c>
      <c r="L7" s="423">
        <f t="shared" si="1"/>
        <v>0</v>
      </c>
      <c r="M7" s="13">
        <f t="shared" si="2"/>
        <v>1500</v>
      </c>
      <c r="N7" s="427">
        <f>N6*(1+Premissas!$E$6/100)</f>
        <v>70000</v>
      </c>
      <c r="O7" s="428">
        <v>0</v>
      </c>
      <c r="P7" s="427">
        <f>$P$3*(1+Premissas!$E$6/100)*0.05</f>
        <v>1500</v>
      </c>
    </row>
    <row r="8" spans="2:16" x14ac:dyDescent="0.3">
      <c r="B8" s="475">
        <f>RB!B16</f>
        <v>5</v>
      </c>
      <c r="C8" s="424">
        <f t="shared" si="3"/>
        <v>4000</v>
      </c>
      <c r="D8" s="89">
        <f>D7*(1+Premissas!$E$6/100)</f>
        <v>2500</v>
      </c>
      <c r="E8" s="89">
        <f>E7*(1+Premissas!$E$6/100)</f>
        <v>0</v>
      </c>
      <c r="F8" s="89">
        <f>F7*(1+Premissas!$E$6/100)</f>
        <v>0</v>
      </c>
      <c r="G8" s="470">
        <f t="shared" si="4"/>
        <v>1500</v>
      </c>
      <c r="H8" s="424">
        <f t="shared" si="5"/>
        <v>71500</v>
      </c>
      <c r="I8" s="424">
        <f t="shared" si="6"/>
        <v>70000</v>
      </c>
      <c r="J8" s="423">
        <f t="shared" si="7"/>
        <v>0</v>
      </c>
      <c r="K8" s="423">
        <f t="shared" si="0"/>
        <v>0</v>
      </c>
      <c r="L8" s="423">
        <f t="shared" si="1"/>
        <v>0</v>
      </c>
      <c r="M8" s="13">
        <f t="shared" si="2"/>
        <v>1500</v>
      </c>
      <c r="N8" s="427">
        <f>N7*(1+Premissas!$E$6/100)</f>
        <v>70000</v>
      </c>
      <c r="O8" s="428">
        <v>0</v>
      </c>
      <c r="P8" s="427">
        <f>$P$3*(1+Premissas!$E$6/100)*0.05</f>
        <v>1500</v>
      </c>
    </row>
    <row r="9" spans="2:16" x14ac:dyDescent="0.3">
      <c r="B9" s="475">
        <f>RB!B17</f>
        <v>6</v>
      </c>
      <c r="C9" s="424">
        <f t="shared" si="3"/>
        <v>4000</v>
      </c>
      <c r="D9" s="89">
        <f>D8*(1+Premissas!$E$6/100)</f>
        <v>2500</v>
      </c>
      <c r="E9" s="89">
        <f>E8*(1+Premissas!$E$6/100)</f>
        <v>0</v>
      </c>
      <c r="F9" s="89">
        <f>F8*(1+Premissas!$E$6/100)</f>
        <v>0</v>
      </c>
      <c r="G9" s="470">
        <f t="shared" si="4"/>
        <v>1500</v>
      </c>
      <c r="H9" s="424">
        <f t="shared" si="5"/>
        <v>71500</v>
      </c>
      <c r="I9" s="424">
        <f t="shared" si="6"/>
        <v>70000</v>
      </c>
      <c r="J9" s="423">
        <f t="shared" si="7"/>
        <v>0</v>
      </c>
      <c r="K9" s="423">
        <f t="shared" si="0"/>
        <v>0</v>
      </c>
      <c r="L9" s="423">
        <f t="shared" si="1"/>
        <v>0</v>
      </c>
      <c r="M9" s="13">
        <f t="shared" si="2"/>
        <v>1500</v>
      </c>
      <c r="N9" s="427">
        <f>N8*(1+Premissas!$E$6/100)</f>
        <v>70000</v>
      </c>
      <c r="O9" s="428">
        <v>0</v>
      </c>
      <c r="P9" s="427">
        <f>$P$3*(1+Premissas!$E$6/100)*0.05</f>
        <v>1500</v>
      </c>
    </row>
    <row r="10" spans="2:16" x14ac:dyDescent="0.3">
      <c r="B10" s="475">
        <f>RB!B18</f>
        <v>7</v>
      </c>
      <c r="C10" s="424">
        <f t="shared" si="3"/>
        <v>4000</v>
      </c>
      <c r="D10" s="89">
        <f>D9*(1+Premissas!$E$6/100)</f>
        <v>2500</v>
      </c>
      <c r="E10" s="89">
        <f>E9*(1+Premissas!$E$6/100)</f>
        <v>0</v>
      </c>
      <c r="F10" s="89">
        <f>F9*(1+Premissas!$E$6/100)</f>
        <v>0</v>
      </c>
      <c r="G10" s="470">
        <f t="shared" si="4"/>
        <v>1500</v>
      </c>
      <c r="H10" s="424">
        <f t="shared" si="5"/>
        <v>71500</v>
      </c>
      <c r="I10" s="424">
        <f t="shared" si="6"/>
        <v>70000</v>
      </c>
      <c r="J10" s="423">
        <f t="shared" si="7"/>
        <v>0</v>
      </c>
      <c r="K10" s="423">
        <f t="shared" si="0"/>
        <v>0</v>
      </c>
      <c r="L10" s="423">
        <f t="shared" si="1"/>
        <v>0</v>
      </c>
      <c r="M10" s="13">
        <f t="shared" si="2"/>
        <v>1500</v>
      </c>
      <c r="N10" s="427">
        <f>N9*(1+Premissas!$E$6/100)</f>
        <v>70000</v>
      </c>
      <c r="O10" s="428">
        <v>0</v>
      </c>
      <c r="P10" s="427">
        <f>$P$3*(1+Premissas!$E$6/100)*0.05</f>
        <v>1500</v>
      </c>
    </row>
    <row r="11" spans="2:16" x14ac:dyDescent="0.3">
      <c r="B11" s="475">
        <f>RB!B19</f>
        <v>8</v>
      </c>
      <c r="C11" s="424">
        <f t="shared" si="3"/>
        <v>4000</v>
      </c>
      <c r="D11" s="89">
        <f>D10*(1+Premissas!$E$6/100)</f>
        <v>2500</v>
      </c>
      <c r="E11" s="89">
        <f>E10*(1+Premissas!$E$6/100)</f>
        <v>0</v>
      </c>
      <c r="F11" s="89">
        <f>F10*(1+Premissas!$E$6/100)</f>
        <v>0</v>
      </c>
      <c r="G11" s="470">
        <f t="shared" si="4"/>
        <v>1500</v>
      </c>
      <c r="H11" s="424">
        <f t="shared" si="5"/>
        <v>71500</v>
      </c>
      <c r="I11" s="424">
        <f t="shared" si="6"/>
        <v>70000</v>
      </c>
      <c r="J11" s="423">
        <f t="shared" si="7"/>
        <v>0</v>
      </c>
      <c r="K11" s="423">
        <f t="shared" si="0"/>
        <v>0</v>
      </c>
      <c r="L11" s="423">
        <f t="shared" si="1"/>
        <v>0</v>
      </c>
      <c r="M11" s="13">
        <f t="shared" si="2"/>
        <v>1500</v>
      </c>
      <c r="N11" s="427">
        <f>N10*(1+Premissas!$E$6/100)</f>
        <v>70000</v>
      </c>
      <c r="O11" s="428">
        <v>0</v>
      </c>
      <c r="P11" s="427">
        <f>$P$3*(1+Premissas!$E$6/100)*0.05</f>
        <v>1500</v>
      </c>
    </row>
    <row r="12" spans="2:16" x14ac:dyDescent="0.3">
      <c r="B12" s="475">
        <f>RB!B20</f>
        <v>9</v>
      </c>
      <c r="C12" s="424">
        <f t="shared" si="3"/>
        <v>4000</v>
      </c>
      <c r="D12" s="89">
        <f>D11*(1+Premissas!$E$6/100)</f>
        <v>2500</v>
      </c>
      <c r="E12" s="89">
        <f>E11*(1+Premissas!$E$6/100)</f>
        <v>0</v>
      </c>
      <c r="F12" s="89">
        <f>F11*(1+Premissas!$E$6/100)</f>
        <v>0</v>
      </c>
      <c r="G12" s="470">
        <f t="shared" si="4"/>
        <v>1500</v>
      </c>
      <c r="H12" s="424">
        <f t="shared" si="5"/>
        <v>71500</v>
      </c>
      <c r="I12" s="424">
        <f t="shared" si="6"/>
        <v>70000</v>
      </c>
      <c r="J12" s="423">
        <f t="shared" si="7"/>
        <v>0</v>
      </c>
      <c r="K12" s="423">
        <f t="shared" si="0"/>
        <v>0</v>
      </c>
      <c r="L12" s="423">
        <f t="shared" si="1"/>
        <v>0</v>
      </c>
      <c r="M12" s="13">
        <f t="shared" si="2"/>
        <v>1500</v>
      </c>
      <c r="N12" s="427">
        <f>N11*(1+Premissas!$E$6/100)</f>
        <v>70000</v>
      </c>
      <c r="O12" s="428">
        <v>0</v>
      </c>
      <c r="P12" s="427">
        <f>$P$3*(1+Premissas!$E$6/100)*0.05</f>
        <v>1500</v>
      </c>
    </row>
    <row r="13" spans="2:16" ht="15" thickBot="1" x14ac:dyDescent="0.35">
      <c r="B13" s="476">
        <f>RB!B21</f>
        <v>10</v>
      </c>
      <c r="C13" s="471">
        <f t="shared" si="3"/>
        <v>4000</v>
      </c>
      <c r="D13" s="472">
        <f>D12*(1+Premissas!$E$6/100)</f>
        <v>2500</v>
      </c>
      <c r="E13" s="472">
        <f>E12*(1+Premissas!$E$6/100)</f>
        <v>0</v>
      </c>
      <c r="F13" s="472">
        <f>F12*(1+Premissas!$E$6/100)</f>
        <v>0</v>
      </c>
      <c r="G13" s="473">
        <f t="shared" si="4"/>
        <v>1500</v>
      </c>
      <c r="H13" s="471">
        <f t="shared" si="5"/>
        <v>71500</v>
      </c>
      <c r="I13" s="429">
        <f t="shared" si="6"/>
        <v>70000</v>
      </c>
      <c r="J13" s="17">
        <f t="shared" si="7"/>
        <v>0</v>
      </c>
      <c r="K13" s="17">
        <f t="shared" si="0"/>
        <v>0</v>
      </c>
      <c r="L13" s="17">
        <f t="shared" si="1"/>
        <v>0</v>
      </c>
      <c r="M13" s="18">
        <f t="shared" si="2"/>
        <v>1500</v>
      </c>
      <c r="N13" s="427">
        <f>N12*(1+Premissas!$E$6/100)</f>
        <v>70000</v>
      </c>
      <c r="O13" s="430">
        <v>0</v>
      </c>
      <c r="P13" s="427">
        <f>$P$3*(1+Premissas!$E$6/100)*0.05</f>
        <v>1500</v>
      </c>
    </row>
    <row r="14" spans="2:16" ht="15" thickBot="1" x14ac:dyDescent="0.35">
      <c r="B14" s="20"/>
      <c r="C14" s="3"/>
      <c r="D14" s="3"/>
      <c r="E14" s="3"/>
      <c r="F14" s="3"/>
      <c r="G14" s="3"/>
      <c r="H14" s="3"/>
      <c r="I14" s="431"/>
      <c r="J14" s="21"/>
      <c r="K14" s="21"/>
      <c r="L14" s="21"/>
      <c r="M14" s="21" t="s">
        <v>41</v>
      </c>
      <c r="N14" s="432" t="s">
        <v>233</v>
      </c>
      <c r="O14" s="432">
        <v>20</v>
      </c>
      <c r="P14" s="432">
        <v>1</v>
      </c>
    </row>
    <row r="18" spans="2:2" x14ac:dyDescent="0.3">
      <c r="B18" s="433" t="s">
        <v>382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CFEF-C5D7-483F-912B-B43C8C79F0EC}">
  <dimension ref="B1:CF22"/>
  <sheetViews>
    <sheetView workbookViewId="0">
      <selection activeCell="AM3" sqref="AM3"/>
    </sheetView>
  </sheetViews>
  <sheetFormatPr defaultRowHeight="14.4" x14ac:dyDescent="0.3"/>
  <cols>
    <col min="2" max="2" width="34.109375" bestFit="1" customWidth="1"/>
    <col min="3" max="4" width="16.44140625" bestFit="1" customWidth="1"/>
    <col min="5" max="5" width="34.6640625" bestFit="1" customWidth="1"/>
    <col min="6" max="6" width="15.44140625" bestFit="1" customWidth="1"/>
    <col min="7" max="7" width="8.77734375" bestFit="1" customWidth="1"/>
    <col min="8" max="8" width="15.44140625" bestFit="1" customWidth="1"/>
    <col min="9" max="9" width="15.109375" bestFit="1" customWidth="1"/>
    <col min="10" max="11" width="14" bestFit="1" customWidth="1"/>
    <col min="12" max="12" width="15.33203125" bestFit="1" customWidth="1"/>
    <col min="13" max="14" width="14" bestFit="1" customWidth="1"/>
    <col min="15" max="15" width="15.33203125" bestFit="1" customWidth="1"/>
    <col min="16" max="16" width="12.5546875" bestFit="1" customWidth="1"/>
    <col min="17" max="17" width="15.33203125" bestFit="1" customWidth="1"/>
    <col min="18" max="18" width="16.77734375" bestFit="1" customWidth="1"/>
    <col min="19" max="19" width="15.44140625" bestFit="1" customWidth="1"/>
    <col min="20" max="21" width="15.109375" bestFit="1" customWidth="1"/>
    <col min="22" max="22" width="9.77734375" bestFit="1" customWidth="1"/>
    <col min="23" max="23" width="12.88671875" bestFit="1" customWidth="1"/>
    <col min="24" max="24" width="9.77734375" bestFit="1" customWidth="1"/>
    <col min="25" max="25" width="14.33203125" bestFit="1" customWidth="1"/>
    <col min="26" max="27" width="12.88671875" bestFit="1" customWidth="1"/>
    <col min="28" max="29" width="15.33203125" bestFit="1" customWidth="1"/>
    <col min="30" max="30" width="16.44140625" bestFit="1" customWidth="1"/>
    <col min="31" max="31" width="17.88671875" bestFit="1" customWidth="1"/>
    <col min="32" max="32" width="9.77734375" bestFit="1" customWidth="1"/>
    <col min="33" max="33" width="14.33203125" bestFit="1" customWidth="1"/>
    <col min="34" max="35" width="16.44140625" bestFit="1" customWidth="1"/>
    <col min="36" max="38" width="16.77734375" bestFit="1" customWidth="1"/>
    <col min="39" max="39" width="15.44140625" bestFit="1" customWidth="1"/>
    <col min="40" max="41" width="16.44140625" bestFit="1" customWidth="1"/>
    <col min="42" max="42" width="13.6640625" bestFit="1" customWidth="1"/>
    <col min="43" max="44" width="17.88671875" bestFit="1" customWidth="1"/>
    <col min="45" max="45" width="16.44140625" bestFit="1" customWidth="1"/>
    <col min="46" max="46" width="17.77734375" bestFit="1" customWidth="1"/>
    <col min="47" max="47" width="16.6640625" bestFit="1" customWidth="1"/>
    <col min="48" max="48" width="16.44140625" bestFit="1" customWidth="1"/>
    <col min="49" max="49" width="12.109375" customWidth="1"/>
    <col min="50" max="50" width="7.109375" bestFit="1" customWidth="1"/>
    <col min="51" max="51" width="17.77734375" bestFit="1" customWidth="1"/>
    <col min="52" max="52" width="16.6640625" bestFit="1" customWidth="1"/>
    <col min="53" max="53" width="16.44140625" bestFit="1" customWidth="1"/>
    <col min="54" max="54" width="8.6640625" bestFit="1" customWidth="1"/>
    <col min="55" max="55" width="12" bestFit="1" customWidth="1"/>
    <col min="56" max="57" width="16.6640625" bestFit="1" customWidth="1"/>
    <col min="58" max="58" width="16.44140625" bestFit="1" customWidth="1"/>
    <col min="59" max="59" width="8.44140625" bestFit="1" customWidth="1"/>
    <col min="60" max="60" width="12" bestFit="1" customWidth="1"/>
    <col min="61" max="61" width="18.5546875" customWidth="1"/>
    <col min="62" max="62" width="16.44140625" bestFit="1" customWidth="1"/>
    <col min="63" max="63" width="8.44140625" bestFit="1" customWidth="1"/>
    <col min="64" max="64" width="18.5546875" customWidth="1"/>
    <col min="65" max="65" width="23.33203125" customWidth="1"/>
    <col min="66" max="66" width="16.44140625" bestFit="1" customWidth="1"/>
    <col min="68" max="68" width="20.109375" customWidth="1"/>
    <col min="69" max="69" width="14.77734375" bestFit="1" customWidth="1"/>
    <col min="70" max="70" width="16.44140625" bestFit="1" customWidth="1"/>
    <col min="72" max="72" width="26.5546875" customWidth="1"/>
    <col min="73" max="73" width="14.77734375" bestFit="1" customWidth="1"/>
    <col min="74" max="74" width="16.44140625" bestFit="1" customWidth="1"/>
    <col min="75" max="75" width="8.44140625" bestFit="1" customWidth="1"/>
    <col min="76" max="76" width="21.109375" customWidth="1"/>
    <col min="77" max="78" width="16.44140625" bestFit="1" customWidth="1"/>
    <col min="79" max="79" width="8.6640625" bestFit="1" customWidth="1"/>
    <col min="80" max="80" width="18.77734375" customWidth="1"/>
    <col min="81" max="81" width="16.109375" bestFit="1" customWidth="1"/>
    <col min="82" max="82" width="16.44140625" bestFit="1" customWidth="1"/>
    <col min="83" max="83" width="8.44140625" bestFit="1" customWidth="1"/>
    <col min="84" max="84" width="14.88671875" customWidth="1"/>
  </cols>
  <sheetData>
    <row r="1" spans="2:84" ht="15" thickBot="1" x14ac:dyDescent="0.35">
      <c r="B1" s="132" t="s">
        <v>113</v>
      </c>
      <c r="C1" s="133"/>
      <c r="D1" s="134">
        <f>COUNT(Tabela18183[Período])-1</f>
        <v>10</v>
      </c>
      <c r="E1" s="132" t="str">
        <f>Premissas!F7</f>
        <v>ano(s) que deve ser menor ou igual a 4</v>
      </c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5"/>
      <c r="T1" s="135"/>
      <c r="U1" s="136"/>
      <c r="V1" s="136"/>
      <c r="W1" s="136"/>
      <c r="X1" s="136"/>
      <c r="Y1" s="136"/>
      <c r="Z1" s="137"/>
      <c r="AA1" s="137"/>
      <c r="AB1" s="137"/>
      <c r="AC1" s="137"/>
      <c r="AD1" s="137"/>
      <c r="AE1" s="137"/>
      <c r="AF1" s="137"/>
      <c r="AG1" s="138"/>
      <c r="AH1" s="135"/>
      <c r="AI1" s="136"/>
      <c r="AJ1" s="136"/>
      <c r="AK1" s="139"/>
      <c r="AL1" s="140"/>
      <c r="AM1" s="141"/>
      <c r="AN1" s="135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42"/>
      <c r="CB1" s="142"/>
      <c r="CC1" s="136"/>
      <c r="CD1" s="136"/>
      <c r="CE1" s="136"/>
      <c r="CF1" s="136"/>
    </row>
    <row r="2" spans="2:84" ht="30" customHeight="1" x14ac:dyDescent="0.3">
      <c r="B2" s="143" t="s">
        <v>114</v>
      </c>
      <c r="C2" s="144" t="s">
        <v>115</v>
      </c>
      <c r="D2" s="145" t="s">
        <v>116</v>
      </c>
      <c r="E2" s="146" t="s">
        <v>117</v>
      </c>
      <c r="F2" s="147" t="s">
        <v>118</v>
      </c>
      <c r="G2" s="147" t="s">
        <v>119</v>
      </c>
      <c r="H2" s="148" t="s">
        <v>120</v>
      </c>
      <c r="I2" s="149" t="s">
        <v>121</v>
      </c>
      <c r="J2" s="146" t="s">
        <v>122</v>
      </c>
      <c r="K2" s="150" t="s">
        <v>123</v>
      </c>
      <c r="L2" s="150" t="s">
        <v>124</v>
      </c>
      <c r="M2" s="147" t="s">
        <v>125</v>
      </c>
      <c r="N2" s="147" t="s">
        <v>126</v>
      </c>
      <c r="O2" s="148" t="s">
        <v>127</v>
      </c>
      <c r="P2" s="146" t="s">
        <v>128</v>
      </c>
      <c r="Q2" s="147" t="s">
        <v>129</v>
      </c>
      <c r="R2" s="148" t="s">
        <v>130</v>
      </c>
      <c r="S2" s="151" t="s">
        <v>131</v>
      </c>
      <c r="T2" s="152" t="s">
        <v>132</v>
      </c>
      <c r="U2" s="152" t="s">
        <v>133</v>
      </c>
      <c r="V2" s="153" t="s">
        <v>134</v>
      </c>
      <c r="W2" s="154" t="s">
        <v>135</v>
      </c>
      <c r="X2" s="154" t="s">
        <v>136</v>
      </c>
      <c r="Y2" s="155" t="s">
        <v>137</v>
      </c>
      <c r="Z2" s="156" t="s">
        <v>138</v>
      </c>
      <c r="AA2" s="157" t="s">
        <v>139</v>
      </c>
      <c r="AB2" s="147" t="s">
        <v>140</v>
      </c>
      <c r="AC2" s="148" t="s">
        <v>141</v>
      </c>
      <c r="AD2" s="158" t="s">
        <v>142</v>
      </c>
      <c r="AE2" s="159" t="s">
        <v>143</v>
      </c>
      <c r="AF2" s="160" t="s">
        <v>101</v>
      </c>
      <c r="AG2" s="161" t="s">
        <v>144</v>
      </c>
      <c r="AH2" s="162" t="s">
        <v>145</v>
      </c>
      <c r="AI2" s="163" t="s">
        <v>146</v>
      </c>
      <c r="AJ2" s="146" t="s">
        <v>147</v>
      </c>
      <c r="AK2" s="147" t="s">
        <v>148</v>
      </c>
      <c r="AL2" s="147" t="s">
        <v>149</v>
      </c>
      <c r="AM2" s="148" t="s">
        <v>150</v>
      </c>
      <c r="AN2" s="164" t="s">
        <v>151</v>
      </c>
      <c r="AO2" s="164" t="s">
        <v>152</v>
      </c>
      <c r="AP2" s="165" t="s">
        <v>153</v>
      </c>
      <c r="AQ2" s="154" t="s">
        <v>154</v>
      </c>
      <c r="AR2" s="158" t="s">
        <v>155</v>
      </c>
      <c r="AS2" s="151" t="s">
        <v>156</v>
      </c>
      <c r="AT2" s="544" t="s">
        <v>280</v>
      </c>
      <c r="AU2" s="545"/>
      <c r="AV2" s="545"/>
      <c r="AW2" s="545"/>
      <c r="AX2" s="545"/>
      <c r="AY2" s="546" t="s">
        <v>281</v>
      </c>
      <c r="AZ2" s="546"/>
      <c r="BA2" s="546"/>
      <c r="BB2" s="546"/>
      <c r="BC2" s="546"/>
      <c r="BD2" s="546" t="s">
        <v>282</v>
      </c>
      <c r="BE2" s="546"/>
      <c r="BF2" s="546"/>
      <c r="BG2" s="546"/>
      <c r="BH2" s="546"/>
      <c r="BI2" s="546" t="s">
        <v>283</v>
      </c>
      <c r="BJ2" s="546"/>
      <c r="BK2" s="546"/>
      <c r="BL2" s="546"/>
      <c r="BM2" s="546" t="s">
        <v>284</v>
      </c>
      <c r="BN2" s="546"/>
      <c r="BO2" s="546"/>
      <c r="BP2" s="546"/>
      <c r="BQ2" s="546" t="s">
        <v>285</v>
      </c>
      <c r="BR2" s="546"/>
      <c r="BS2" s="546"/>
      <c r="BT2" s="546"/>
      <c r="BU2" s="546" t="s">
        <v>286</v>
      </c>
      <c r="BV2" s="546"/>
      <c r="BW2" s="546"/>
      <c r="BX2" s="546"/>
      <c r="BY2" s="546" t="s">
        <v>287</v>
      </c>
      <c r="BZ2" s="546"/>
      <c r="CA2" s="546"/>
      <c r="CB2" s="546"/>
      <c r="CC2" s="546" t="s">
        <v>288</v>
      </c>
      <c r="CD2" s="546"/>
      <c r="CE2" s="546"/>
      <c r="CF2" s="546"/>
    </row>
    <row r="3" spans="2:84" ht="115.2" x14ac:dyDescent="0.3">
      <c r="B3" s="166" t="s">
        <v>31</v>
      </c>
      <c r="C3" s="167" t="s">
        <v>157</v>
      </c>
      <c r="D3" s="168" t="s">
        <v>158</v>
      </c>
      <c r="E3" s="167" t="s">
        <v>159</v>
      </c>
      <c r="F3" s="166" t="s">
        <v>160</v>
      </c>
      <c r="G3" s="166" t="s">
        <v>161</v>
      </c>
      <c r="H3" s="169" t="s">
        <v>162</v>
      </c>
      <c r="I3" s="170" t="s">
        <v>163</v>
      </c>
      <c r="J3" s="167" t="s">
        <v>36</v>
      </c>
      <c r="K3" s="166" t="s">
        <v>164</v>
      </c>
      <c r="L3" s="166" t="s">
        <v>385</v>
      </c>
      <c r="M3" s="166" t="s">
        <v>165</v>
      </c>
      <c r="N3" s="166" t="s">
        <v>166</v>
      </c>
      <c r="O3" s="169" t="s">
        <v>167</v>
      </c>
      <c r="P3" s="167" t="s">
        <v>168</v>
      </c>
      <c r="Q3" s="166" t="s">
        <v>169</v>
      </c>
      <c r="R3" s="169" t="s">
        <v>112</v>
      </c>
      <c r="S3" s="171" t="s">
        <v>170</v>
      </c>
      <c r="T3" s="167" t="s">
        <v>171</v>
      </c>
      <c r="U3" s="167" t="s">
        <v>172</v>
      </c>
      <c r="V3" s="167" t="s">
        <v>173</v>
      </c>
      <c r="W3" s="166" t="s">
        <v>32</v>
      </c>
      <c r="X3" s="166" t="s">
        <v>174</v>
      </c>
      <c r="Y3" s="166" t="s">
        <v>175</v>
      </c>
      <c r="Z3" s="169" t="s">
        <v>176</v>
      </c>
      <c r="AA3" s="167" t="s">
        <v>177</v>
      </c>
      <c r="AB3" s="166" t="s">
        <v>178</v>
      </c>
      <c r="AC3" s="169" t="s">
        <v>179</v>
      </c>
      <c r="AD3" s="171" t="s">
        <v>394</v>
      </c>
      <c r="AE3" s="167" t="s">
        <v>180</v>
      </c>
      <c r="AF3" s="167" t="s">
        <v>181</v>
      </c>
      <c r="AG3" s="166" t="s">
        <v>182</v>
      </c>
      <c r="AH3" s="169" t="s">
        <v>183</v>
      </c>
      <c r="AI3" s="167" t="s">
        <v>184</v>
      </c>
      <c r="AJ3" s="167" t="s">
        <v>185</v>
      </c>
      <c r="AK3" s="166" t="s">
        <v>186</v>
      </c>
      <c r="AL3" s="166" t="s">
        <v>59</v>
      </c>
      <c r="AM3" s="169" t="s">
        <v>187</v>
      </c>
      <c r="AN3" s="167" t="s">
        <v>188</v>
      </c>
      <c r="AO3" s="167" t="s">
        <v>189</v>
      </c>
      <c r="AP3" s="168" t="s">
        <v>190</v>
      </c>
      <c r="AQ3" s="166" t="s">
        <v>191</v>
      </c>
      <c r="AR3" s="171" t="s">
        <v>192</v>
      </c>
      <c r="AS3" s="171" t="s">
        <v>193</v>
      </c>
      <c r="AT3" s="172" t="s">
        <v>194</v>
      </c>
      <c r="AU3" s="173" t="s">
        <v>195</v>
      </c>
      <c r="AV3" s="173" t="s">
        <v>196</v>
      </c>
      <c r="AW3" s="173" t="s">
        <v>197</v>
      </c>
      <c r="AX3" s="173" t="s">
        <v>198</v>
      </c>
      <c r="AY3" s="174" t="s">
        <v>199</v>
      </c>
      <c r="AZ3" s="173" t="s">
        <v>200</v>
      </c>
      <c r="BA3" s="173" t="s">
        <v>201</v>
      </c>
      <c r="BB3" s="173" t="s">
        <v>202</v>
      </c>
      <c r="BC3" s="175" t="s">
        <v>203</v>
      </c>
      <c r="BD3" s="173" t="s">
        <v>204</v>
      </c>
      <c r="BE3" s="173" t="s">
        <v>205</v>
      </c>
      <c r="BF3" s="173" t="s">
        <v>206</v>
      </c>
      <c r="BG3" s="173" t="s">
        <v>207</v>
      </c>
      <c r="BH3" s="173" t="s">
        <v>208</v>
      </c>
      <c r="BI3" s="172" t="s">
        <v>209</v>
      </c>
      <c r="BJ3" s="173" t="s">
        <v>210</v>
      </c>
      <c r="BK3" s="173" t="s">
        <v>211</v>
      </c>
      <c r="BL3" s="173" t="s">
        <v>212</v>
      </c>
      <c r="BM3" s="174" t="s">
        <v>213</v>
      </c>
      <c r="BN3" s="173" t="s">
        <v>214</v>
      </c>
      <c r="BO3" s="173" t="s">
        <v>215</v>
      </c>
      <c r="BP3" s="175" t="s">
        <v>216</v>
      </c>
      <c r="BQ3" s="176" t="s">
        <v>217</v>
      </c>
      <c r="BR3" s="173" t="s">
        <v>218</v>
      </c>
      <c r="BS3" s="173" t="s">
        <v>219</v>
      </c>
      <c r="BT3" s="177" t="s">
        <v>220</v>
      </c>
      <c r="BU3" s="173" t="s">
        <v>221</v>
      </c>
      <c r="BV3" s="173" t="s">
        <v>222</v>
      </c>
      <c r="BW3" s="173" t="s">
        <v>223</v>
      </c>
      <c r="BX3" s="173" t="s">
        <v>224</v>
      </c>
      <c r="BY3" s="174" t="s">
        <v>225</v>
      </c>
      <c r="BZ3" s="173" t="s">
        <v>226</v>
      </c>
      <c r="CA3" s="173" t="s">
        <v>227</v>
      </c>
      <c r="CB3" s="175" t="s">
        <v>228</v>
      </c>
      <c r="CC3" s="173" t="s">
        <v>229</v>
      </c>
      <c r="CD3" s="173" t="s">
        <v>230</v>
      </c>
      <c r="CE3" s="173" t="s">
        <v>231</v>
      </c>
      <c r="CF3" s="173" t="s">
        <v>232</v>
      </c>
    </row>
    <row r="4" spans="2:84" x14ac:dyDescent="0.3">
      <c r="B4" s="178">
        <f>RB!B11</f>
        <v>0</v>
      </c>
      <c r="C4" s="179">
        <f>RB!D11</f>
        <v>0</v>
      </c>
      <c r="D4" s="180">
        <f>Tabela18183[[#This Row],[Receita com vendas]]</f>
        <v>0</v>
      </c>
      <c r="E4" s="181">
        <f>Tabela18183[[#This Row],[Receita com vendas]]*Premissas!$E$8/100</f>
        <v>0</v>
      </c>
      <c r="F4" s="182">
        <f>Tabela18183[[#This Row],[Receita com vendas]]*Premissas!$E$9/100</f>
        <v>0</v>
      </c>
      <c r="G4" s="182">
        <f>Tabela18183[[#This Row],[Receita com vendas]]*Premissas!$E$10/100</f>
        <v>0</v>
      </c>
      <c r="H4" s="183">
        <f>SUM(Tabela18183[[#This Row],[Impostos proporcionais federais em relação a receita bruta]:[Impostos proporcionais municipais em relação a receita bruta]])</f>
        <v>0</v>
      </c>
      <c r="I4" s="184">
        <f>Tabela18183[[#This Row],[Receita bruta ou receita total]]-Tabela18183[[#This Row],[Impostos proporcionais (ISS, ICMS, IPI, PIS, CONFINS etc.) total]]</f>
        <v>0</v>
      </c>
      <c r="J4" s="185">
        <f>BC!G5</f>
        <v>57600</v>
      </c>
      <c r="K4" s="186">
        <f>Tabela18183[[#This Row],[Receita líquida]]*0.0035</f>
        <v>0</v>
      </c>
      <c r="L4" s="186">
        <f>Tabela18183[[#This Row],[Receita líquida]]*0.003</f>
        <v>0</v>
      </c>
      <c r="M4" s="186">
        <f>Tabela18183[[#This Row],[Receita líquida]]*0.001</f>
        <v>0</v>
      </c>
      <c r="N4" s="186">
        <f>BI!H3</f>
        <v>150000</v>
      </c>
      <c r="O4" s="188">
        <f>SUM(Tabela18183[[#This Row],[Investimento em bens de capital]:[Investimento em bens intangíveis]])</f>
        <v>207600</v>
      </c>
      <c r="P4" s="189">
        <f>CV!C4</f>
        <v>36288</v>
      </c>
      <c r="Q4" s="189">
        <f>CF!C4</f>
        <v>907500</v>
      </c>
      <c r="R4" s="190">
        <f>Tabela18183[[#This Row],[Custo variável]]+Tabela18183[[#This Row],[Custo fixo]]</f>
        <v>943788</v>
      </c>
      <c r="S4" s="191">
        <f>Tabela18183[[#This Row],[Investimento total]]+Tabela18183[[#This Row],[Custos operacionais]]</f>
        <v>1151388</v>
      </c>
      <c r="T4" s="192">
        <f>Tabela18183[[#This Row],[Receita líquida]]-Tabela18183[[#This Row],[Custos e investimentos]]</f>
        <v>-1151388</v>
      </c>
      <c r="U4" s="192">
        <f>Tabela18183[[#This Row],[Lucro operacional ou LAJIRDA ou EBITDA]]+Tabela18183[[#This Row],[Investimento total]]</f>
        <v>-943788</v>
      </c>
      <c r="V4" s="193">
        <v>0</v>
      </c>
      <c r="W4" s="186">
        <f>BC!C5</f>
        <v>0</v>
      </c>
      <c r="X4" s="187">
        <v>0</v>
      </c>
      <c r="Y4" s="187">
        <f>BI!C3</f>
        <v>30000</v>
      </c>
      <c r="Z4" s="194">
        <f>SUM(Tabela18183[[#This Row],[Depreciação variável]:[Depreciação de bens intangíveis]])</f>
        <v>30000</v>
      </c>
      <c r="AA4" s="195">
        <f>EP!F12</f>
        <v>0</v>
      </c>
      <c r="AB4" s="187">
        <f>Tabela18183[[#This Row],[Custos operacionais]]*Premissas!$E$13/100</f>
        <v>47189.4</v>
      </c>
      <c r="AC4" s="190">
        <f>SUM(Tabela18183[[#This Row],[Amortização dos empréstimos (pagamento do principal)]:[OD: outras despesas, por exemplo, causas trabalhistas, multas comerciais etc.]])</f>
        <v>47189.4</v>
      </c>
      <c r="AD4" s="191">
        <f>Tabela18183[[#This Row],[Lucro operacional ou LAJIRDA ou EBITDA]]-(Tabela18183[[#This Row],[Depreciações (somatório)]]+Tabela18183[[#This Row],[Somatório da amortização (principal) de empréstimos e outros dedutíveis do IR]])</f>
        <v>-1228577.3999999999</v>
      </c>
      <c r="AE4" s="187">
        <f>Tabela18183[[#This Row],[Lucro antes do juros, imposto de renda e das contribuições sociais (LAJIR)]]+Tabela18183[[#This Row],[Investimento total]]</f>
        <v>-1020977.3999999999</v>
      </c>
      <c r="AF4" s="196">
        <f>RB!C11</f>
        <v>0</v>
      </c>
      <c r="AG4" s="197">
        <f>EP!E12</f>
        <v>0</v>
      </c>
      <c r="AH4" s="198">
        <f>Tabela18183[[#This Row],[Lucro antes do juros, imposto de renda e das contribuições sociais (LAJIR)]]+Tabela18183[[#This Row],[Receitas Não Operacionais]]-Tabela18183[[#This Row],[Juros de empréstimos pagos a credores]]</f>
        <v>-1228577.3999999999</v>
      </c>
      <c r="AI4" s="199">
        <f>Tabela18183[[#This Row],[LAJIR sem investimentos]]-Tabela18183[[#This Row],[Juros de empréstimos pagos a credores]]</f>
        <v>-1020977.3999999999</v>
      </c>
      <c r="AJ4" s="200">
        <f>IF($AH4&gt;0,$AH4*Premissas!$E$14/100,0)</f>
        <v>0</v>
      </c>
      <c r="AK4" s="187">
        <f>IF($AH4&gt;0,$AH4*Premissas!$E$15/100,0)</f>
        <v>0</v>
      </c>
      <c r="AL4" s="187">
        <f>IF($AH4&gt;0,$AH4*Premissas!$E$16/100,0)</f>
        <v>0</v>
      </c>
      <c r="AM4" s="194">
        <f>SUM(Tabela18183[[#This Row],[Imposto de renda,  % sobre o LAIR]:[Outras taxas ou impostos ou tributos sobre o LAIR]])</f>
        <v>0</v>
      </c>
      <c r="AN4" s="201">
        <f>Tabela18183[[#This Row],[Lucro antes do imposto de renda e das contribuições sociais (LAIR)]]-Tabela18183[[#This Row],[Total de impostos e taxas sobre o LAIR]]</f>
        <v>-1228577.3999999999</v>
      </c>
      <c r="AO4" s="201">
        <f>Tabela18183[[#This Row],[Lucro líquido]]+Tabela18183[[#This Row],[Investimento total]]</f>
        <v>-1020977.3999999999</v>
      </c>
      <c r="AP4" s="202" t="s">
        <v>233</v>
      </c>
      <c r="AQ4" s="203">
        <f>Tabela18183[[#This Row],[Lucro líquido]]+Tabela18183[[#This Row],[Depreciações (somatório)]]</f>
        <v>-1198577.3999999999</v>
      </c>
      <c r="AR4" s="204">
        <f>Tabela18183[[#This Row],[Lucro líquido]]+Tabela18183[[#This Row],[Investimento total]]</f>
        <v>-1020977.3999999999</v>
      </c>
      <c r="AS4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1198577.3999999999</v>
      </c>
      <c r="AT4" s="206">
        <f>Tabela18183[[#This Row],[Receita com vendas]]/(1+Indicadores!$D$3)^Tabela18183[[#This Row],[Período]]</f>
        <v>0</v>
      </c>
      <c r="AU4" s="207">
        <f>Tabela18183[[#This Row],[Custo  total]]/(1+Indicadores!$D$3)^Tabela18183[[#This Row],[Período]]</f>
        <v>1198577.3999999999</v>
      </c>
      <c r="AV4" s="208">
        <f t="shared" ref="AV4" si="0">AT4-$O4</f>
        <v>-207600</v>
      </c>
      <c r="AW4" s="209" t="s">
        <v>233</v>
      </c>
      <c r="AX4" s="210" t="str">
        <f t="shared" ref="AX4:AX14" si="1">IF(AND(NOT(ISNUMBER(AW3)),ISNUMBER(AW4)),$B4-AV3/(AV4-AV3),"Não")</f>
        <v>Não</v>
      </c>
      <c r="AY4" s="211">
        <f>Tabela18183[[#This Row],[Receita com vendas]]/(1+Indicadores!$F$3)^Tabela18183[[#This Row],[Período]]</f>
        <v>0</v>
      </c>
      <c r="AZ4" s="208">
        <f>Tabela18183[[#This Row],[Custo  total]]/(1+Indicadores!$F$3)^Tabela18183[[#This Row],[Período]]</f>
        <v>1198577.3999999999</v>
      </c>
      <c r="BA4" s="208">
        <f t="shared" ref="BA4" si="2">AY4-$O4</f>
        <v>-207600</v>
      </c>
      <c r="BB4" s="209" t="s">
        <v>233</v>
      </c>
      <c r="BC4" s="210" t="str">
        <f t="shared" ref="BC4:BC14" si="3">IF(AND(NOT(ISNUMBER(BB3)),ISNUMBER(BB4)),$B4-BA3/(BA4-BA3),"Não")</f>
        <v>Não</v>
      </c>
      <c r="BD4" s="208">
        <f>Tabela18183[[#This Row],[Receita com vendas]]/(1+Indicadores!$H$3)^Tabela18183[[#This Row],[Período]]</f>
        <v>0</v>
      </c>
      <c r="BE4" s="208">
        <f>Tabela18183[[#This Row],[Custo  total]]/(1+Indicadores!$H$3)^Tabela18183[[#This Row],[Período]]</f>
        <v>1198577.3999999999</v>
      </c>
      <c r="BF4" s="208">
        <f t="shared" ref="BF4" si="4">BD4-$O4</f>
        <v>-207600</v>
      </c>
      <c r="BG4" s="209" t="s">
        <v>233</v>
      </c>
      <c r="BH4" s="210" t="str">
        <f t="shared" ref="BH4:BH14" si="5">IF(AND(NOT(ISNUMBER(BG3)),ISNUMBER(BG4)),$B4-BF3/(BF4-BF3),"Não")</f>
        <v>Não</v>
      </c>
      <c r="BI4" s="206">
        <f>Tabela18183[[#This Row],[Disponibilidade líquida]]/(1+Premissas!$K$5)^Tabela18183[[#This Row],[Período]]</f>
        <v>-1198577.3999999999</v>
      </c>
      <c r="BJ4" s="208">
        <f>BI4</f>
        <v>-1198577.3999999999</v>
      </c>
      <c r="BK4" s="212" t="s">
        <v>233</v>
      </c>
      <c r="BL4" s="210" t="str">
        <f t="shared" ref="BL4:BL14" si="6">IF(AND(NOT(ISNUMBER(BK3)),ISNUMBER(BK4)),$B4-BJ3/(BJ4-BJ3),"Não")</f>
        <v>Não</v>
      </c>
      <c r="BM4" s="211">
        <f>Tabela18183[[#This Row],[Disponibilidade líquida]]/(1+Premissas!$L$5)^Tabela18183[[#This Row],[Período]]</f>
        <v>-1198577.3999999999</v>
      </c>
      <c r="BN4" s="208">
        <f>BM4</f>
        <v>-1198577.3999999999</v>
      </c>
      <c r="BO4" s="212" t="s">
        <v>233</v>
      </c>
      <c r="BP4" s="210" t="str">
        <f t="shared" ref="BP4:BP14" si="7">IF(AND(NOT(ISNUMBER(BO3)),ISNUMBER(BO4)),$B4-BN3/(BN4-BN3),"Não")</f>
        <v>Não</v>
      </c>
      <c r="BQ4" s="213">
        <f>Tabela18183[[#This Row],[Disponibilidade líquida]]/(1+Premissas!$M$5)^Tabela18183[[#This Row],[Período]]</f>
        <v>-1198577.3999999999</v>
      </c>
      <c r="BR4" s="208">
        <f>BQ4</f>
        <v>-1198577.3999999999</v>
      </c>
      <c r="BS4" s="212" t="s">
        <v>233</v>
      </c>
      <c r="BT4" s="210" t="str">
        <f t="shared" ref="BT4:BT14" si="8">IF(AND(NOT(ISNUMBER(BS3)),ISNUMBER(BS4)),$B4-BR3/(BR4-BR3),"Não")</f>
        <v>Não</v>
      </c>
      <c r="BU4" s="209">
        <f>Tabela18183[[#This Row],[Lucro líquido]]/(1+Premissas!$K$5)^Tabela18183[[#This Row],[Período]]</f>
        <v>-1228577.3999999999</v>
      </c>
      <c r="BV4" s="208">
        <f>BU4</f>
        <v>-1228577.3999999999</v>
      </c>
      <c r="BW4" s="212" t="s">
        <v>233</v>
      </c>
      <c r="BX4" s="212" t="str">
        <f t="shared" ref="BX4:BX14" si="9">IF(AND(NOT(ISNUMBER(BW3)),ISNUMBER(BW4)),$B4-BV3/(BV4-BV3),"Não")</f>
        <v>Não</v>
      </c>
      <c r="BY4" s="211">
        <f>Tabela18183[[#This Row],[Lucro líquido]]/(1+Premissas!$L$5)^Tabela18183[[#This Row],[Período]]</f>
        <v>-1228577.3999999999</v>
      </c>
      <c r="BZ4" s="208">
        <f>BY4</f>
        <v>-1228577.3999999999</v>
      </c>
      <c r="CA4" s="212" t="s">
        <v>233</v>
      </c>
      <c r="CB4" s="210" t="str">
        <f t="shared" ref="CB4:CB14" si="10">IF(AND(NOT(ISNUMBER(CA3)),ISNUMBER(CA4)),$B4-BZ3/(BZ4-BZ3),"Não")</f>
        <v>Não</v>
      </c>
      <c r="CC4" s="208">
        <f>Tabela18183[[#This Row],[Lucro líquido]]/(1+Premissas!$M$5)^Tabela18183[[#This Row],[Período]]</f>
        <v>-1228577.3999999999</v>
      </c>
      <c r="CD4" s="208">
        <f>CC4</f>
        <v>-1228577.3999999999</v>
      </c>
      <c r="CE4" s="212" t="s">
        <v>233</v>
      </c>
      <c r="CF4" s="212" t="str">
        <f t="shared" ref="CF4:CF14" si="11">IF(AND(NOT(ISNUMBER(CE3)),ISNUMBER(CE4)),$B4-CD3/(CD4-CD3),"Não")</f>
        <v>Não</v>
      </c>
    </row>
    <row r="5" spans="2:84" x14ac:dyDescent="0.3">
      <c r="B5" s="480">
        <f>RB!B12</f>
        <v>1</v>
      </c>
      <c r="C5" s="179">
        <f>RB!D12</f>
        <v>2400000</v>
      </c>
      <c r="D5" s="180">
        <f>Tabela18183[[#This Row],[Receita com vendas]]</f>
        <v>2400000</v>
      </c>
      <c r="E5" s="214">
        <f>Tabela18183[[#This Row],[Receita com vendas]]*Premissas!$E$8/100</f>
        <v>192000</v>
      </c>
      <c r="F5" s="186">
        <f>Tabela18183[[#This Row],[Receita com vendas]]*Premissas!$E$9/100</f>
        <v>60000</v>
      </c>
      <c r="G5" s="186">
        <f>Tabela18183[[#This Row],[Receita com vendas]]*Premissas!$E$10/100</f>
        <v>0</v>
      </c>
      <c r="H5" s="215">
        <f>SUM(Tabela18183[[#This Row],[Impostos proporcionais federais em relação a receita bruta]:[Impostos proporcionais municipais em relação a receita bruta]])</f>
        <v>252000</v>
      </c>
      <c r="I5" s="184">
        <f>Tabela18183[[#This Row],[Receita bruta ou receita total]]-Tabela18183[[#This Row],[Impostos proporcionais (ISS, ICMS, IPI, PIS, CONFINS etc.) total]]</f>
        <v>2148000</v>
      </c>
      <c r="J5" s="216">
        <f>Investimento_I!C37</f>
        <v>0</v>
      </c>
      <c r="K5" s="217">
        <f>Tabela18183[[#This Row],[Receita líquida]]*0.0035</f>
        <v>7518</v>
      </c>
      <c r="L5" s="218">
        <f>Tabela18183[[#This Row],[Receita líquida]]*0.003</f>
        <v>6444</v>
      </c>
      <c r="M5" s="219">
        <f>Tabela18183[[#This Row],[Receita líquida]]*0.001</f>
        <v>2148</v>
      </c>
      <c r="N5" s="219">
        <f>BI!H4</f>
        <v>71500</v>
      </c>
      <c r="O5" s="188">
        <f>SUM(Tabela18183[[#This Row],[Investimento em bens de capital]:[Investimento em bens intangíveis]])</f>
        <v>87610</v>
      </c>
      <c r="P5" s="189">
        <f>CV!C5</f>
        <v>65318.399999999994</v>
      </c>
      <c r="Q5" s="189">
        <f>CF!C5</f>
        <v>902286</v>
      </c>
      <c r="R5" s="190">
        <f>Tabela18183[[#This Row],[Custo variável]]+Tabela18183[[#This Row],[Custo fixo]]</f>
        <v>967604.4</v>
      </c>
      <c r="S5" s="191">
        <f>Tabela18183[[#This Row],[Investimento total]]+Tabela18183[[#This Row],[Custos operacionais]]</f>
        <v>1055214.3999999999</v>
      </c>
      <c r="T5" s="192">
        <f>Tabela18183[[#This Row],[Receita líquida]]-Tabela18183[[#This Row],[Custos e investimentos]]</f>
        <v>1092785.6000000001</v>
      </c>
      <c r="U5" s="192">
        <f>Tabela18183[[#This Row],[Lucro operacional ou LAJIRDA ou EBITDA]]+Tabela18183[[#This Row],[Investimento total]]</f>
        <v>1180395.6000000001</v>
      </c>
      <c r="V5" s="193">
        <v>0</v>
      </c>
      <c r="W5" s="186">
        <f>BC!C6</f>
        <v>11520</v>
      </c>
      <c r="X5" s="187">
        <v>0</v>
      </c>
      <c r="Y5" s="187">
        <f>BI!C4</f>
        <v>4000</v>
      </c>
      <c r="Z5" s="220">
        <f>SUM(Tabela18183[[#This Row],[Depreciação variável]:[Depreciação de bens intangíveis]])</f>
        <v>15520</v>
      </c>
      <c r="AA5" s="195">
        <f>EP!F13</f>
        <v>0</v>
      </c>
      <c r="AB5" s="187">
        <f>Tabela18183[[#This Row],[Custos operacionais]]*Premissas!$E$13/100</f>
        <v>48380.22</v>
      </c>
      <c r="AC5" s="188">
        <f>SUM(Tabela18183[[#This Row],[Amortização dos empréstimos (pagamento do principal)]:[OD: outras despesas, por exemplo, causas trabalhistas, multas comerciais etc.]])</f>
        <v>48380.22</v>
      </c>
      <c r="AD5" s="221">
        <f>Tabela18183[[#This Row],[Lucro operacional ou LAJIRDA ou EBITDA]]-(Tabela18183[[#This Row],[Depreciações (somatório)]]+Tabela18183[[#This Row],[Somatório da amortização (principal) de empréstimos e outros dedutíveis do IR]])</f>
        <v>1028885.3800000001</v>
      </c>
      <c r="AE5" s="187">
        <f>Tabela18183[[#This Row],[Lucro antes do juros, imposto de renda e das contribuições sociais (LAJIR)]]+Tabela18183[[#This Row],[Investimento total]]</f>
        <v>1116495.3800000001</v>
      </c>
      <c r="AF5" s="196">
        <f>RB!C12</f>
        <v>0</v>
      </c>
      <c r="AG5" s="197">
        <f>EP!E13</f>
        <v>0</v>
      </c>
      <c r="AH5" s="198">
        <f>Tabela18183[[#This Row],[Lucro antes do juros, imposto de renda e das contribuições sociais (LAJIR)]]+Tabela18183[[#This Row],[Receitas Não Operacionais]]-Tabela18183[[#This Row],[Juros de empréstimos pagos a credores]]</f>
        <v>1028885.3800000001</v>
      </c>
      <c r="AI5" s="199">
        <f>Tabela18183[[#This Row],[LAJIR sem investimentos]]-Tabela18183[[#This Row],[Juros de empréstimos pagos a credores]]</f>
        <v>1116495.3800000001</v>
      </c>
      <c r="AJ5" s="200">
        <f>IF($AH5&gt;0,$AH5*Premissas!$E$14/100,0)</f>
        <v>102888.538</v>
      </c>
      <c r="AK5" s="187">
        <f>IF($AH5&gt;0,$AH5*Premissas!$E$15/100,0)</f>
        <v>77166.4035</v>
      </c>
      <c r="AL5" s="187">
        <f>IF($AH5&gt;0,$AH5*Premissas!$E$16/100,0)</f>
        <v>51444.269</v>
      </c>
      <c r="AM5" s="194">
        <f>SUM(Tabela18183[[#This Row],[Imposto de renda,  % sobre o LAIR]:[Outras taxas ou impostos ou tributos sobre o LAIR]])</f>
        <v>231499.21050000002</v>
      </c>
      <c r="AN5" s="201">
        <f>Tabela18183[[#This Row],[Lucro antes do imposto de renda e das contribuições sociais (LAIR)]]-Tabela18183[[#This Row],[Total de impostos e taxas sobre o LAIR]]</f>
        <v>797386.16950000008</v>
      </c>
      <c r="AO5" s="201">
        <f>Tabela18183[[#This Row],[Lucro líquido]]+Tabela18183[[#This Row],[Investimento total]]</f>
        <v>884996.16950000008</v>
      </c>
      <c r="AP5" s="222">
        <f>Tabela18183[[#This Row],[Lucro líquido]]/Tabela18183[[#This Row],[Receita com vendas]]*100</f>
        <v>33.224423729166666</v>
      </c>
      <c r="AQ5" s="203">
        <f>Tabela18183[[#This Row],[Lucro líquido]]+Tabela18183[[#This Row],[Depreciações (somatório)]]</f>
        <v>812906.16950000008</v>
      </c>
      <c r="AR5" s="204">
        <f>Tabela18183[[#This Row],[Lucro líquido]]+Tabela18183[[#This Row],[Investimento total]]</f>
        <v>884996.16950000008</v>
      </c>
      <c r="AS5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1587093.8304999999</v>
      </c>
      <c r="AT5" s="206">
        <f>Tabela18183[[#This Row],[Receita com vendas]]/(1+Indicadores!$D$3)^Tabela18183[[#This Row],[Período]]</f>
        <v>2307692.3076923075</v>
      </c>
      <c r="AU5" s="207">
        <f>Tabela18183[[#This Row],[Custo  total]]/(1+Indicadores!$D$3)^Tabela18183[[#This Row],[Período]]</f>
        <v>1526051.7600961537</v>
      </c>
      <c r="AV5" s="208">
        <f>AT5+AV4-$O5</f>
        <v>2012482.3076923075</v>
      </c>
      <c r="AW5" s="209">
        <f>IF(AV5&gt;=0,$B5-AV4/(AV5-AV4),"Não")</f>
        <v>1.0935100465783147</v>
      </c>
      <c r="AX5" s="210">
        <f t="shared" si="1"/>
        <v>1.0935100465783147</v>
      </c>
      <c r="AY5" s="211">
        <f>Tabela18183[[#This Row],[Receita com vendas]]/(1+Indicadores!$F$3)^Tabela18183[[#This Row],[Período]]</f>
        <v>2264150.9433962265</v>
      </c>
      <c r="AZ5" s="208">
        <f>Tabela18183[[#This Row],[Custo  total]]/(1+Indicadores!$F$3)^Tabela18183[[#This Row],[Período]]</f>
        <v>1497258.3306603772</v>
      </c>
      <c r="BA5" s="208">
        <f>AY5+BA4-$O5</f>
        <v>1968940.9433962265</v>
      </c>
      <c r="BB5" s="223">
        <f>IF(BA5&gt;=0,$B5-BA4/(BA5-BA4),"Não")</f>
        <v>1.0953807005698066</v>
      </c>
      <c r="BC5" s="210">
        <f t="shared" si="3"/>
        <v>1.0953807005698066</v>
      </c>
      <c r="BD5" s="208">
        <f>Tabela18183[[#This Row],[Receita com vendas]]/(1+Indicadores!$H$3)^Tabela18183[[#This Row],[Período]]</f>
        <v>2222222.222222222</v>
      </c>
      <c r="BE5" s="208">
        <f>Tabela18183[[#This Row],[Custo  total]]/(1+Indicadores!$H$3)^Tabela18183[[#This Row],[Período]]</f>
        <v>1469531.3245370369</v>
      </c>
      <c r="BF5" s="208">
        <f>BD5+BF4-$O5</f>
        <v>1927012.222222222</v>
      </c>
      <c r="BG5" s="223">
        <f>IF(BF5&gt;=0,$B5-BF4/(BF5-BF4),"Não")</f>
        <v>1.0972541981343475</v>
      </c>
      <c r="BH5" s="210">
        <f t="shared" si="5"/>
        <v>1.0972541981343475</v>
      </c>
      <c r="BI5" s="206">
        <f>Tabela18183[[#This Row],[Disponibilidade líquida]]/(1+Premissas!$K$5)^Tabela18183[[#This Row],[Período]]</f>
        <v>781640.54759615392</v>
      </c>
      <c r="BJ5" s="208">
        <f>BI5+BJ4</f>
        <v>-416936.85240384599</v>
      </c>
      <c r="BK5" s="223" t="str">
        <f>IF(BJ5&gt;=0,$B5-BJ4/(BJ5-BJ4),"Não")</f>
        <v>Não</v>
      </c>
      <c r="BL5" s="223" t="str">
        <f t="shared" si="6"/>
        <v>Não</v>
      </c>
      <c r="BM5" s="224">
        <f>Tabela18183[[#This Row],[Disponibilidade líquida]]/(1+Premissas!$L$5)^Tabela18183[[#This Row],[Período]]</f>
        <v>766892.61273584911</v>
      </c>
      <c r="BN5" s="208">
        <f>BM5+BN4</f>
        <v>-431684.7872641508</v>
      </c>
      <c r="BO5" s="223" t="str">
        <f t="shared" ref="BO5:BO14" si="12">IF(BN5&gt;=0,$B5-BN4/(BN5-BN4),"Não")</f>
        <v>Não</v>
      </c>
      <c r="BP5" s="225" t="str">
        <f t="shared" si="7"/>
        <v>Não</v>
      </c>
      <c r="BQ5" s="213">
        <f>Tabela18183[[#This Row],[Disponibilidade líquida]]/(1+Premissas!$M$5)^Tabela18183[[#This Row],[Período]]</f>
        <v>752690.89768518519</v>
      </c>
      <c r="BR5" s="208">
        <f>BQ5+BR4</f>
        <v>-445886.50231481472</v>
      </c>
      <c r="BS5" s="223" t="str">
        <f t="shared" ref="BS5:BS14" si="13">IF(BR5&gt;=0,$B5-BR4/(BR5-BR4),"Não")</f>
        <v>Não</v>
      </c>
      <c r="BT5" s="226" t="str">
        <f t="shared" si="8"/>
        <v>Não</v>
      </c>
      <c r="BU5" s="209">
        <f>Tabela18183[[#This Row],[Lucro líquido]]/(1+Premissas!$K$5)^Tabela18183[[#This Row],[Período]]</f>
        <v>766717.47067307692</v>
      </c>
      <c r="BV5" s="208">
        <f>BU5+BV4</f>
        <v>-461859.92932692298</v>
      </c>
      <c r="BW5" s="223" t="str">
        <f>IF(BV5&gt;=0,$B5-BV4/(BV5-BV4),"Não")</f>
        <v>Não</v>
      </c>
      <c r="BX5" s="223" t="str">
        <f t="shared" si="9"/>
        <v>Não</v>
      </c>
      <c r="BY5" s="211">
        <f>Tabela18183[[#This Row],[Lucro líquido]]/(1+Premissas!$L$5)^Tabela18183[[#This Row],[Período]]</f>
        <v>752251.10330188682</v>
      </c>
      <c r="BZ5" s="208">
        <f>BY5+BZ4</f>
        <v>-476326.29669811309</v>
      </c>
      <c r="CA5" s="223" t="str">
        <f t="shared" ref="CA5:CA14" si="14">IF(BZ5&gt;=0,$B5-BZ4/(BZ5-BZ4),"Não")</f>
        <v>Não</v>
      </c>
      <c r="CB5" s="225" t="str">
        <f t="shared" si="10"/>
        <v>Não</v>
      </c>
      <c r="CC5" s="208">
        <f>Tabela18183[[#This Row],[Lucro líquido]]/(1+Premissas!$M$5)^Tabela18183[[#This Row],[Período]]</f>
        <v>738320.52731481486</v>
      </c>
      <c r="CD5" s="208">
        <f>CC5+CD4</f>
        <v>-490256.87268518505</v>
      </c>
      <c r="CE5" s="223" t="str">
        <f t="shared" ref="CE5:CE14" si="15">IF(CD5&gt;=0,$B5-CD4/(CD5-CD4),"Não")</f>
        <v>Não</v>
      </c>
      <c r="CF5" s="212" t="str">
        <f t="shared" si="11"/>
        <v>Não</v>
      </c>
    </row>
    <row r="6" spans="2:84" x14ac:dyDescent="0.3">
      <c r="B6" s="480">
        <f>RB!B13</f>
        <v>2</v>
      </c>
      <c r="C6" s="179">
        <f>RB!D13</f>
        <v>4800000</v>
      </c>
      <c r="D6" s="180">
        <f>Tabela18183[[#This Row],[Receita com vendas]]</f>
        <v>4800000</v>
      </c>
      <c r="E6" s="214">
        <f>Tabela18183[[#This Row],[Receita com vendas]]*Premissas!$E$8/100</f>
        <v>384000</v>
      </c>
      <c r="F6" s="186">
        <f>Tabela18183[[#This Row],[Receita com vendas]]*Premissas!$E$9/100</f>
        <v>120000</v>
      </c>
      <c r="G6" s="186">
        <f>Tabela18183[[#This Row],[Receita com vendas]]*Premissas!$E$10/100</f>
        <v>0</v>
      </c>
      <c r="H6" s="215">
        <f>SUM(Tabela18183[[#This Row],[Impostos proporcionais federais em relação a receita bruta]:[Impostos proporcionais municipais em relação a receita bruta]])</f>
        <v>504000</v>
      </c>
      <c r="I6" s="184">
        <f>Tabela18183[[#This Row],[Receita bruta ou receita total]]-Tabela18183[[#This Row],[Impostos proporcionais (ISS, ICMS, IPI, PIS, CONFINS etc.) total]]</f>
        <v>4296000</v>
      </c>
      <c r="J6" s="216">
        <f>Investimento_I!C38</f>
        <v>0</v>
      </c>
      <c r="K6" s="217">
        <f>Tabela18183[[#This Row],[Receita líquida]]*0.0035</f>
        <v>15036</v>
      </c>
      <c r="L6" s="218">
        <f>Tabela18183[[#This Row],[Receita líquida]]*0.003</f>
        <v>12888</v>
      </c>
      <c r="M6" s="219">
        <f>Tabela18183[[#This Row],[Receita líquida]]*0.001</f>
        <v>4296</v>
      </c>
      <c r="N6" s="219">
        <f>BI!H5</f>
        <v>71500</v>
      </c>
      <c r="O6" s="188">
        <f>SUM(Tabela18183[[#This Row],[Investimento em bens de capital]:[Investimento em bens intangíveis]])</f>
        <v>103720</v>
      </c>
      <c r="P6" s="189">
        <f>CV!C6</f>
        <v>130636.79999999999</v>
      </c>
      <c r="Q6" s="189">
        <f>CF!C6</f>
        <v>1038120.2999999999</v>
      </c>
      <c r="R6" s="190">
        <f>Tabela18183[[#This Row],[Custo variável]]+Tabela18183[[#This Row],[Custo fixo]]</f>
        <v>1168757.0999999999</v>
      </c>
      <c r="S6" s="191">
        <f>Tabela18183[[#This Row],[Investimento total]]+Tabela18183[[#This Row],[Custos operacionais]]</f>
        <v>1272477.0999999999</v>
      </c>
      <c r="T6" s="192">
        <f>Tabela18183[[#This Row],[Receita líquida]]-Tabela18183[[#This Row],[Custos e investimentos]]</f>
        <v>3023522.9000000004</v>
      </c>
      <c r="U6" s="192">
        <f>Tabela18183[[#This Row],[Lucro operacional ou LAJIRDA ou EBITDA]]+Tabela18183[[#This Row],[Investimento total]]</f>
        <v>3127242.9000000004</v>
      </c>
      <c r="V6" s="193">
        <v>0</v>
      </c>
      <c r="W6" s="186">
        <f>BC!C7</f>
        <v>11520</v>
      </c>
      <c r="X6" s="187">
        <v>0</v>
      </c>
      <c r="Y6" s="187">
        <f>BI!C5</f>
        <v>4000</v>
      </c>
      <c r="Z6" s="220">
        <f>SUM(Tabela18183[[#This Row],[Depreciação variável]:[Depreciação de bens intangíveis]])</f>
        <v>15520</v>
      </c>
      <c r="AA6" s="195">
        <f>EP!F14</f>
        <v>56412.055337118218</v>
      </c>
      <c r="AB6" s="187">
        <f>Tabela18183[[#This Row],[Custos operacionais]]*Premissas!$E$13/100</f>
        <v>58437.854999999989</v>
      </c>
      <c r="AC6" s="188">
        <f>SUM(Tabela18183[[#This Row],[Amortização dos empréstimos (pagamento do principal)]:[OD: outras despesas, por exemplo, causas trabalhistas, multas comerciais etc.]])</f>
        <v>114849.9103371182</v>
      </c>
      <c r="AD6" s="221">
        <f>Tabela18183[[#This Row],[Lucro operacional ou LAJIRDA ou EBITDA]]-(Tabela18183[[#This Row],[Depreciações (somatório)]]+Tabela18183[[#This Row],[Somatório da amortização (principal) de empréstimos e outros dedutíveis do IR]])</f>
        <v>2893152.9896628819</v>
      </c>
      <c r="AE6" s="187">
        <f>Tabela18183[[#This Row],[Lucro antes do juros, imposto de renda e das contribuições sociais (LAJIR)]]+Tabela18183[[#This Row],[Investimento total]]</f>
        <v>2996872.9896628819</v>
      </c>
      <c r="AF6" s="196">
        <f>RB!C13</f>
        <v>0</v>
      </c>
      <c r="AG6" s="197">
        <f>EP!E14</f>
        <v>19080</v>
      </c>
      <c r="AH6" s="198">
        <f>Tabela18183[[#This Row],[Lucro antes do juros, imposto de renda e das contribuições sociais (LAJIR)]]+Tabela18183[[#This Row],[Receitas Não Operacionais]]-Tabela18183[[#This Row],[Juros de empréstimos pagos a credores]]</f>
        <v>2874072.9896628819</v>
      </c>
      <c r="AI6" s="199">
        <f>Tabela18183[[#This Row],[LAJIR sem investimentos]]-Tabela18183[[#This Row],[Juros de empréstimos pagos a credores]]</f>
        <v>2977792.9896628819</v>
      </c>
      <c r="AJ6" s="200">
        <f>IF($AH6&gt;0,$AH6*Premissas!$E$14/100,0)</f>
        <v>287407.29896628822</v>
      </c>
      <c r="AK6" s="187">
        <f>IF($AH6&gt;0,$AH6*Premissas!$E$15/100,0)</f>
        <v>215555.47422471613</v>
      </c>
      <c r="AL6" s="187">
        <f>IF($AH6&gt;0,$AH6*Premissas!$E$16/100,0)</f>
        <v>143703.64948314411</v>
      </c>
      <c r="AM6" s="194">
        <f>SUM(Tabela18183[[#This Row],[Imposto de renda,  % sobre o LAIR]:[Outras taxas ou impostos ou tributos sobre o LAIR]])</f>
        <v>646666.42267414846</v>
      </c>
      <c r="AN6" s="201">
        <f>Tabela18183[[#This Row],[Lucro antes do imposto de renda e das contribuições sociais (LAIR)]]-Tabela18183[[#This Row],[Total de impostos e taxas sobre o LAIR]]</f>
        <v>2227406.5669887336</v>
      </c>
      <c r="AO6" s="201">
        <f>Tabela18183[[#This Row],[Lucro líquido]]+Tabela18183[[#This Row],[Investimento total]]</f>
        <v>2331126.5669887336</v>
      </c>
      <c r="AP6" s="222">
        <f>Tabela18183[[#This Row],[Lucro líquido]]/Tabela18183[[#This Row],[Receita com vendas]]*100</f>
        <v>46.404303478931951</v>
      </c>
      <c r="AQ6" s="203">
        <f>Tabela18183[[#This Row],[Lucro líquido]]+Tabela18183[[#This Row],[Depreciações (somatório)]]</f>
        <v>2242926.5669887336</v>
      </c>
      <c r="AR6" s="204">
        <f>Tabela18183[[#This Row],[Lucro líquido]]+Tabela18183[[#This Row],[Investimento total]]</f>
        <v>2331126.5669887336</v>
      </c>
      <c r="AS6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2557073.4330112664</v>
      </c>
      <c r="AT6" s="206">
        <f>Tabela18183[[#This Row],[Receita com vendas]]/(1+Indicadores!$D$3)^Tabela18183[[#This Row],[Período]]</f>
        <v>4437869.8224852066</v>
      </c>
      <c r="AU6" s="207">
        <f>Tabela18183[[#This Row],[Custo  total]]/(1+Indicadores!$D$3)^Tabela18183[[#This Row],[Período]]</f>
        <v>2364158.1296331971</v>
      </c>
      <c r="AV6" s="208">
        <f t="shared" ref="AV6:AV14" si="16">AT6+AV5-$O6</f>
        <v>6346632.1301775146</v>
      </c>
      <c r="AW6" s="209">
        <f t="shared" ref="AW6:AW14" si="17">IF(AV6&gt;=0,$B6-AV5/(AV6-AV5),"Não")</f>
        <v>1.5356684955255313</v>
      </c>
      <c r="AX6" s="209" t="str">
        <f t="shared" si="1"/>
        <v>Não</v>
      </c>
      <c r="AY6" s="211">
        <f>Tabela18183[[#This Row],[Receita com vendas]]/(1+Indicadores!$F$3)^Tabela18183[[#This Row],[Período]]</f>
        <v>4271982.9120683512</v>
      </c>
      <c r="AZ6" s="208">
        <f>Tabela18183[[#This Row],[Custo  total]]/(1+Indicadores!$F$3)^Tabela18183[[#This Row],[Período]]</f>
        <v>2275786.2522350177</v>
      </c>
      <c r="BA6" s="208">
        <f t="shared" ref="BA6:BA14" si="18">AY6+BA5-$O6</f>
        <v>6137203.8554645777</v>
      </c>
      <c r="BB6" s="223">
        <f>IF(BA6&gt;=0,$B6-BA5/(BA6-BA5),"Não")</f>
        <v>1.5276351360429876</v>
      </c>
      <c r="BC6" s="223" t="str">
        <f t="shared" si="3"/>
        <v>Não</v>
      </c>
      <c r="BD6" s="208">
        <f>Tabela18183[[#This Row],[Receita com vendas]]/(1+Indicadores!$H$3)^Tabela18183[[#This Row],[Período]]</f>
        <v>4115226.3374485592</v>
      </c>
      <c r="BE6" s="208">
        <f>Tabela18183[[#This Row],[Custo  total]]/(1+Indicadores!$H$3)^Tabela18183[[#This Row],[Período]]</f>
        <v>2192278.3204829101</v>
      </c>
      <c r="BF6" s="208">
        <f t="shared" ref="BF6:BF14" si="19">BD6+BF5-$O6</f>
        <v>5938518.5596707817</v>
      </c>
      <c r="BG6" s="223">
        <f t="shared" ref="BG6:BG14" si="20">IF(BF6&gt;=0,$B6-BF5/(BF6-BF5),"Não")</f>
        <v>1.5196287728046167</v>
      </c>
      <c r="BH6" s="223" t="str">
        <f t="shared" si="5"/>
        <v>Não</v>
      </c>
      <c r="BI6" s="227">
        <f>Tabela18183[[#This Row],[Disponibilidade líquida]]/(1+Premissas!$K$5)^Tabela18183[[#This Row],[Período]]</f>
        <v>2073711.6928520093</v>
      </c>
      <c r="BJ6" s="208">
        <f t="shared" ref="BJ6:BJ14" si="21">BI6+BJ5</f>
        <v>1656774.8404481634</v>
      </c>
      <c r="BK6" s="223">
        <f t="shared" ref="BK6:BK14" si="22">IF(BJ6&gt;=0,$B6-BJ5/(BJ6-BJ5),"Não")</f>
        <v>2.2010582540673367</v>
      </c>
      <c r="BL6" s="223">
        <f t="shared" si="6"/>
        <v>2.2010582540673367</v>
      </c>
      <c r="BM6" s="228">
        <f>Tabela18183[[#This Row],[Disponibilidade líquida]]/(1+Premissas!$L$5)^Tabela18183[[#This Row],[Período]]</f>
        <v>1996196.6598333332</v>
      </c>
      <c r="BN6" s="208">
        <f t="shared" ref="BN6:BN14" si="23">BM6+BN5</f>
        <v>1564511.8725691824</v>
      </c>
      <c r="BO6" s="223">
        <f t="shared" si="12"/>
        <v>2.2162536367034065</v>
      </c>
      <c r="BP6" s="225">
        <f t="shared" si="7"/>
        <v>2.2162536367034065</v>
      </c>
      <c r="BQ6" s="213">
        <f>Tabela18183[[#This Row],[Disponibilidade líquida]]/(1+Premissas!$M$5)^Tabela18183[[#This Row],[Período]]</f>
        <v>1922948.0169656493</v>
      </c>
      <c r="BR6" s="208">
        <f t="shared" ref="BR6:BR14" si="24">BQ6+BR5</f>
        <v>1477061.5146508347</v>
      </c>
      <c r="BS6" s="223">
        <f t="shared" si="13"/>
        <v>2.2318765241602367</v>
      </c>
      <c r="BT6" s="226">
        <f t="shared" si="8"/>
        <v>2.2318765241602367</v>
      </c>
      <c r="BU6" s="223">
        <f>Tabela18183[[#This Row],[Lucro líquido]]/(1+Premissas!$K$5)^Tabela18183[[#This Row],[Período]]</f>
        <v>2059362.580425974</v>
      </c>
      <c r="BV6" s="208">
        <f t="shared" ref="BV6:BV14" si="25">BU6+BV5</f>
        <v>1597502.6510990509</v>
      </c>
      <c r="BW6" s="223">
        <f t="shared" ref="BW6:BW14" si="26">IF(BV6&gt;=0,$B6-BV5/(BV6-BV5),"Não")</f>
        <v>2.2242732453803198</v>
      </c>
      <c r="BX6" s="223">
        <f t="shared" si="9"/>
        <v>2.2242732453803198</v>
      </c>
      <c r="BY6" s="211">
        <f>Tabela18183[[#This Row],[Lucro líquido]]/(1+Premissas!$L$5)^Tabela18183[[#This Row],[Período]]</f>
        <v>1982383.9150843122</v>
      </c>
      <c r="BZ6" s="208">
        <f t="shared" ref="BZ6:BZ14" si="27">BY6+BZ5</f>
        <v>1506057.6183861992</v>
      </c>
      <c r="CA6" s="223">
        <f t="shared" si="14"/>
        <v>2.2402795407456959</v>
      </c>
      <c r="CB6" s="225">
        <f t="shared" si="10"/>
        <v>2.2402795407456959</v>
      </c>
      <c r="CC6" s="208">
        <f>Tabela18183[[#This Row],[Lucro líquido]]/(1+Premissas!$M$5)^Tabela18183[[#This Row],[Período]]</f>
        <v>1909642.1184745657</v>
      </c>
      <c r="CD6" s="208">
        <f t="shared" ref="CD6:CD14" si="28">CC6+CD5</f>
        <v>1419385.2457893807</v>
      </c>
      <c r="CE6" s="223">
        <f t="shared" si="15"/>
        <v>2.2567270945389524</v>
      </c>
      <c r="CF6" s="212">
        <f t="shared" si="11"/>
        <v>2.2567270945389524</v>
      </c>
    </row>
    <row r="7" spans="2:84" x14ac:dyDescent="0.3">
      <c r="B7" s="480">
        <f>RB!B14</f>
        <v>3</v>
      </c>
      <c r="C7" s="179">
        <f>RB!D14</f>
        <v>7200000</v>
      </c>
      <c r="D7" s="180">
        <f>Tabela18183[[#This Row],[Receita com vendas]]</f>
        <v>7200000</v>
      </c>
      <c r="E7" s="214">
        <f>Tabela18183[[#This Row],[Receita com vendas]]*Premissas!$E$8/100</f>
        <v>576000</v>
      </c>
      <c r="F7" s="186">
        <f>Tabela18183[[#This Row],[Receita com vendas]]*Premissas!$E$9/100</f>
        <v>180000</v>
      </c>
      <c r="G7" s="186">
        <f>Tabela18183[[#This Row],[Receita com vendas]]*Premissas!$E$10/100</f>
        <v>0</v>
      </c>
      <c r="H7" s="215">
        <f>SUM(Tabela18183[[#This Row],[Impostos proporcionais federais em relação a receita bruta]:[Impostos proporcionais municipais em relação a receita bruta]])</f>
        <v>756000</v>
      </c>
      <c r="I7" s="184">
        <f>Tabela18183[[#This Row],[Receita bruta ou receita total]]-Tabela18183[[#This Row],[Impostos proporcionais (ISS, ICMS, IPI, PIS, CONFINS etc.) total]]</f>
        <v>6444000</v>
      </c>
      <c r="J7" s="216">
        <f>Investimento_I!C39</f>
        <v>0</v>
      </c>
      <c r="K7" s="217">
        <f>Tabela18183[[#This Row],[Receita líquida]]*0.0035</f>
        <v>22554</v>
      </c>
      <c r="L7" s="218">
        <f>Tabela18183[[#This Row],[Receita líquida]]*0.003</f>
        <v>19332</v>
      </c>
      <c r="M7" s="219">
        <f>Tabela18183[[#This Row],[Receita líquida]]*0.001</f>
        <v>6444</v>
      </c>
      <c r="N7" s="219">
        <f>BI!H6</f>
        <v>71500</v>
      </c>
      <c r="O7" s="188">
        <f>SUM(Tabela18183[[#This Row],[Investimento em bens de capital]:[Investimento em bens intangíveis]])</f>
        <v>119830</v>
      </c>
      <c r="P7" s="189">
        <f>CV!C7</f>
        <v>195955.20000000004</v>
      </c>
      <c r="Q7" s="189">
        <f>CF!C7</f>
        <v>1146704.706</v>
      </c>
      <c r="R7" s="190">
        <f>Tabela18183[[#This Row],[Custo variável]]+Tabela18183[[#This Row],[Custo fixo]]</f>
        <v>1342659.906</v>
      </c>
      <c r="S7" s="191">
        <f>Tabela18183[[#This Row],[Investimento total]]+Tabela18183[[#This Row],[Custos operacionais]]</f>
        <v>1462489.906</v>
      </c>
      <c r="T7" s="192">
        <f>Tabela18183[[#This Row],[Receita líquida]]-Tabela18183[[#This Row],[Custos e investimentos]]</f>
        <v>4981510.0940000005</v>
      </c>
      <c r="U7" s="192">
        <f>Tabela18183[[#This Row],[Lucro operacional ou LAJIRDA ou EBITDA]]+Tabela18183[[#This Row],[Investimento total]]</f>
        <v>5101340.0940000005</v>
      </c>
      <c r="V7" s="193">
        <v>0</v>
      </c>
      <c r="W7" s="186">
        <f>BC!C8</f>
        <v>11520</v>
      </c>
      <c r="X7" s="187">
        <v>0</v>
      </c>
      <c r="Y7" s="187">
        <f>BI!C6</f>
        <v>4000</v>
      </c>
      <c r="Z7" s="220">
        <f>SUM(Tabela18183[[#This Row],[Depreciação variável]:[Depreciação de bens intangíveis]])</f>
        <v>15520</v>
      </c>
      <c r="AA7" s="195">
        <f>EP!F15</f>
        <v>59796.778937118215</v>
      </c>
      <c r="AB7" s="187">
        <f>Tabela18183[[#This Row],[Custos operacionais]]*Premissas!$E$13/100</f>
        <v>67132.995299999995</v>
      </c>
      <c r="AC7" s="188">
        <f>SUM(Tabela18183[[#This Row],[Amortização dos empréstimos (pagamento do principal)]:[OD: outras despesas, por exemplo, causas trabalhistas, multas comerciais etc.]])</f>
        <v>126929.77423711821</v>
      </c>
      <c r="AD7" s="221">
        <f>Tabela18183[[#This Row],[Lucro operacional ou LAJIRDA ou EBITDA]]-(Tabela18183[[#This Row],[Depreciações (somatório)]]+Tabela18183[[#This Row],[Somatório da amortização (principal) de empréstimos e outros dedutíveis do IR]])</f>
        <v>4839060.3197628818</v>
      </c>
      <c r="AE7" s="187">
        <f>Tabela18183[[#This Row],[Lucro antes do juros, imposto de renda e das contribuições sociais (LAJIR)]]+Tabela18183[[#This Row],[Investimento total]]</f>
        <v>4958890.3197628818</v>
      </c>
      <c r="AF7" s="196">
        <f>RB!C14</f>
        <v>0</v>
      </c>
      <c r="AG7" s="197">
        <f>EP!E15</f>
        <v>15695.276399999999</v>
      </c>
      <c r="AH7" s="198">
        <f>Tabela18183[[#This Row],[Lucro antes do juros, imposto de renda e das contribuições sociais (LAJIR)]]+Tabela18183[[#This Row],[Receitas Não Operacionais]]-Tabela18183[[#This Row],[Juros de empréstimos pagos a credores]]</f>
        <v>4823365.043362882</v>
      </c>
      <c r="AI7" s="199">
        <f>Tabela18183[[#This Row],[LAJIR sem investimentos]]-Tabela18183[[#This Row],[Juros de empréstimos pagos a credores]]</f>
        <v>4943195.043362882</v>
      </c>
      <c r="AJ7" s="200">
        <f>IF($AH7&gt;0,$AH7*Premissas!$E$14/100,0)</f>
        <v>482336.5043362882</v>
      </c>
      <c r="AK7" s="187">
        <f>IF($AH7&gt;0,$AH7*Premissas!$E$15/100,0)</f>
        <v>361752.37825221615</v>
      </c>
      <c r="AL7" s="187">
        <f>IF($AH7&gt;0,$AH7*Premissas!$E$16/100,0)</f>
        <v>241168.2521681441</v>
      </c>
      <c r="AM7" s="194">
        <f>SUM(Tabela18183[[#This Row],[Imposto de renda,  % sobre o LAIR]:[Outras taxas ou impostos ou tributos sobre o LAIR]])</f>
        <v>1085257.1347566484</v>
      </c>
      <c r="AN7" s="201">
        <f>Tabela18183[[#This Row],[Lucro antes do imposto de renda e das contribuições sociais (LAIR)]]-Tabela18183[[#This Row],[Total de impostos e taxas sobre o LAIR]]</f>
        <v>3738107.9086062335</v>
      </c>
      <c r="AO7" s="201">
        <f>Tabela18183[[#This Row],[Lucro líquido]]+Tabela18183[[#This Row],[Investimento total]]</f>
        <v>3857937.9086062335</v>
      </c>
      <c r="AP7" s="222">
        <f>Tabela18183[[#This Row],[Lucro líquido]]/Tabela18183[[#This Row],[Receita com vendas]]*100</f>
        <v>51.918165397308805</v>
      </c>
      <c r="AQ7" s="203">
        <f>Tabela18183[[#This Row],[Lucro líquido]]+Tabela18183[[#This Row],[Depreciações (somatório)]]</f>
        <v>3753627.9086062335</v>
      </c>
      <c r="AR7" s="204">
        <f>Tabela18183[[#This Row],[Lucro líquido]]+Tabela18183[[#This Row],[Investimento total]]</f>
        <v>3857937.9086062335</v>
      </c>
      <c r="AS7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3446372.0913937665</v>
      </c>
      <c r="AT7" s="206">
        <f>Tabela18183[[#This Row],[Receita com vendas]]/(1+Indicadores!$D$3)^Tabela18183[[#This Row],[Período]]</f>
        <v>6400773.7824305864</v>
      </c>
      <c r="AU7" s="207">
        <f>Tabela18183[[#This Row],[Custo  total]]/(1+Indicadores!$D$3)^Tabela18183[[#This Row],[Período]]</f>
        <v>3063812.2398741236</v>
      </c>
      <c r="AV7" s="208">
        <f t="shared" si="16"/>
        <v>12627575.912608102</v>
      </c>
      <c r="AW7" s="209">
        <f t="shared" si="17"/>
        <v>1.9895416437366189</v>
      </c>
      <c r="AX7" s="210" t="str">
        <f t="shared" si="1"/>
        <v>Não</v>
      </c>
      <c r="AY7" s="211">
        <f>Tabela18183[[#This Row],[Receita com vendas]]/(1+Indicadores!$F$3)^Tabela18183[[#This Row],[Período]]</f>
        <v>6045258.8378325719</v>
      </c>
      <c r="AZ7" s="208">
        <f>Tabela18183[[#This Row],[Custo  total]]/(1+Indicadores!$F$3)^Tabela18183[[#This Row],[Período]]</f>
        <v>2893640.4644385679</v>
      </c>
      <c r="BA7" s="208">
        <f t="shared" si="18"/>
        <v>12062632.69329715</v>
      </c>
      <c r="BB7" s="223">
        <f t="shared" ref="BB7:BB14" si="29">IF(BA7&gt;=0,$B7-BA6/(BA7-BA6),"Não")</f>
        <v>1.9642599677714685</v>
      </c>
      <c r="BC7" s="210" t="str">
        <f t="shared" si="3"/>
        <v>Não</v>
      </c>
      <c r="BD7" s="208">
        <f>Tabela18183[[#This Row],[Receita com vendas]]/(1+Indicadores!$H$3)^Tabela18183[[#This Row],[Período]]</f>
        <v>5715592.1353452206</v>
      </c>
      <c r="BE7" s="208">
        <f>Tabela18183[[#This Row],[Custo  total]]/(1+Indicadores!$H$3)^Tabela18183[[#This Row],[Período]]</f>
        <v>2735841.2807004824</v>
      </c>
      <c r="BF7" s="208">
        <f t="shared" si="19"/>
        <v>11534280.695016002</v>
      </c>
      <c r="BG7" s="223">
        <f t="shared" si="20"/>
        <v>1.9387471418485491</v>
      </c>
      <c r="BH7" s="210" t="str">
        <f t="shared" si="5"/>
        <v>Não</v>
      </c>
      <c r="BI7" s="227">
        <f>Tabela18183[[#This Row],[Disponibilidade líquida]]/(1+Premissas!$K$5)^Tabela18183[[#This Row],[Período]]</f>
        <v>3336961.5425564633</v>
      </c>
      <c r="BJ7" s="208">
        <f t="shared" si="21"/>
        <v>4993736.3830046263</v>
      </c>
      <c r="BK7" s="223">
        <f t="shared" si="22"/>
        <v>2.5035079609641233</v>
      </c>
      <c r="BL7" s="223" t="str">
        <f t="shared" si="6"/>
        <v>Não</v>
      </c>
      <c r="BM7" s="228">
        <f>Tabela18183[[#This Row],[Disponibilidade líquida]]/(1+Premissas!$L$5)^Tabela18183[[#This Row],[Período]]</f>
        <v>3151618.3733940036</v>
      </c>
      <c r="BN7" s="208">
        <f t="shared" si="23"/>
        <v>4716130.245963186</v>
      </c>
      <c r="BO7" s="223">
        <f t="shared" si="12"/>
        <v>2.5035846072681869</v>
      </c>
      <c r="BP7" s="225" t="str">
        <f t="shared" si="7"/>
        <v>Não</v>
      </c>
      <c r="BQ7" s="213">
        <f>Tabela18183[[#This Row],[Disponibilidade líquida]]/(1+Premissas!$M$5)^Tabela18183[[#This Row],[Período]]</f>
        <v>2979750.8546447386</v>
      </c>
      <c r="BR7" s="208">
        <f t="shared" si="24"/>
        <v>4456812.3692955729</v>
      </c>
      <c r="BS7" s="223">
        <f t="shared" si="13"/>
        <v>2.5043003302277977</v>
      </c>
      <c r="BT7" s="226" t="str">
        <f t="shared" si="8"/>
        <v>Não</v>
      </c>
      <c r="BU7" s="223">
        <f>Tabela18183[[#This Row],[Lucro líquido]]/(1+Premissas!$K$5)^Tabela18183[[#This Row],[Período]]</f>
        <v>3323164.3190698903</v>
      </c>
      <c r="BV7" s="208">
        <f t="shared" si="25"/>
        <v>4920666.9701689407</v>
      </c>
      <c r="BW7" s="223">
        <f t="shared" si="26"/>
        <v>2.5192826782799078</v>
      </c>
      <c r="BX7" s="223" t="str">
        <f t="shared" si="9"/>
        <v>Não</v>
      </c>
      <c r="BY7" s="211">
        <f>Tabela18183[[#This Row],[Lucro líquido]]/(1+Premissas!$L$5)^Tabela18183[[#This Row],[Período]]</f>
        <v>3138587.4821213423</v>
      </c>
      <c r="BZ7" s="208">
        <f t="shared" si="27"/>
        <v>4644645.1005075416</v>
      </c>
      <c r="CA7" s="223">
        <f t="shared" si="14"/>
        <v>2.5201479560581599</v>
      </c>
      <c r="CB7" s="225" t="str">
        <f t="shared" si="10"/>
        <v>Não</v>
      </c>
      <c r="CC7" s="208">
        <f>Tabela18183[[#This Row],[Lucro líquido]]/(1+Premissas!$M$5)^Tabela18183[[#This Row],[Período]]</f>
        <v>2967430.5782641056</v>
      </c>
      <c r="CD7" s="208">
        <f t="shared" si="28"/>
        <v>4386815.8240534868</v>
      </c>
      <c r="CE7" s="223">
        <f t="shared" si="15"/>
        <v>2.5216787020440776</v>
      </c>
      <c r="CF7" s="223" t="str">
        <f t="shared" si="11"/>
        <v>Não</v>
      </c>
    </row>
    <row r="8" spans="2:84" x14ac:dyDescent="0.3">
      <c r="B8" s="480">
        <f>RB!B15</f>
        <v>4</v>
      </c>
      <c r="C8" s="179">
        <f>RB!D15</f>
        <v>9600000</v>
      </c>
      <c r="D8" s="180">
        <f>Tabela18183[[#This Row],[Receita com vendas]]</f>
        <v>9600000</v>
      </c>
      <c r="E8" s="214">
        <f>Tabela18183[[#This Row],[Receita com vendas]]*Premissas!$E$8/100</f>
        <v>768000</v>
      </c>
      <c r="F8" s="186">
        <f>Tabela18183[[#This Row],[Receita com vendas]]*Premissas!$E$9/100</f>
        <v>240000</v>
      </c>
      <c r="G8" s="186">
        <f>Tabela18183[[#This Row],[Receita com vendas]]*Premissas!$E$10/100</f>
        <v>0</v>
      </c>
      <c r="H8" s="215">
        <f>SUM(Tabela18183[[#This Row],[Impostos proporcionais federais em relação a receita bruta]:[Impostos proporcionais municipais em relação a receita bruta]])</f>
        <v>1008000</v>
      </c>
      <c r="I8" s="184">
        <f>Tabela18183[[#This Row],[Receita bruta ou receita total]]-Tabela18183[[#This Row],[Impostos proporcionais (ISS, ICMS, IPI, PIS, CONFINS etc.) total]]</f>
        <v>8592000</v>
      </c>
      <c r="J8" s="216">
        <f>Investimento_I!C40</f>
        <v>0</v>
      </c>
      <c r="K8" s="217">
        <f>Tabela18183[[#This Row],[Receita líquida]]*0.0035</f>
        <v>30072</v>
      </c>
      <c r="L8" s="218">
        <f>Tabela18183[[#This Row],[Receita líquida]]*0.003</f>
        <v>25776</v>
      </c>
      <c r="M8" s="219">
        <f>Tabela18183[[#This Row],[Receita líquida]]*0.001</f>
        <v>8592</v>
      </c>
      <c r="N8" s="219">
        <f>BI!H7</f>
        <v>71500</v>
      </c>
      <c r="O8" s="188">
        <f>SUM(Tabela18183[[#This Row],[Investimento em bens de capital]:[Investimento em bens intangíveis]])</f>
        <v>135940</v>
      </c>
      <c r="P8" s="189">
        <f>CV!C8</f>
        <v>261273.59999999998</v>
      </c>
      <c r="Q8" s="189">
        <f>CF!C8</f>
        <v>1225437.6002400001</v>
      </c>
      <c r="R8" s="190">
        <f>Tabela18183[[#This Row],[Custo variável]]+Tabela18183[[#This Row],[Custo fixo]]</f>
        <v>1486711.2002400002</v>
      </c>
      <c r="S8" s="191">
        <f>Tabela18183[[#This Row],[Investimento total]]+Tabela18183[[#This Row],[Custos operacionais]]</f>
        <v>1622651.2002400002</v>
      </c>
      <c r="T8" s="192">
        <f>Tabela18183[[#This Row],[Receita líquida]]-Tabela18183[[#This Row],[Custos e investimentos]]</f>
        <v>6969348.7997599998</v>
      </c>
      <c r="U8" s="192">
        <f>Tabela18183[[#This Row],[Lucro operacional ou LAJIRDA ou EBITDA]]+Tabela18183[[#This Row],[Investimento total]]</f>
        <v>7105288.7997599998</v>
      </c>
      <c r="V8" s="193">
        <v>0</v>
      </c>
      <c r="W8" s="186">
        <f>BC!C9</f>
        <v>11520</v>
      </c>
      <c r="X8" s="187">
        <v>0</v>
      </c>
      <c r="Y8" s="187">
        <f>BI!C7</f>
        <v>4000</v>
      </c>
      <c r="Z8" s="220">
        <f>SUM(Tabela18183[[#This Row],[Depreciação variável]:[Depreciação de bens intangíveis]])</f>
        <v>15520</v>
      </c>
      <c r="AA8" s="195">
        <f>EP!F16</f>
        <v>63384.585737118221</v>
      </c>
      <c r="AB8" s="187">
        <f>Tabela18183[[#This Row],[Custos operacionais]]*Premissas!$E$13/100</f>
        <v>74335.560012000002</v>
      </c>
      <c r="AC8" s="188">
        <f>SUM(Tabela18183[[#This Row],[Amortização dos empréstimos (pagamento do principal)]:[OD: outras despesas, por exemplo, causas trabalhistas, multas comerciais etc.]])</f>
        <v>137720.14574911824</v>
      </c>
      <c r="AD8" s="221">
        <f>Tabela18183[[#This Row],[Lucro operacional ou LAJIRDA ou EBITDA]]-(Tabela18183[[#This Row],[Depreciações (somatório)]]+Tabela18183[[#This Row],[Somatório da amortização (principal) de empréstimos e outros dedutíveis do IR]])</f>
        <v>6816108.6540108817</v>
      </c>
      <c r="AE8" s="187">
        <f>Tabela18183[[#This Row],[Lucro antes do juros, imposto de renda e das contribuições sociais (LAJIR)]]+Tabela18183[[#This Row],[Investimento total]]</f>
        <v>6952048.6540108817</v>
      </c>
      <c r="AF8" s="196">
        <f>RB!C15</f>
        <v>0</v>
      </c>
      <c r="AG8" s="197">
        <f>EP!E16</f>
        <v>12107.4696</v>
      </c>
      <c r="AH8" s="198">
        <f>Tabela18183[[#This Row],[Lucro antes do juros, imposto de renda e das contribuições sociais (LAJIR)]]+Tabela18183[[#This Row],[Receitas Não Operacionais]]-Tabela18183[[#This Row],[Juros de empréstimos pagos a credores]]</f>
        <v>6804001.1844108813</v>
      </c>
      <c r="AI8" s="199">
        <f>Tabela18183[[#This Row],[LAJIR sem investimentos]]-Tabela18183[[#This Row],[Juros de empréstimos pagos a credores]]</f>
        <v>6939941.1844108813</v>
      </c>
      <c r="AJ8" s="200">
        <f>IF($AH8&gt;0,$AH8*Premissas!$E$14/100,0)</f>
        <v>680400.11844108824</v>
      </c>
      <c r="AK8" s="187">
        <f>IF($AH8&gt;0,$AH8*Premissas!$E$15/100,0)</f>
        <v>510300.08883081609</v>
      </c>
      <c r="AL8" s="187">
        <f>IF($AH8&gt;0,$AH8*Premissas!$E$16/100,0)</f>
        <v>340200.05922054412</v>
      </c>
      <c r="AM8" s="194">
        <f>SUM(Tabela18183[[#This Row],[Imposto de renda,  % sobre o LAIR]:[Outras taxas ou impostos ou tributos sobre o LAIR]])</f>
        <v>1530900.2664924483</v>
      </c>
      <c r="AN8" s="201">
        <f>Tabela18183[[#This Row],[Lucro antes do imposto de renda e das contribuições sociais (LAIR)]]-Tabela18183[[#This Row],[Total de impostos e taxas sobre o LAIR]]</f>
        <v>5273100.9179184325</v>
      </c>
      <c r="AO8" s="201">
        <f>Tabela18183[[#This Row],[Lucro líquido]]+Tabela18183[[#This Row],[Investimento total]]</f>
        <v>5409040.9179184325</v>
      </c>
      <c r="AP8" s="222">
        <f>Tabela18183[[#This Row],[Lucro líquido]]/Tabela18183[[#This Row],[Receita com vendas]]*100</f>
        <v>54.928134561650346</v>
      </c>
      <c r="AQ8" s="203">
        <f>Tabela18183[[#This Row],[Lucro líquido]]+Tabela18183[[#This Row],[Depreciações (somatório)]]</f>
        <v>5288620.9179184325</v>
      </c>
      <c r="AR8" s="204">
        <f>Tabela18183[[#This Row],[Lucro líquido]]+Tabela18183[[#This Row],[Investimento total]]</f>
        <v>5409040.9179184325</v>
      </c>
      <c r="AS8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4311379.0820815666</v>
      </c>
      <c r="AT8" s="206">
        <f>Tabela18183[[#This Row],[Receita com vendas]]/(1+Indicadores!$D$3)^Tabela18183[[#This Row],[Período]]</f>
        <v>8206120.2338853665</v>
      </c>
      <c r="AU8" s="207">
        <f>Tabela18183[[#This Row],[Custo  total]]/(1+Indicadores!$D$3)^Tabela18183[[#This Row],[Período]]</f>
        <v>3685384.9084812147</v>
      </c>
      <c r="AV8" s="208">
        <f>AT8-$O8</f>
        <v>8070180.2338853665</v>
      </c>
      <c r="AW8" s="209">
        <f>IF(AV8&gt;=0,B8-AV7/(AV8-AV7),"Não")</f>
        <v>6.7707877048207346</v>
      </c>
      <c r="AX8" s="210" t="str">
        <f>IF(AND(NOT(ISNUMBER(AW7)),ISNUMBER(AW8)),$B8-AV7/(AV8-AV7),"Não")</f>
        <v>Não</v>
      </c>
      <c r="AY8" s="211">
        <f>Tabela18183[[#This Row],[Receita com vendas]]/(1+Indicadores!$F$3)^Tabela18183[[#This Row],[Período]]</f>
        <v>7604099.1670849957</v>
      </c>
      <c r="AZ8" s="208">
        <f>Tabela18183[[#This Row],[Custo  total]]/(1+Indicadores!$F$3)^Tabela18183[[#This Row],[Período]]</f>
        <v>3415016.0507337619</v>
      </c>
      <c r="BA8" s="208">
        <f t="shared" si="18"/>
        <v>19530791.860382147</v>
      </c>
      <c r="BB8" s="223">
        <f t="shared" si="29"/>
        <v>2.3847916972014023</v>
      </c>
      <c r="BC8" s="210" t="str">
        <f>IF(AND(NOT(ISNUMBER(BB7)),ISNUMBER(BB8)),$B8-BA7/(BA8-BA7),"Não")</f>
        <v>Não</v>
      </c>
      <c r="BD8" s="208">
        <f>Tabela18183[[#This Row],[Receita com vendas]]/(1+Indicadores!$H$3)^Tabela18183[[#This Row],[Período]]</f>
        <v>7056286.5868459512</v>
      </c>
      <c r="BE8" s="208">
        <f>Tabela18183[[#This Row],[Custo  total]]/(1+Indicadores!$H$3)^Tabela18183[[#This Row],[Período]]</f>
        <v>3168992.3320521214</v>
      </c>
      <c r="BF8" s="208">
        <f t="shared" si="19"/>
        <v>18454627.281861953</v>
      </c>
      <c r="BG8" s="223">
        <f t="shared" si="20"/>
        <v>2.3332799087057117</v>
      </c>
      <c r="BH8" s="210" t="str">
        <f>IF(AND(NOT(ISNUMBER(BG7)),ISNUMBER(BG8)),$B8-BF7/(BF8-BF7),"Não")</f>
        <v>Não</v>
      </c>
      <c r="BI8" s="227">
        <f>Tabela18183[[#This Row],[Disponibilidade líquida]]/(1+Premissas!$K$5)^Tabela18183[[#This Row],[Período]]</f>
        <v>4520735.3254041513</v>
      </c>
      <c r="BJ8" s="208">
        <f t="shared" si="21"/>
        <v>9514471.7084087767</v>
      </c>
      <c r="BK8" s="223">
        <f t="shared" si="22"/>
        <v>2.8953707696749111</v>
      </c>
      <c r="BL8" s="223" t="str">
        <f>IF(AND(NOT(ISNUMBER(BK7)),ISNUMBER(BK8)),$B8-BJ7/(BJ8-BJ7),"Não")</f>
        <v>Não</v>
      </c>
      <c r="BM8" s="228">
        <f>Tabela18183[[#This Row],[Disponibilidade líquida]]/(1+Premissas!$L$5)^Tabela18183[[#This Row],[Período]]</f>
        <v>4189083.1163512333</v>
      </c>
      <c r="BN8" s="208">
        <f t="shared" si="23"/>
        <v>8905213.3623144198</v>
      </c>
      <c r="BO8" s="223">
        <f t="shared" si="12"/>
        <v>2.8741855640068987</v>
      </c>
      <c r="BP8" s="225" t="str">
        <f>IF(AND(NOT(ISNUMBER(BO7)),ISNUMBER(BO8)),$B8-BN7/(BN8-BN7),"Não")</f>
        <v>Não</v>
      </c>
      <c r="BQ8" s="213">
        <f>Tabela18183[[#This Row],[Disponibilidade líquida]]/(1+Premissas!$M$5)^Tabela18183[[#This Row],[Período]]</f>
        <v>3887294.2547938288</v>
      </c>
      <c r="BR8" s="208">
        <f t="shared" si="24"/>
        <v>8344106.6240894012</v>
      </c>
      <c r="BS8" s="223">
        <f t="shared" si="13"/>
        <v>2.8534924095855589</v>
      </c>
      <c r="BT8" s="226" t="str">
        <f>IF(AND(NOT(ISNUMBER(BS7)),ISNUMBER(BS8)),$B8-BR7/(BR8-BR7),"Não")</f>
        <v>Não</v>
      </c>
      <c r="BU8" s="223">
        <f>Tabela18183[[#This Row],[Lucro líquido]]/(1+Premissas!$K$5)^Tabela18183[[#This Row],[Período]]</f>
        <v>4507468.7643593699</v>
      </c>
      <c r="BV8" s="208">
        <f t="shared" si="25"/>
        <v>9428135.7345283106</v>
      </c>
      <c r="BW8" s="223">
        <f t="shared" si="26"/>
        <v>2.9083303229793325</v>
      </c>
      <c r="BX8" s="223" t="str">
        <f>IF(AND(NOT(ISNUMBER(BW7)),ISNUMBER(BW8)),$B8-BV7/(BV8-BV7),"Não")</f>
        <v>Não</v>
      </c>
      <c r="BY8" s="211">
        <f>Tabela18183[[#This Row],[Lucro líquido]]/(1+Premissas!$L$5)^Tabela18183[[#This Row],[Período]]</f>
        <v>4176789.8226977792</v>
      </c>
      <c r="BZ8" s="208">
        <f t="shared" si="27"/>
        <v>8821434.9232053198</v>
      </c>
      <c r="CA8" s="223">
        <f t="shared" si="14"/>
        <v>2.8879868756461446</v>
      </c>
      <c r="CB8" s="225" t="str">
        <f>IF(AND(NOT(ISNUMBER(CA7)),ISNUMBER(CA8)),$B8-BZ7/(BZ8-BZ7),"Não")</f>
        <v>Não</v>
      </c>
      <c r="CC8" s="208">
        <f>Tabela18183[[#This Row],[Lucro líquido]]/(1+Premissas!$M$5)^Tabela18183[[#This Row],[Período]]</f>
        <v>3875886.5914784279</v>
      </c>
      <c r="CD8" s="208">
        <f t="shared" si="28"/>
        <v>8262702.4155319147</v>
      </c>
      <c r="CE8" s="223">
        <f t="shared" si="15"/>
        <v>2.868177455527622</v>
      </c>
      <c r="CF8" s="223" t="str">
        <f>IF(AND(NOT(ISNUMBER(CE7)),ISNUMBER(CE8)),$B8-CD7/(CD8-CD7),"Não")</f>
        <v>Não</v>
      </c>
    </row>
    <row r="9" spans="2:84" x14ac:dyDescent="0.3">
      <c r="B9" s="178">
        <f>RB!B16</f>
        <v>5</v>
      </c>
      <c r="C9" s="179">
        <f>RB!D16</f>
        <v>12000000</v>
      </c>
      <c r="D9" s="180">
        <f>Tabela18183[[#This Row],[Receita com vendas]]</f>
        <v>12000000</v>
      </c>
      <c r="E9" s="214">
        <f>Tabela18183[[#This Row],[Receita com vendas]]*Premissas!$E$8/100</f>
        <v>960000</v>
      </c>
      <c r="F9" s="186">
        <f>Tabela18183[[#This Row],[Receita com vendas]]*Premissas!$E$9/100</f>
        <v>300000</v>
      </c>
      <c r="G9" s="186">
        <f>Tabela18183[[#This Row],[Receita com vendas]]*Premissas!$E$10/100</f>
        <v>0</v>
      </c>
      <c r="H9" s="215">
        <f>SUM(Tabela18183[[#This Row],[Impostos proporcionais federais em relação a receita bruta]:[Impostos proporcionais municipais em relação a receita bruta]])</f>
        <v>1260000</v>
      </c>
      <c r="I9" s="184">
        <f>Tabela18183[[#This Row],[Receita bruta ou receita total]]-Tabela18183[[#This Row],[Impostos proporcionais (ISS, ICMS, IPI, PIS, CONFINS etc.) total]]</f>
        <v>10740000</v>
      </c>
      <c r="J9" s="216">
        <f>Investimento_I!C40</f>
        <v>0</v>
      </c>
      <c r="K9" s="217">
        <f>Tabela18183[[#This Row],[Receita líquida]]*0.0035</f>
        <v>37590</v>
      </c>
      <c r="L9" s="218">
        <f>Tabela18183[[#This Row],[Receita líquida]]*0.003</f>
        <v>32220</v>
      </c>
      <c r="M9" s="219">
        <f>Tabela18183[[#This Row],[Receita líquida]]*0.001</f>
        <v>10740</v>
      </c>
      <c r="N9" s="219">
        <f>BI!H8</f>
        <v>71500</v>
      </c>
      <c r="O9" s="188">
        <f>SUM(Tabela18183[[#This Row],[Investimento em bens de capital]:[Investimento em bens intangíveis]])</f>
        <v>152050</v>
      </c>
      <c r="P9" s="189">
        <f>CV!C9</f>
        <v>326592</v>
      </c>
      <c r="Q9" s="189">
        <f>CF!C9</f>
        <v>1609046.3522447997</v>
      </c>
      <c r="R9" s="190">
        <f>Tabela18183[[#This Row],[Custo variável]]+Tabela18183[[#This Row],[Custo fixo]]</f>
        <v>1935638.3522447997</v>
      </c>
      <c r="S9" s="191">
        <f>Tabela18183[[#This Row],[Investimento total]]+Tabela18183[[#This Row],[Custos operacionais]]</f>
        <v>2087688.3522447997</v>
      </c>
      <c r="T9" s="192">
        <f>Tabela18183[[#This Row],[Receita líquida]]-Tabela18183[[#This Row],[Custos e investimentos]]</f>
        <v>8652311.6477552</v>
      </c>
      <c r="U9" s="192">
        <f>Tabela18183[[#This Row],[Lucro operacional ou LAJIRDA ou EBITDA]]+Tabela18183[[#This Row],[Investimento total]]</f>
        <v>8804361.6477552</v>
      </c>
      <c r="V9" s="193">
        <v>0</v>
      </c>
      <c r="W9" s="186">
        <f>BC!C10</f>
        <v>11520</v>
      </c>
      <c r="X9" s="187">
        <v>0</v>
      </c>
      <c r="Y9" s="187">
        <f>BI!C8</f>
        <v>4000</v>
      </c>
      <c r="Z9" s="220">
        <f>SUM(Tabela18183[[#This Row],[Depreciação variável]:[Depreciação de bens intangíveis]])</f>
        <v>15520</v>
      </c>
      <c r="AA9" s="195">
        <f>EP!F17</f>
        <v>67187.661137118223</v>
      </c>
      <c r="AB9" s="187">
        <f>Tabela18183[[#This Row],[Custos operacionais]]*Premissas!$E$13/100</f>
        <v>96781.91761223998</v>
      </c>
      <c r="AC9" s="188">
        <f>SUM(Tabela18183[[#This Row],[Amortização dos empréstimos (pagamento do principal)]:[OD: outras despesas, por exemplo, causas trabalhistas, multas comerciais etc.]])</f>
        <v>163969.57874935819</v>
      </c>
      <c r="AD9" s="221">
        <f>Tabela18183[[#This Row],[Lucro operacional ou LAJIRDA ou EBITDA]]-(Tabela18183[[#This Row],[Depreciações (somatório)]]+Tabela18183[[#This Row],[Somatório da amortização (principal) de empréstimos e outros dedutíveis do IR]])</f>
        <v>8472822.0690058414</v>
      </c>
      <c r="AE9" s="187">
        <f>Tabela18183[[#This Row],[Lucro antes do juros, imposto de renda e das contribuições sociais (LAJIR)]]+Tabela18183[[#This Row],[Investimento total]]</f>
        <v>8624872.0690058414</v>
      </c>
      <c r="AF9" s="196">
        <f>RB!C16</f>
        <v>0</v>
      </c>
      <c r="AG9" s="197">
        <f>EP!E17</f>
        <v>8304.3942000000006</v>
      </c>
      <c r="AH9" s="198">
        <f>Tabela18183[[#This Row],[Lucro antes do juros, imposto de renda e das contribuições sociais (LAJIR)]]+Tabela18183[[#This Row],[Receitas Não Operacionais]]-Tabela18183[[#This Row],[Juros de empréstimos pagos a credores]]</f>
        <v>8464517.6748058405</v>
      </c>
      <c r="AI9" s="199">
        <f>Tabela18183[[#This Row],[LAJIR sem investimentos]]-Tabela18183[[#This Row],[Juros de empréstimos pagos a credores]]</f>
        <v>8616567.6748058405</v>
      </c>
      <c r="AJ9" s="200">
        <f>IF($AH9&gt;0,$AH9*Premissas!$E$14/100,0)</f>
        <v>846451.76748058409</v>
      </c>
      <c r="AK9" s="187">
        <f>IF($AH9&gt;0,$AH9*Premissas!$E$15/100,0)</f>
        <v>634838.82561043801</v>
      </c>
      <c r="AL9" s="187">
        <f>IF($AH9&gt;0,$AH9*Premissas!$E$16/100,0)</f>
        <v>423225.88374029205</v>
      </c>
      <c r="AM9" s="194">
        <f>SUM(Tabela18183[[#This Row],[Imposto de renda,  % sobre o LAIR]:[Outras taxas ou impostos ou tributos sobre o LAIR]])</f>
        <v>1904516.4768313142</v>
      </c>
      <c r="AN9" s="201">
        <f>Tabela18183[[#This Row],[Lucro antes do imposto de renda e das contribuições sociais (LAIR)]]-Tabela18183[[#This Row],[Total de impostos e taxas sobre o LAIR]]</f>
        <v>6560001.1979745263</v>
      </c>
      <c r="AO9" s="201">
        <f>Tabela18183[[#This Row],[Lucro líquido]]+Tabela18183[[#This Row],[Investimento total]]</f>
        <v>6712051.1979745263</v>
      </c>
      <c r="AP9" s="222">
        <f>Tabela18183[[#This Row],[Lucro líquido]]/Tabela18183[[#This Row],[Receita com vendas]]*100</f>
        <v>54.666676649787718</v>
      </c>
      <c r="AQ9" s="203">
        <f>Tabela18183[[#This Row],[Lucro líquido]]+Tabela18183[[#This Row],[Depreciações (somatório)]]</f>
        <v>6575521.1979745263</v>
      </c>
      <c r="AR9" s="204">
        <f>Tabela18183[[#This Row],[Lucro líquido]]+Tabela18183[[#This Row],[Investimento total]]</f>
        <v>6712051.1979745263</v>
      </c>
      <c r="AS9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5424478.8020254727</v>
      </c>
      <c r="AT9" s="206">
        <f>Tabela18183[[#This Row],[Receita com vendas]]/(1+Indicadores!$D$3)^Tabela18183[[#This Row],[Período]]</f>
        <v>9863125.2811122183</v>
      </c>
      <c r="AU9" s="207">
        <f>Tabela18183[[#This Row],[Custo  total]]/(1+Indicadores!$D$3)^Tabela18183[[#This Row],[Período]]</f>
        <v>4458526.1674262304</v>
      </c>
      <c r="AV9" s="208">
        <f>AT9-$O9</f>
        <v>9711075.2811122183</v>
      </c>
      <c r="AW9" s="209">
        <f>IF(AV9&gt;=0,B9-AV7/(AV9-AV7),"Não")</f>
        <v>9.3297010726623348</v>
      </c>
      <c r="AX9" s="210" t="str">
        <f>IF(AND(NOT(ISNUMBER(AW7)),ISNUMBER(AW9)),$B9-AV7/(AV9-AV7),"Não")</f>
        <v>Não</v>
      </c>
      <c r="AY9" s="211">
        <f>Tabela18183[[#This Row],[Receita com vendas]]/(1+Indicadores!$F$3)^Tabela18183[[#This Row],[Período]]</f>
        <v>8967098.0743926819</v>
      </c>
      <c r="AZ9" s="208">
        <f>Tabela18183[[#This Row],[Custo  total]]/(1+Indicadores!$F$3)^Tabela18183[[#This Row],[Período]]</f>
        <v>4053486.118352212</v>
      </c>
      <c r="BA9" s="208">
        <f t="shared" si="18"/>
        <v>28345839.934774831</v>
      </c>
      <c r="BB9" s="223">
        <f t="shared" si="29"/>
        <v>2.784380562016648</v>
      </c>
      <c r="BC9" s="210" t="str">
        <f>IF(AND(NOT(ISNUMBER(BB7)),ISNUMBER(BB9)),$B9-BA7/(BA9-BA7),"Não")</f>
        <v>Não</v>
      </c>
      <c r="BD9" s="208">
        <f>Tabela18183[[#This Row],[Receita com vendas]]/(1+Indicadores!$H$3)^Tabela18183[[#This Row],[Período]]</f>
        <v>8166998.364405036</v>
      </c>
      <c r="BE9" s="208">
        <f>Tabela18183[[#This Row],[Custo  total]]/(1+Indicadores!$H$3)^Tabela18183[[#This Row],[Período]]</f>
        <v>3691809.1253243187</v>
      </c>
      <c r="BF9" s="208">
        <f t="shared" si="19"/>
        <v>26469575.646266989</v>
      </c>
      <c r="BG9" s="223">
        <f t="shared" si="20"/>
        <v>2.697473964546012</v>
      </c>
      <c r="BH9" s="210" t="str">
        <f>IF(AND(NOT(ISNUMBER(BG7)),ISNUMBER(BG9)),$B9-BF7/(BF9-BF7),"Não")</f>
        <v>Não</v>
      </c>
      <c r="BI9" s="227">
        <f>Tabela18183[[#This Row],[Disponibilidade líquida]]/(1+Premissas!$K$5)^Tabela18183[[#This Row],[Período]]</f>
        <v>5404599.1136859879</v>
      </c>
      <c r="BJ9" s="208">
        <f t="shared" si="21"/>
        <v>14919070.822094765</v>
      </c>
      <c r="BK9" s="223">
        <f t="shared" si="22"/>
        <v>3.2395601397492335</v>
      </c>
      <c r="BL9" s="223" t="str">
        <f>IF(AND(NOT(ISNUMBER(BK7)),ISNUMBER(BK9)),$B9-BJ7/(BJ9-BJ7),"Não")</f>
        <v>Não</v>
      </c>
      <c r="BM9" s="228">
        <f>Tabela18183[[#This Row],[Disponibilidade líquida]]/(1+Premissas!$L$5)^Tabela18183[[#This Row],[Período]]</f>
        <v>4913611.9560404699</v>
      </c>
      <c r="BN9" s="208">
        <f t="shared" si="23"/>
        <v>13818825.31835489</v>
      </c>
      <c r="BO9" s="223">
        <f t="shared" si="12"/>
        <v>3.1876441522072296</v>
      </c>
      <c r="BP9" s="225" t="str">
        <f>IF(AND(NOT(ISNUMBER(BO7)),ISNUMBER(BO9)),$B9-BN7/(BN9-BN7),"Não")</f>
        <v>Não</v>
      </c>
      <c r="BQ9" s="213">
        <f>Tabela18183[[#This Row],[Disponibilidade líquida]]/(1+Premissas!$M$5)^Tabela18183[[#This Row],[Período]]</f>
        <v>4475189.2390807169</v>
      </c>
      <c r="BR9" s="208">
        <f t="shared" si="24"/>
        <v>12819295.863170117</v>
      </c>
      <c r="BS9" s="223">
        <f t="shared" si="13"/>
        <v>3.1354740149930667</v>
      </c>
      <c r="BT9" s="226" t="str">
        <f>IF(AND(NOT(ISNUMBER(BS7)),ISNUMBER(BS9)),$B9-BR7/(BR9-BR7),"Não")</f>
        <v>Não</v>
      </c>
      <c r="BU9" s="223">
        <f>Tabela18183[[#This Row],[Lucro líquido]]/(1+Premissas!$K$5)^Tabela18183[[#This Row],[Período]]</f>
        <v>5391842.8049890827</v>
      </c>
      <c r="BV9" s="208">
        <f t="shared" si="25"/>
        <v>14819978.539517393</v>
      </c>
      <c r="BW9" s="223">
        <f t="shared" si="26"/>
        <v>3.2514075288314341</v>
      </c>
      <c r="BX9" s="223" t="str">
        <f>IF(AND(NOT(ISNUMBER(BW7)),ISNUMBER(BW9)),$B9-BV7/(BV9-BV7),"Não")</f>
        <v>Não</v>
      </c>
      <c r="BY9" s="211">
        <f>Tabela18183[[#This Row],[Lucro líquido]]/(1+Premissas!$L$5)^Tabela18183[[#This Row],[Período]]</f>
        <v>4902014.509197589</v>
      </c>
      <c r="BZ9" s="208">
        <f t="shared" si="27"/>
        <v>13723449.432402909</v>
      </c>
      <c r="CA9" s="223">
        <f t="shared" si="14"/>
        <v>3.2004469985444208</v>
      </c>
      <c r="CB9" s="225" t="str">
        <f>IF(AND(NOT(ISNUMBER(CA7)),ISNUMBER(CA9)),$B9-BZ7/(BZ9-BZ7),"Não")</f>
        <v>Não</v>
      </c>
      <c r="CC9" s="208">
        <f>Tabela18183[[#This Row],[Lucro líquido]]/(1+Premissas!$M$5)^Tabela18183[[#This Row],[Período]]</f>
        <v>4464626.5878627533</v>
      </c>
      <c r="CD9" s="208">
        <f t="shared" si="28"/>
        <v>12727329.003394667</v>
      </c>
      <c r="CE9" s="223">
        <f t="shared" si="15"/>
        <v>3.1492959706878132</v>
      </c>
      <c r="CF9" s="223" t="str">
        <f>IF(AND(NOT(ISNUMBER(CE7)),ISNUMBER(CE9)),$B9-CD7/(CD9-CD7),"Não")</f>
        <v>Não</v>
      </c>
    </row>
    <row r="10" spans="2:84" x14ac:dyDescent="0.3">
      <c r="B10" s="480">
        <f>RB!B17</f>
        <v>6</v>
      </c>
      <c r="C10" s="179">
        <f>RB!D17</f>
        <v>14400000</v>
      </c>
      <c r="D10" s="180">
        <f>Tabela18183[[#This Row],[Receita com vendas]]</f>
        <v>14400000</v>
      </c>
      <c r="E10" s="214">
        <f>Tabela18183[[#This Row],[Receita com vendas]]*Premissas!$E$8/100</f>
        <v>1152000</v>
      </c>
      <c r="F10" s="186">
        <f>Tabela18183[[#This Row],[Receita com vendas]]*Premissas!$E$9/100</f>
        <v>360000</v>
      </c>
      <c r="G10" s="186">
        <f>Tabela18183[[#This Row],[Receita com vendas]]*Premissas!$E$10/100</f>
        <v>0</v>
      </c>
      <c r="H10" s="215">
        <f>SUM(Tabela18183[[#This Row],[Impostos proporcionais federais em relação a receita bruta]:[Impostos proporcionais municipais em relação a receita bruta]])</f>
        <v>1512000</v>
      </c>
      <c r="I10" s="184">
        <f>Tabela18183[[#This Row],[Receita bruta ou receita total]]-Tabela18183[[#This Row],[Impostos proporcionais (ISS, ICMS, IPI, PIS, CONFINS etc.) total]]</f>
        <v>12888000</v>
      </c>
      <c r="J10" s="216">
        <f>Investimento_I!C40</f>
        <v>0</v>
      </c>
      <c r="K10" s="217">
        <f>Tabela18183[[#This Row],[Receita líquida]]*0.0035</f>
        <v>45108</v>
      </c>
      <c r="L10" s="218">
        <f>Tabela18183[[#This Row],[Receita líquida]]*0.003</f>
        <v>38664</v>
      </c>
      <c r="M10" s="219">
        <f>Tabela18183[[#This Row],[Receita líquida]]*0.001</f>
        <v>12888</v>
      </c>
      <c r="N10" s="219">
        <f>BI!H9</f>
        <v>71500</v>
      </c>
      <c r="O10" s="188">
        <f>SUM(Tabela18183[[#This Row],[Investimento em bens de capital]:[Investimento em bens intangíveis]])</f>
        <v>168160</v>
      </c>
      <c r="P10" s="189">
        <f>CV!C10</f>
        <v>391910.40000000008</v>
      </c>
      <c r="Q10" s="189">
        <f>CF!C10</f>
        <v>1744496.879289696</v>
      </c>
      <c r="R10" s="190">
        <f>Tabela18183[[#This Row],[Custo variável]]+Tabela18183[[#This Row],[Custo fixo]]</f>
        <v>2136407.2792896959</v>
      </c>
      <c r="S10" s="191">
        <f>Tabela18183[[#This Row],[Investimento total]]+Tabela18183[[#This Row],[Custos operacionais]]</f>
        <v>2304567.2792896959</v>
      </c>
      <c r="T10" s="192">
        <f>Tabela18183[[#This Row],[Receita líquida]]-Tabela18183[[#This Row],[Custos e investimentos]]</f>
        <v>10583432.720710304</v>
      </c>
      <c r="U10" s="192">
        <f>Tabela18183[[#This Row],[Lucro operacional ou LAJIRDA ou EBITDA]]+Tabela18183[[#This Row],[Investimento total]]</f>
        <v>10751592.720710304</v>
      </c>
      <c r="V10" s="193">
        <v>0</v>
      </c>
      <c r="W10" s="186">
        <f>BC!C11</f>
        <v>11520</v>
      </c>
      <c r="X10" s="187">
        <v>0</v>
      </c>
      <c r="Y10" s="187">
        <f>BI!C9</f>
        <v>4000</v>
      </c>
      <c r="Z10" s="220">
        <f>SUM(Tabela18183[[#This Row],[Depreciação variável]:[Depreciação de bens intangíveis]])</f>
        <v>15520</v>
      </c>
      <c r="AA10" s="195">
        <f>EP!F18</f>
        <v>71218.91</v>
      </c>
      <c r="AB10" s="187">
        <f>Tabela18183[[#This Row],[Custos operacionais]]*Premissas!$E$13/100</f>
        <v>106820.3639644848</v>
      </c>
      <c r="AC10" s="188">
        <f>SUM(Tabela18183[[#This Row],[Amortização dos empréstimos (pagamento do principal)]:[OD: outras despesas, por exemplo, causas trabalhistas, multas comerciais etc.]])</f>
        <v>178039.2739644848</v>
      </c>
      <c r="AD10" s="221">
        <f>Tabela18183[[#This Row],[Lucro operacional ou LAJIRDA ou EBITDA]]-(Tabela18183[[#This Row],[Depreciações (somatório)]]+Tabela18183[[#This Row],[Somatório da amortização (principal) de empréstimos e outros dedutíveis do IR]])</f>
        <v>10389873.446745818</v>
      </c>
      <c r="AE10" s="187">
        <f>Tabela18183[[#This Row],[Lucro antes do juros, imposto de renda e das contribuições sociais (LAJIR)]]+Tabela18183[[#This Row],[Investimento total]]</f>
        <v>10558033.446745818</v>
      </c>
      <c r="AF10" s="196">
        <f>RB!C17</f>
        <v>0</v>
      </c>
      <c r="AG10" s="197">
        <f>EP!E18</f>
        <v>4273.1346000000003</v>
      </c>
      <c r="AH10" s="198">
        <f>Tabela18183[[#This Row],[Lucro antes do juros, imposto de renda e das contribuições sociais (LAJIR)]]+Tabela18183[[#This Row],[Receitas Não Operacionais]]-Tabela18183[[#This Row],[Juros de empréstimos pagos a credores]]</f>
        <v>10385600.312145818</v>
      </c>
      <c r="AI10" s="199">
        <f>Tabela18183[[#This Row],[LAJIR sem investimentos]]-Tabela18183[[#This Row],[Juros de empréstimos pagos a credores]]</f>
        <v>10553760.312145818</v>
      </c>
      <c r="AJ10" s="200">
        <f>IF($AH10&gt;0,$AH10*Premissas!$E$14/100,0)</f>
        <v>1038560.0312145817</v>
      </c>
      <c r="AK10" s="187">
        <f>IF($AH10&gt;0,$AH10*Premissas!$E$15/100,0)</f>
        <v>778920.02341093635</v>
      </c>
      <c r="AL10" s="187">
        <f>IF($AH10&gt;0,$AH10*Premissas!$E$16/100,0)</f>
        <v>519280.01560729084</v>
      </c>
      <c r="AM10" s="194">
        <f>SUM(Tabela18183[[#This Row],[Imposto de renda,  % sobre o LAIR]:[Outras taxas ou impostos ou tributos sobre o LAIR]])</f>
        <v>2336760.0702328091</v>
      </c>
      <c r="AN10" s="201">
        <f>Tabela18183[[#This Row],[Lucro antes do imposto de renda e das contribuições sociais (LAIR)]]-Tabela18183[[#This Row],[Total de impostos e taxas sobre o LAIR]]</f>
        <v>8048840.2419130094</v>
      </c>
      <c r="AO10" s="201">
        <f>Tabela18183[[#This Row],[Lucro líquido]]+Tabela18183[[#This Row],[Investimento total]]</f>
        <v>8217000.2419130094</v>
      </c>
      <c r="AP10" s="222">
        <f>Tabela18183[[#This Row],[Lucro líquido]]/Tabela18183[[#This Row],[Receita com vendas]]*100</f>
        <v>55.894723902173681</v>
      </c>
      <c r="AQ10" s="203">
        <f>Tabela18183[[#This Row],[Lucro líquido]]+Tabela18183[[#This Row],[Depreciações (somatório)]]</f>
        <v>8064360.2419130094</v>
      </c>
      <c r="AR10" s="204">
        <f>Tabela18183[[#This Row],[Lucro líquido]]+Tabela18183[[#This Row],[Investimento total]]</f>
        <v>8217000.2419130094</v>
      </c>
      <c r="AS10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6335639.7580869896</v>
      </c>
      <c r="AT10" s="206">
        <f>Tabela18183[[#This Row],[Receita com vendas]]/(1+Indicadores!$D$3)^Tabela18183[[#This Row],[Período]]</f>
        <v>11380529.170514097</v>
      </c>
      <c r="AU10" s="207">
        <f>Tabela18183[[#This Row],[Custo  total]]/(1+Indicadores!$D$3)^Tabela18183[[#This Row],[Período]]</f>
        <v>5007148.1306095747</v>
      </c>
      <c r="AV10" s="208">
        <f>AT10-$O10</f>
        <v>11212369.170514097</v>
      </c>
      <c r="AW10" s="209">
        <f>IF(AV10&gt;=0,B10-AV7/(AV10-AV7),"Não")</f>
        <v>14.922778232333577</v>
      </c>
      <c r="AX10" s="210" t="str">
        <f>IF(AND(NOT(ISNUMBER(AW7)),ISNUMBER(AW10)),$B10-AV7/(AV10-AV7),"Não")</f>
        <v>Não</v>
      </c>
      <c r="AY10" s="211">
        <f>Tabela18183[[#This Row],[Receita com vendas]]/(1+Indicadores!$F$3)^Tabela18183[[#This Row],[Período]]</f>
        <v>10151431.782331338</v>
      </c>
      <c r="AZ10" s="208">
        <f>Tabela18183[[#This Row],[Custo  total]]/(1+Indicadores!$F$3)^Tabela18183[[#This Row],[Período]]</f>
        <v>4466376.0278921044</v>
      </c>
      <c r="BA10" s="208">
        <f t="shared" si="18"/>
        <v>38329111.717106171</v>
      </c>
      <c r="BB10" s="223">
        <f t="shared" si="29"/>
        <v>3.1606663073180026</v>
      </c>
      <c r="BC10" s="210" t="str">
        <f>IF(AND(NOT(ISNUMBER(BB7)),ISNUMBER(BB10)),$B10-BA7/(BA10-BA7),"Não")</f>
        <v>Não</v>
      </c>
      <c r="BD10" s="208">
        <f>Tabela18183[[#This Row],[Receita com vendas]]/(1+Indicadores!$H$3)^Tabela18183[[#This Row],[Período]]</f>
        <v>9074442.6271167062</v>
      </c>
      <c r="BE10" s="208">
        <f>Tabela18183[[#This Row],[Custo  total]]/(1+Indicadores!$H$3)^Tabela18183[[#This Row],[Período]]</f>
        <v>3992527.7424194412</v>
      </c>
      <c r="BF10" s="208">
        <f t="shared" si="19"/>
        <v>35375858.273383692</v>
      </c>
      <c r="BG10" s="223">
        <f t="shared" si="20"/>
        <v>3.0279883589505867</v>
      </c>
      <c r="BH10" s="210" t="str">
        <f>IF(AND(NOT(ISNUMBER(BG7)),ISNUMBER(BG10)),$B10-BF7/(BF10-BF7),"Não")</f>
        <v>Não</v>
      </c>
      <c r="BI10" s="227">
        <f>Tabela18183[[#This Row],[Disponibilidade líquida]]/(1+Premissas!$K$5)^Tabela18183[[#This Row],[Período]]</f>
        <v>6373381.0399045236</v>
      </c>
      <c r="BJ10" s="208">
        <f t="shared" si="21"/>
        <v>21292451.861999288</v>
      </c>
      <c r="BK10" s="223">
        <f t="shared" si="22"/>
        <v>3.659159129403275</v>
      </c>
      <c r="BL10" s="223" t="str">
        <f>IF(AND(NOT(ISNUMBER(BK7)),ISNUMBER(BK10)),$B10-BJ7/(BJ10-BJ7),"Não")</f>
        <v>Não</v>
      </c>
      <c r="BM10" s="228">
        <f>Tabela18183[[#This Row],[Disponibilidade líquida]]/(1+Premissas!$L$5)^Tabela18183[[#This Row],[Período]]</f>
        <v>5685055.7544392338</v>
      </c>
      <c r="BN10" s="208">
        <f t="shared" si="23"/>
        <v>19503881.072794124</v>
      </c>
      <c r="BO10" s="223">
        <f t="shared" si="12"/>
        <v>3.5692718039635203</v>
      </c>
      <c r="BP10" s="225" t="str">
        <f>IF(AND(NOT(ISNUMBER(BO7)),ISNUMBER(BO10)),$B10-BN7/(BN10-BN7),"Não")</f>
        <v>Não</v>
      </c>
      <c r="BQ10" s="213">
        <f>Tabela18183[[#This Row],[Disponibilidade líquida]]/(1+Premissas!$M$5)^Tabela18183[[#This Row],[Período]]</f>
        <v>5081914.8846972641</v>
      </c>
      <c r="BR10" s="208">
        <f t="shared" si="24"/>
        <v>17901210.747867383</v>
      </c>
      <c r="BS10" s="223">
        <f t="shared" si="13"/>
        <v>3.4774674204458318</v>
      </c>
      <c r="BT10" s="226" t="str">
        <f>IF(AND(NOT(ISNUMBER(BS7)),ISNUMBER(BS10)),$B10-BR7/(BR10-BR7),"Não")</f>
        <v>Não</v>
      </c>
      <c r="BU10" s="223">
        <f>Tabela18183[[#This Row],[Lucro líquido]]/(1+Premissas!$K$5)^Tabela18183[[#This Row],[Período]]</f>
        <v>6361115.358465191</v>
      </c>
      <c r="BV10" s="208">
        <f t="shared" si="25"/>
        <v>21181093.897982582</v>
      </c>
      <c r="BW10" s="223">
        <f t="shared" si="26"/>
        <v>3.6702232699183184</v>
      </c>
      <c r="BX10" s="223" t="str">
        <f>IF(AND(NOT(ISNUMBER(BW7)),ISNUMBER(BW10)),$B10-BV7/(BV10-BV7),"Não")</f>
        <v>Não</v>
      </c>
      <c r="BY10" s="211">
        <f>Tabela18183[[#This Row],[Lucro líquido]]/(1+Premissas!$L$5)^Tabela18183[[#This Row],[Período]]</f>
        <v>5674114.7668516096</v>
      </c>
      <c r="BZ10" s="208">
        <f t="shared" si="27"/>
        <v>19397564.19925452</v>
      </c>
      <c r="CA10" s="223">
        <f t="shared" si="14"/>
        <v>3.5813937510436324</v>
      </c>
      <c r="CB10" s="225" t="str">
        <f>IF(AND(NOT(ISNUMBER(CA7)),ISNUMBER(CA10)),$B10-BZ7/(BZ10-BZ7),"Não")</f>
        <v>Não</v>
      </c>
      <c r="CC10" s="208">
        <f>Tabela18183[[#This Row],[Lucro líquido]]/(1+Premissas!$M$5)^Tabela18183[[#This Row],[Período]]</f>
        <v>5072134.6520880386</v>
      </c>
      <c r="CD10" s="208">
        <f t="shared" si="28"/>
        <v>17799463.655482706</v>
      </c>
      <c r="CE10" s="223">
        <f t="shared" si="15"/>
        <v>3.490735188160822</v>
      </c>
      <c r="CF10" s="223" t="str">
        <f>IF(AND(NOT(ISNUMBER(CE7)),ISNUMBER(CE10)),$B10-CD7/(CD10-CD7),"Não")</f>
        <v>Não</v>
      </c>
    </row>
    <row r="11" spans="2:84" x14ac:dyDescent="0.3">
      <c r="B11" s="480">
        <f>RB!B18</f>
        <v>7</v>
      </c>
      <c r="C11" s="179">
        <f>RB!D18</f>
        <v>16800000</v>
      </c>
      <c r="D11" s="180">
        <f>Tabela18183[[#This Row],[Receita com vendas]]</f>
        <v>16800000</v>
      </c>
      <c r="E11" s="214">
        <f>Tabela18183[[#This Row],[Receita com vendas]]*Premissas!$E$8/100</f>
        <v>1344000</v>
      </c>
      <c r="F11" s="186">
        <f>Tabela18183[[#This Row],[Receita com vendas]]*Premissas!$E$9/100</f>
        <v>420000</v>
      </c>
      <c r="G11" s="186">
        <f>Tabela18183[[#This Row],[Receita com vendas]]*Premissas!$E$10/100</f>
        <v>0</v>
      </c>
      <c r="H11" s="215">
        <f>SUM(Tabela18183[[#This Row],[Impostos proporcionais federais em relação a receita bruta]:[Impostos proporcionais municipais em relação a receita bruta]])</f>
        <v>1764000</v>
      </c>
      <c r="I11" s="184">
        <f>Tabela18183[[#This Row],[Receita bruta ou receita total]]-Tabela18183[[#This Row],[Impostos proporcionais (ISS, ICMS, IPI, PIS, CONFINS etc.) total]]</f>
        <v>15036000</v>
      </c>
      <c r="J11" s="216">
        <f>Investimento_I!C43</f>
        <v>0</v>
      </c>
      <c r="K11" s="217">
        <f>Tabela18183[[#This Row],[Receita líquida]]*0.0035</f>
        <v>52626</v>
      </c>
      <c r="L11" s="218">
        <f>Tabela18183[[#This Row],[Receita líquida]]*0.003</f>
        <v>45108</v>
      </c>
      <c r="M11" s="219">
        <f>Tabela18183[[#This Row],[Receita líquida]]*0.001</f>
        <v>15036</v>
      </c>
      <c r="N11" s="219">
        <f>BI!H10</f>
        <v>71500</v>
      </c>
      <c r="O11" s="188">
        <f>SUM(Tabela18183[[#This Row],[Investimento em bens de capital]:[Investimento em bens intangíveis]])</f>
        <v>184270</v>
      </c>
      <c r="P11" s="189">
        <f>CV!C11</f>
        <v>457228.80000000005</v>
      </c>
      <c r="Q11" s="189">
        <f>CF!C11</f>
        <v>1934190.41687549</v>
      </c>
      <c r="R11" s="190">
        <f>Tabela18183[[#This Row],[Custo variável]]+Tabela18183[[#This Row],[Custo fixo]]</f>
        <v>2391419.2168754898</v>
      </c>
      <c r="S11" s="191">
        <f>Tabela18183[[#This Row],[Investimento total]]+Tabela18183[[#This Row],[Custos operacionais]]</f>
        <v>2575689.2168754898</v>
      </c>
      <c r="T11" s="192">
        <f>Tabela18183[[#This Row],[Receita líquida]]-Tabela18183[[#This Row],[Custos e investimentos]]</f>
        <v>12460310.78312451</v>
      </c>
      <c r="U11" s="192">
        <f>Tabela18183[[#This Row],[Lucro operacional ou LAJIRDA ou EBITDA]]+Tabela18183[[#This Row],[Investimento total]]</f>
        <v>12644580.78312451</v>
      </c>
      <c r="V11" s="193">
        <v>0</v>
      </c>
      <c r="W11" s="186">
        <f>BC!C12</f>
        <v>11520</v>
      </c>
      <c r="X11" s="187">
        <v>0</v>
      </c>
      <c r="Y11" s="187">
        <f>BI!C10</f>
        <v>4000</v>
      </c>
      <c r="Z11" s="220">
        <f>SUM(Tabela18183[[#This Row],[Depreciação variável]:[Depreciação de bens intangíveis]])</f>
        <v>15520</v>
      </c>
      <c r="AA11" s="195" t="str">
        <f>EP!F19</f>
        <v/>
      </c>
      <c r="AB11" s="187">
        <f>Tabela18183[[#This Row],[Custos operacionais]]*Premissas!$E$13/100</f>
        <v>119570.96084377449</v>
      </c>
      <c r="AC11" s="188">
        <f>SUM(Tabela18183[[#This Row],[Amortização dos empréstimos (pagamento do principal)]:[OD: outras despesas, por exemplo, causas trabalhistas, multas comerciais etc.]])</f>
        <v>119570.96084377449</v>
      </c>
      <c r="AD11" s="221">
        <f>Tabela18183[[#This Row],[Lucro operacional ou LAJIRDA ou EBITDA]]-(Tabela18183[[#This Row],[Depreciações (somatório)]]+Tabela18183[[#This Row],[Somatório da amortização (principal) de empréstimos e outros dedutíveis do IR]])</f>
        <v>12325219.822280735</v>
      </c>
      <c r="AE11" s="187">
        <f>Tabela18183[[#This Row],[Lucro antes do juros, imposto de renda e das contribuições sociais (LAJIR)]]+Tabela18183[[#This Row],[Investimento total]]</f>
        <v>12509489.822280735</v>
      </c>
      <c r="AF11" s="196">
        <f>RB!C18</f>
        <v>0</v>
      </c>
      <c r="AG11" s="197">
        <v>0</v>
      </c>
      <c r="AH11" s="198">
        <f>Tabela18183[[#This Row],[Lucro antes do juros, imposto de renda e das contribuições sociais (LAJIR)]]+Tabela18183[[#This Row],[Receitas Não Operacionais]]-Tabela18183[[#This Row],[Juros de empréstimos pagos a credores]]</f>
        <v>12325219.822280735</v>
      </c>
      <c r="AI11" s="199">
        <f>Tabela18183[[#This Row],[LAJIR sem investimentos]]-Tabela18183[[#This Row],[Juros de empréstimos pagos a credores]]</f>
        <v>12509489.822280735</v>
      </c>
      <c r="AJ11" s="200">
        <f>IF($AH11&gt;0,$AH11*Premissas!$E$14/100,0)</f>
        <v>1232521.9822280735</v>
      </c>
      <c r="AK11" s="187">
        <f>IF($AH11&gt;0,$AH11*Premissas!$E$15/100,0)</f>
        <v>924391.48667105509</v>
      </c>
      <c r="AL11" s="187">
        <f>IF($AH11&gt;0,$AH11*Premissas!$E$16/100,0)</f>
        <v>616260.99111403676</v>
      </c>
      <c r="AM11" s="194">
        <f>SUM(Tabela18183[[#This Row],[Imposto de renda,  % sobre o LAIR]:[Outras taxas ou impostos ou tributos sobre o LAIR]])</f>
        <v>2773174.4600131651</v>
      </c>
      <c r="AN11" s="201">
        <f>Tabela18183[[#This Row],[Lucro antes do imposto de renda e das contribuições sociais (LAIR)]]-Tabela18183[[#This Row],[Total de impostos e taxas sobre o LAIR]]</f>
        <v>9552045.3622675687</v>
      </c>
      <c r="AO11" s="201">
        <f>Tabela18183[[#This Row],[Lucro líquido]]+Tabela18183[[#This Row],[Investimento total]]</f>
        <v>9736315.3622675687</v>
      </c>
      <c r="AP11" s="222">
        <f>Tabela18183[[#This Row],[Lucro líquido]]/Tabela18183[[#This Row],[Receita com vendas]]*100</f>
        <v>56.857412870640289</v>
      </c>
      <c r="AQ11" s="203">
        <f>Tabela18183[[#This Row],[Lucro líquido]]+Tabela18183[[#This Row],[Depreciações (somatório)]]</f>
        <v>9567565.3622675687</v>
      </c>
      <c r="AR11" s="204">
        <f>Tabela18183[[#This Row],[Lucro líquido]]+Tabela18183[[#This Row],[Investimento total]]</f>
        <v>9736315.3622675687</v>
      </c>
      <c r="AS11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7232434.6377324294</v>
      </c>
      <c r="AT11" s="206">
        <f>Tabela18183[[#This Row],[Receita com vendas]]/(1+Indicadores!$D$3)^Tabela18183[[#This Row],[Período]]</f>
        <v>12766619.261794662</v>
      </c>
      <c r="AU11" s="207">
        <f>Tabela18183[[#This Row],[Custo  total]]/(1+Indicadores!$D$3)^Tabela18183[[#This Row],[Período]]</f>
        <v>5496055.9140324844</v>
      </c>
      <c r="AV11" s="208">
        <f>AT11-$O11</f>
        <v>12582349.261794662</v>
      </c>
      <c r="AW11" s="209">
        <f>IF(AV11&gt;=0,B11-AV10/(AV11-AV10),"Não")</f>
        <v>-1.1843300073313721</v>
      </c>
      <c r="AX11" s="210" t="str">
        <f>IF(AND(NOT(ISNUMBER(AW10)),ISNUMBER(AW11)),$B11-AV10/(AV11-AV10),"Não")</f>
        <v>Não</v>
      </c>
      <c r="AY11" s="211">
        <f>Tabela18183[[#This Row],[Receita com vendas]]/(1+Indicadores!$F$3)^Tabela18183[[#This Row],[Período]]</f>
        <v>11172959.508855246</v>
      </c>
      <c r="AZ11" s="208">
        <f>Tabela18183[[#This Row],[Custo  total]]/(1+Indicadores!$F$3)^Tabela18183[[#This Row],[Período]]</f>
        <v>4809982.104632535</v>
      </c>
      <c r="BA11" s="208">
        <f t="shared" si="18"/>
        <v>49317801.225961417</v>
      </c>
      <c r="BB11" s="223">
        <f t="shared" si="29"/>
        <v>3.5119487918719861</v>
      </c>
      <c r="BC11" s="210" t="str">
        <f>IF(AND(NOT(ISNUMBER(BB10)),ISNUMBER(BB11)),$B11-BA10/(BA11-BA10),"Não")</f>
        <v>Não</v>
      </c>
      <c r="BD11" s="208">
        <f>Tabela18183[[#This Row],[Receita com vendas]]/(1+Indicadores!$H$3)^Tabela18183[[#This Row],[Período]]</f>
        <v>9802638.6404038481</v>
      </c>
      <c r="BE11" s="208">
        <f>Tabela18183[[#This Row],[Custo  total]]/(1+Indicadores!$H$3)^Tabela18183[[#This Row],[Período]]</f>
        <v>4220056.1454780428</v>
      </c>
      <c r="BF11" s="208">
        <f t="shared" si="19"/>
        <v>44994226.913787544</v>
      </c>
      <c r="BG11" s="223">
        <f t="shared" si="20"/>
        <v>3.3220521487624803</v>
      </c>
      <c r="BH11" s="210" t="str">
        <f>IF(AND(NOT(ISNUMBER(BG10)),ISNUMBER(BG11)),$B11-BF10/(BF11-BF10),"Não")</f>
        <v>Não</v>
      </c>
      <c r="BI11" s="227">
        <f>Tabela18183[[#This Row],[Disponibilidade líquida]]/(1+Premissas!$K$5)^Tabela18183[[#This Row],[Período]]</f>
        <v>7270563.3477621768</v>
      </c>
      <c r="BJ11" s="208">
        <f t="shared" si="21"/>
        <v>28563015.209761463</v>
      </c>
      <c r="BK11" s="223">
        <f t="shared" si="22"/>
        <v>4.0714164991694979</v>
      </c>
      <c r="BL11" s="223" t="str">
        <f>IF(AND(NOT(ISNUMBER(BK10)),ISNUMBER(BK11)),$B11-BJ10/(BJ11-BJ10),"Não")</f>
        <v>Não</v>
      </c>
      <c r="BM11" s="228">
        <f>Tabela18183[[#This Row],[Disponibilidade líquida]]/(1+Premissas!$L$5)^Tabela18183[[#This Row],[Período]]</f>
        <v>6362977.4042227091</v>
      </c>
      <c r="BN11" s="208">
        <f t="shared" si="23"/>
        <v>25866858.477016833</v>
      </c>
      <c r="BO11" s="223">
        <f t="shared" si="12"/>
        <v>3.934786997695352</v>
      </c>
      <c r="BP11" s="225" t="str">
        <f>IF(AND(NOT(ISNUMBER(BO10)),ISNUMBER(BO11)),$B11-BN10/(BN11-BN10),"Não")</f>
        <v>Não</v>
      </c>
      <c r="BQ11" s="213">
        <f>Tabela18183[[#This Row],[Disponibilidade líquida]]/(1+Premissas!$M$5)^Tabela18183[[#This Row],[Período]]</f>
        <v>5582582.4949258044</v>
      </c>
      <c r="BR11" s="208">
        <f t="shared" si="24"/>
        <v>23483793.242793187</v>
      </c>
      <c r="BS11" s="223">
        <f t="shared" si="13"/>
        <v>3.7933817791070008</v>
      </c>
      <c r="BT11" s="226" t="str">
        <f>IF(AND(NOT(ISNUMBER(BS10)),ISNUMBER(BS11)),$B11-BR10/(BR11-BR10),"Não")</f>
        <v>Não</v>
      </c>
      <c r="BU11" s="223">
        <f>Tabela18183[[#This Row],[Lucro líquido]]/(1+Premissas!$K$5)^Tabela18183[[#This Row],[Período]]</f>
        <v>7258769.4233012805</v>
      </c>
      <c r="BV11" s="208">
        <f t="shared" si="25"/>
        <v>28439863.321283862</v>
      </c>
      <c r="BW11" s="223">
        <f t="shared" si="26"/>
        <v>4.0819993496432829</v>
      </c>
      <c r="BX11" s="223" t="str">
        <f>IF(AND(NOT(ISNUMBER(BW10)),ISNUMBER(BW11)),$B11-BV10/(BV11-BV10),"Não")</f>
        <v>Não</v>
      </c>
      <c r="BY11" s="211">
        <f>Tabela18183[[#This Row],[Lucro líquido]]/(1+Premissas!$L$5)^Tabela18183[[#This Row],[Período]]</f>
        <v>6352655.7178192902</v>
      </c>
      <c r="BZ11" s="208">
        <f t="shared" si="27"/>
        <v>25750219.917073809</v>
      </c>
      <c r="CA11" s="223">
        <f t="shared" si="14"/>
        <v>3.9465425074360505</v>
      </c>
      <c r="CB11" s="225" t="str">
        <f>IF(AND(NOT(ISNUMBER(CA10)),ISNUMBER(CA11)),$B11-BZ10/(BZ11-BZ10),"Não")</f>
        <v>Não</v>
      </c>
      <c r="CC11" s="208">
        <f>Tabela18183[[#This Row],[Lucro líquido]]/(1+Premissas!$M$5)^Tabela18183[[#This Row],[Período]]</f>
        <v>5573526.7239913363</v>
      </c>
      <c r="CD11" s="208">
        <f t="shared" si="28"/>
        <v>23372990.379474044</v>
      </c>
      <c r="CE11" s="223">
        <f t="shared" si="15"/>
        <v>3.8064271444389743</v>
      </c>
      <c r="CF11" s="223" t="str">
        <f>IF(AND(NOT(ISNUMBER(CE10)),ISNUMBER(CE11)),$B11-CD10/(CD11-CD10),"Não")</f>
        <v>Não</v>
      </c>
    </row>
    <row r="12" spans="2:84" x14ac:dyDescent="0.3">
      <c r="B12" s="178">
        <f>RB!B19</f>
        <v>8</v>
      </c>
      <c r="C12" s="179">
        <f>RB!D19</f>
        <v>19200000</v>
      </c>
      <c r="D12" s="180">
        <f>Tabela18183[[#This Row],[Receita com vendas]]</f>
        <v>19200000</v>
      </c>
      <c r="E12" s="214">
        <f>Tabela18183[[#This Row],[Receita com vendas]]*Premissas!$E$8/100</f>
        <v>1536000</v>
      </c>
      <c r="F12" s="186">
        <f>Tabela18183[[#This Row],[Receita com vendas]]*Premissas!$E$9/100</f>
        <v>480000</v>
      </c>
      <c r="G12" s="186">
        <f>Tabela18183[[#This Row],[Receita com vendas]]*Premissas!$E$10/100</f>
        <v>0</v>
      </c>
      <c r="H12" s="215">
        <f>SUM(Tabela18183[[#This Row],[Impostos proporcionais federais em relação a receita bruta]:[Impostos proporcionais municipais em relação a receita bruta]])</f>
        <v>2016000</v>
      </c>
      <c r="I12" s="184">
        <f>Tabela18183[[#This Row],[Receita bruta ou receita total]]-Tabela18183[[#This Row],[Impostos proporcionais (ISS, ICMS, IPI, PIS, CONFINS etc.) total]]</f>
        <v>17184000</v>
      </c>
      <c r="J12" s="216">
        <f>Investimento_I!C40</f>
        <v>0</v>
      </c>
      <c r="K12" s="217">
        <f>Tabela18183[[#This Row],[Receita líquida]]*0.0035</f>
        <v>60144</v>
      </c>
      <c r="L12" s="218">
        <f>Tabela18183[[#This Row],[Receita líquida]]*0.003</f>
        <v>51552</v>
      </c>
      <c r="M12" s="219">
        <f>Tabela18183[[#This Row],[Receita líquida]]*0.001</f>
        <v>17184</v>
      </c>
      <c r="N12" s="219">
        <f>BI!H11</f>
        <v>71500</v>
      </c>
      <c r="O12" s="188">
        <f>SUM(Tabela18183[[#This Row],[Investimento em bens de capital]:[Investimento em bens intangíveis]])</f>
        <v>200380</v>
      </c>
      <c r="P12" s="189">
        <f>CV!C12</f>
        <v>522547.19999999995</v>
      </c>
      <c r="Q12" s="189">
        <f>CF!C12</f>
        <v>2052552.3378194994</v>
      </c>
      <c r="R12" s="190">
        <f>Tabela18183[[#This Row],[Custo variável]]+Tabela18183[[#This Row],[Custo fixo]]</f>
        <v>2575099.5378194991</v>
      </c>
      <c r="S12" s="191">
        <f>Tabela18183[[#This Row],[Investimento total]]+Tabela18183[[#This Row],[Custos operacionais]]</f>
        <v>2775479.5378194991</v>
      </c>
      <c r="T12" s="192">
        <f>Tabela18183[[#This Row],[Receita líquida]]-Tabela18183[[#This Row],[Custos e investimentos]]</f>
        <v>14408520.462180501</v>
      </c>
      <c r="U12" s="192">
        <f>Tabela18183[[#This Row],[Lucro operacional ou LAJIRDA ou EBITDA]]+Tabela18183[[#This Row],[Investimento total]]</f>
        <v>14608900.462180501</v>
      </c>
      <c r="V12" s="193">
        <v>0</v>
      </c>
      <c r="W12" s="186">
        <f>BC!C13</f>
        <v>11520</v>
      </c>
      <c r="X12" s="187">
        <v>0</v>
      </c>
      <c r="Y12" s="187">
        <f>BI!C11</f>
        <v>4000</v>
      </c>
      <c r="Z12" s="220">
        <f>SUM(Tabela18183[[#This Row],[Depreciação variável]:[Depreciação de bens intangíveis]])</f>
        <v>15520</v>
      </c>
      <c r="AA12" s="195" t="str">
        <f>EP!F20</f>
        <v/>
      </c>
      <c r="AB12" s="187">
        <f>Tabela18183[[#This Row],[Custos operacionais]]*Premissas!$E$13/100</f>
        <v>128754.97689097495</v>
      </c>
      <c r="AC12" s="188">
        <f>SUM(Tabela18183[[#This Row],[Amortização dos empréstimos (pagamento do principal)]:[OD: outras despesas, por exemplo, causas trabalhistas, multas comerciais etc.]])</f>
        <v>128754.97689097495</v>
      </c>
      <c r="AD12" s="221">
        <f>Tabela18183[[#This Row],[Lucro operacional ou LAJIRDA ou EBITDA]]-(Tabela18183[[#This Row],[Depreciações (somatório)]]+Tabela18183[[#This Row],[Somatório da amortização (principal) de empréstimos e outros dedutíveis do IR]])</f>
        <v>14264245.485289525</v>
      </c>
      <c r="AE12" s="187">
        <f>Tabela18183[[#This Row],[Lucro antes do juros, imposto de renda e das contribuições sociais (LAJIR)]]+Tabela18183[[#This Row],[Investimento total]]</f>
        <v>14464625.485289525</v>
      </c>
      <c r="AF12" s="196">
        <f>RB!C19</f>
        <v>0</v>
      </c>
      <c r="AG12" s="197">
        <v>0</v>
      </c>
      <c r="AH12" s="198">
        <f>Tabela18183[[#This Row],[Lucro antes do juros, imposto de renda e das contribuições sociais (LAJIR)]]+Tabela18183[[#This Row],[Receitas Não Operacionais]]-Tabela18183[[#This Row],[Juros de empréstimos pagos a credores]]</f>
        <v>14264245.485289525</v>
      </c>
      <c r="AI12" s="199">
        <f>Tabela18183[[#This Row],[LAJIR sem investimentos]]-Tabela18183[[#This Row],[Juros de empréstimos pagos a credores]]</f>
        <v>14464625.485289525</v>
      </c>
      <c r="AJ12" s="200">
        <f>IF($AH12&gt;0,$AH12*Premissas!$E$14/100,0)</f>
        <v>1426424.5485289525</v>
      </c>
      <c r="AK12" s="187">
        <f>IF($AH12&gt;0,$AH12*Premissas!$E$15/100,0)</f>
        <v>1069818.4113967144</v>
      </c>
      <c r="AL12" s="187">
        <f>IF($AH12&gt;0,$AH12*Premissas!$E$16/100,0)</f>
        <v>713212.27426447626</v>
      </c>
      <c r="AM12" s="194">
        <f>SUM(Tabela18183[[#This Row],[Imposto de renda,  % sobre o LAIR]:[Outras taxas ou impostos ou tributos sobre o LAIR]])</f>
        <v>3209455.2341901432</v>
      </c>
      <c r="AN12" s="201">
        <f>Tabela18183[[#This Row],[Lucro antes do imposto de renda e das contribuições sociais (LAIR)]]-Tabela18183[[#This Row],[Total de impostos e taxas sobre o LAIR]]</f>
        <v>11054790.251099382</v>
      </c>
      <c r="AO12" s="201">
        <f>Tabela18183[[#This Row],[Lucro líquido]]+Tabela18183[[#This Row],[Investimento total]]</f>
        <v>11255170.251099382</v>
      </c>
      <c r="AP12" s="222">
        <f>Tabela18183[[#This Row],[Lucro líquido]]/Tabela18183[[#This Row],[Receita com vendas]]*100</f>
        <v>57.577032557809282</v>
      </c>
      <c r="AQ12" s="203">
        <f>Tabela18183[[#This Row],[Lucro líquido]]+Tabela18183[[#This Row],[Depreciações (somatório)]]</f>
        <v>11070310.251099382</v>
      </c>
      <c r="AR12" s="204">
        <f>Tabela18183[[#This Row],[Lucro líquido]]+Tabela18183[[#This Row],[Investimento total]]</f>
        <v>11255170.251099382</v>
      </c>
      <c r="AS12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8129689.7489006165</v>
      </c>
      <c r="AT12" s="206">
        <f>Tabela18183[[#This Row],[Receita com vendas]]/(1+Indicadores!$D$3)^Tabela18183[[#This Row],[Período]]</f>
        <v>14029251.936038088</v>
      </c>
      <c r="AU12" s="207">
        <f>Tabela18183[[#This Row],[Custo  total]]/(1+Indicadores!$D$3)^Tabela18183[[#This Row],[Período]]</f>
        <v>5940284.6692267172</v>
      </c>
      <c r="AV12" s="208">
        <f>AT12-$O12</f>
        <v>13828871.936038088</v>
      </c>
      <c r="AW12" s="209">
        <f>IF(AV12&gt;=0,B12-AV7/(AV12-AV7),"Não")</f>
        <v>-2.5116271645962556</v>
      </c>
      <c r="AX12" s="210" t="str">
        <f>IF(AND(NOT(ISNUMBER(AW7)),ISNUMBER(AW12)),$B12-AV7/(AV12-AV7),"Não")</f>
        <v>Não</v>
      </c>
      <c r="AY12" s="211">
        <f>Tabela18183[[#This Row],[Receita com vendas]]/(1+Indicadores!$F$3)^Tabela18183[[#This Row],[Período]]</f>
        <v>12046317.529763069</v>
      </c>
      <c r="AZ12" s="208">
        <f>Tabela18183[[#This Row],[Custo  total]]/(1+Indicadores!$F$3)^Tabela18183[[#This Row],[Período]]</f>
        <v>5100667.9236310739</v>
      </c>
      <c r="BA12" s="208">
        <f t="shared" si="18"/>
        <v>61163738.75572449</v>
      </c>
      <c r="BB12" s="223">
        <f t="shared" si="29"/>
        <v>3.8367329641871066</v>
      </c>
      <c r="BC12" s="210" t="str">
        <f>IF(AND(NOT(ISNUMBER(BB7)),ISNUMBER(BB12)),$B12-BA7/(BA12-BA7),"Não")</f>
        <v>Não</v>
      </c>
      <c r="BD12" s="208">
        <f>Tabela18183[[#This Row],[Receita com vendas]]/(1+Indicadores!$H$3)^Tabela18183[[#This Row],[Período]]</f>
        <v>10373162.582437934</v>
      </c>
      <c r="BE12" s="208">
        <f>Tabela18183[[#This Row],[Custo  total]]/(1+Indicadores!$H$3)^Tabela18183[[#This Row],[Período]]</f>
        <v>4392218.4119856833</v>
      </c>
      <c r="BF12" s="208">
        <f t="shared" si="19"/>
        <v>55167009.496225476</v>
      </c>
      <c r="BG12" s="223">
        <f t="shared" si="20"/>
        <v>3.5769990610568456</v>
      </c>
      <c r="BH12" s="210" t="str">
        <f>IF(AND(NOT(ISNUMBER(BG7)),ISNUMBER(BG12)),$B12-BF7/(BF12-BF7),"Não")</f>
        <v>Não</v>
      </c>
      <c r="BI12" s="227">
        <f>Tabela18183[[#This Row],[Disponibilidade líquida]]/(1+Premissas!$K$5)^Tabela18183[[#This Row],[Período]]</f>
        <v>8088967.2668113699</v>
      </c>
      <c r="BJ12" s="208">
        <f t="shared" si="21"/>
        <v>36651982.476572834</v>
      </c>
      <c r="BK12" s="223">
        <f t="shared" si="22"/>
        <v>4.4688922247276128</v>
      </c>
      <c r="BL12" s="223" t="str">
        <f>IF(AND(NOT(ISNUMBER(BK7)),ISNUMBER(BK12)),$B12-BJ7/(BJ12-BJ7),"Não")</f>
        <v>Não</v>
      </c>
      <c r="BM12" s="228">
        <f>Tabela18183[[#This Row],[Disponibilidade líquida]]/(1+Premissas!$L$5)^Tabela18183[[#This Row],[Período]]</f>
        <v>6945649.6061319942</v>
      </c>
      <c r="BN12" s="208">
        <f t="shared" si="23"/>
        <v>32812508.083148826</v>
      </c>
      <c r="BO12" s="223">
        <f t="shared" si="12"/>
        <v>4.2758186859613279</v>
      </c>
      <c r="BP12" s="225" t="str">
        <f>IF(AND(NOT(ISNUMBER(BO7)),ISNUMBER(BO12)),$B12-BN7/(BN12-BN7),"Não")</f>
        <v>Não</v>
      </c>
      <c r="BQ12" s="213">
        <f>Tabela18183[[#This Row],[Disponibilidade líquida]]/(1+Premissas!$M$5)^Tabela18183[[#This Row],[Período]]</f>
        <v>5980944.1704522502</v>
      </c>
      <c r="BR12" s="208">
        <f t="shared" si="24"/>
        <v>29464737.41324544</v>
      </c>
      <c r="BS12" s="223">
        <f t="shared" si="13"/>
        <v>4.0735642110136183</v>
      </c>
      <c r="BT12" s="226" t="str">
        <f>IF(AND(NOT(ISNUMBER(BS7)),ISNUMBER(BS12)),$B12-BR7/(BR12-BR7),"Não")</f>
        <v>Não</v>
      </c>
      <c r="BU12" s="223">
        <f>Tabela18183[[#This Row],[Lucro líquido]]/(1+Premissas!$K$5)^Tabela18183[[#This Row],[Período]]</f>
        <v>8077626.9548297385</v>
      </c>
      <c r="BV12" s="208">
        <f t="shared" si="25"/>
        <v>36517490.2761136</v>
      </c>
      <c r="BW12" s="223">
        <f t="shared" si="26"/>
        <v>4.4791808930617636</v>
      </c>
      <c r="BX12" s="223" t="str">
        <f>IF(AND(NOT(ISNUMBER(BW7)),ISNUMBER(BW12)),$B12-BV7/(BV12-BV7),"Não")</f>
        <v>Não</v>
      </c>
      <c r="BY12" s="211">
        <f>Tabela18183[[#This Row],[Lucro líquido]]/(1+Premissas!$L$5)^Tabela18183[[#This Row],[Período]]</f>
        <v>6935912.1661287686</v>
      </c>
      <c r="BZ12" s="208">
        <f t="shared" si="27"/>
        <v>32686132.083202578</v>
      </c>
      <c r="CA12" s="223">
        <f t="shared" si="14"/>
        <v>4.287406861519397</v>
      </c>
      <c r="CB12" s="225" t="str">
        <f>IF(AND(NOT(ISNUMBER(CA7)),ISNUMBER(CA12)),$B12-BZ7/(BZ12-BZ7),"Não")</f>
        <v>Não</v>
      </c>
      <c r="CC12" s="208">
        <f>Tabela18183[[#This Row],[Lucro líquido]]/(1+Premissas!$M$5)^Tabela18183[[#This Row],[Período]]</f>
        <v>5972559.1973647792</v>
      </c>
      <c r="CD12" s="208">
        <f t="shared" si="28"/>
        <v>29345549.576838821</v>
      </c>
      <c r="CE12" s="223">
        <f t="shared" si="15"/>
        <v>4.0866038146952626</v>
      </c>
      <c r="CF12" s="223" t="str">
        <f>IF(AND(NOT(ISNUMBER(CE7)),ISNUMBER(CE12)),$B12-CD7/(CD12-CD7),"Não")</f>
        <v>Não</v>
      </c>
    </row>
    <row r="13" spans="2:84" x14ac:dyDescent="0.3">
      <c r="B13" s="480">
        <f>RB!B20</f>
        <v>9</v>
      </c>
      <c r="C13" s="179">
        <f>RB!D20</f>
        <v>21600000</v>
      </c>
      <c r="D13" s="180">
        <f>Tabela18183[[#This Row],[Receita com vendas]]</f>
        <v>21600000</v>
      </c>
      <c r="E13" s="214">
        <f>Tabela18183[[#This Row],[Receita com vendas]]*Premissas!$E$8/100</f>
        <v>1728000</v>
      </c>
      <c r="F13" s="186">
        <f>Tabela18183[[#This Row],[Receita com vendas]]*Premissas!$E$9/100</f>
        <v>540000</v>
      </c>
      <c r="G13" s="186">
        <f>Tabela18183[[#This Row],[Receita com vendas]]*Premissas!$E$10/100</f>
        <v>0</v>
      </c>
      <c r="H13" s="215">
        <f>SUM(Tabela18183[[#This Row],[Impostos proporcionais federais em relação a receita bruta]:[Impostos proporcionais municipais em relação a receita bruta]])</f>
        <v>2268000</v>
      </c>
      <c r="I13" s="184">
        <f>Tabela18183[[#This Row],[Receita bruta ou receita total]]-Tabela18183[[#This Row],[Impostos proporcionais (ISS, ICMS, IPI, PIS, CONFINS etc.) total]]</f>
        <v>19332000</v>
      </c>
      <c r="J13" s="216">
        <f>Investimento_I!C40</f>
        <v>0</v>
      </c>
      <c r="K13" s="217">
        <f>Tabela18183[[#This Row],[Receita líquida]]*0.0035</f>
        <v>67662</v>
      </c>
      <c r="L13" s="218">
        <f>Tabela18183[[#This Row],[Receita líquida]]*0.003</f>
        <v>57996</v>
      </c>
      <c r="M13" s="219">
        <f>Tabela18183[[#This Row],[Receita líquida]]*0.001</f>
        <v>19332</v>
      </c>
      <c r="N13" s="219">
        <f>BI!H12</f>
        <v>71500</v>
      </c>
      <c r="O13" s="188">
        <f>SUM(Tabela18183[[#This Row],[Investimento em bens de capital]:[Investimento em bens intangíveis]])</f>
        <v>216490</v>
      </c>
      <c r="P13" s="189">
        <f>CV!C13</f>
        <v>587865.59999999998</v>
      </c>
      <c r="Q13" s="189">
        <f>CF!C13</f>
        <v>2629607.3845758894</v>
      </c>
      <c r="R13" s="190">
        <f>Tabela18183[[#This Row],[Custo variável]]+Tabela18183[[#This Row],[Custo fixo]]</f>
        <v>3217472.9845758895</v>
      </c>
      <c r="S13" s="191">
        <f>Tabela18183[[#This Row],[Investimento total]]+Tabela18183[[#This Row],[Custos operacionais]]</f>
        <v>3433962.9845758895</v>
      </c>
      <c r="T13" s="192">
        <f>Tabela18183[[#This Row],[Receita líquida]]-Tabela18183[[#This Row],[Custos e investimentos]]</f>
        <v>15898037.01542411</v>
      </c>
      <c r="U13" s="192">
        <f>Tabela18183[[#This Row],[Lucro operacional ou LAJIRDA ou EBITDA]]+Tabela18183[[#This Row],[Investimento total]]</f>
        <v>16114527.01542411</v>
      </c>
      <c r="V13" s="193">
        <v>0</v>
      </c>
      <c r="W13" s="186">
        <f>BC!C14</f>
        <v>11520</v>
      </c>
      <c r="X13" s="187">
        <v>0</v>
      </c>
      <c r="Y13" s="187">
        <f>BI!C12</f>
        <v>4000</v>
      </c>
      <c r="Z13" s="220">
        <f>SUM(Tabela18183[[#This Row],[Depreciação variável]:[Depreciação de bens intangíveis]])</f>
        <v>15520</v>
      </c>
      <c r="AA13" s="195" t="str">
        <f>EP!F21</f>
        <v/>
      </c>
      <c r="AB13" s="187">
        <f>Tabela18183[[#This Row],[Custos operacionais]]*Premissas!$E$13/100</f>
        <v>160873.64922879447</v>
      </c>
      <c r="AC13" s="188">
        <f>SUM(Tabela18183[[#This Row],[Amortização dos empréstimos (pagamento do principal)]:[OD: outras despesas, por exemplo, causas trabalhistas, multas comerciais etc.]])</f>
        <v>160873.64922879447</v>
      </c>
      <c r="AD13" s="221">
        <f>Tabela18183[[#This Row],[Lucro operacional ou LAJIRDA ou EBITDA]]-(Tabela18183[[#This Row],[Depreciações (somatório)]]+Tabela18183[[#This Row],[Somatório da amortização (principal) de empréstimos e outros dedutíveis do IR]])</f>
        <v>15721643.366195315</v>
      </c>
      <c r="AE13" s="187">
        <f>Tabela18183[[#This Row],[Lucro antes do juros, imposto de renda e das contribuições sociais (LAJIR)]]+Tabela18183[[#This Row],[Investimento total]]</f>
        <v>15938133.366195315</v>
      </c>
      <c r="AF13" s="196">
        <f>RB!C20</f>
        <v>0</v>
      </c>
      <c r="AG13" s="197">
        <v>0</v>
      </c>
      <c r="AH13" s="198">
        <f>Tabela18183[[#This Row],[Lucro antes do juros, imposto de renda e das contribuições sociais (LAJIR)]]+Tabela18183[[#This Row],[Receitas Não Operacionais]]-Tabela18183[[#This Row],[Juros de empréstimos pagos a credores]]</f>
        <v>15721643.366195315</v>
      </c>
      <c r="AI13" s="199">
        <f>Tabela18183[[#This Row],[LAJIR sem investimentos]]-Tabela18183[[#This Row],[Juros de empréstimos pagos a credores]]</f>
        <v>15938133.366195315</v>
      </c>
      <c r="AJ13" s="200">
        <f>IF($AH13&gt;0,$AH13*Premissas!$E$14/100,0)</f>
        <v>1572164.3366195315</v>
      </c>
      <c r="AK13" s="187">
        <f>IF($AH13&gt;0,$AH13*Premissas!$E$15/100,0)</f>
        <v>1179123.2524646486</v>
      </c>
      <c r="AL13" s="187">
        <f>IF($AH13&gt;0,$AH13*Premissas!$E$16/100,0)</f>
        <v>786082.16830976575</v>
      </c>
      <c r="AM13" s="194">
        <f>SUM(Tabela18183[[#This Row],[Imposto de renda,  % sobre o LAIR]:[Outras taxas ou impostos ou tributos sobre o LAIR]])</f>
        <v>3537369.7573939459</v>
      </c>
      <c r="AN13" s="201">
        <f>Tabela18183[[#This Row],[Lucro antes do imposto de renda e das contribuições sociais (LAIR)]]-Tabela18183[[#This Row],[Total de impostos e taxas sobre o LAIR]]</f>
        <v>12184273.608801369</v>
      </c>
      <c r="AO13" s="201">
        <f>Tabela18183[[#This Row],[Lucro líquido]]+Tabela18183[[#This Row],[Investimento total]]</f>
        <v>12400763.608801369</v>
      </c>
      <c r="AP13" s="222">
        <f>Tabela18183[[#This Row],[Lucro líquido]]/Tabela18183[[#This Row],[Receita com vendas]]*100</f>
        <v>56.408674114821153</v>
      </c>
      <c r="AQ13" s="203">
        <f>Tabela18183[[#This Row],[Lucro líquido]]+Tabela18183[[#This Row],[Depreciações (somatório)]]</f>
        <v>12199793.608801369</v>
      </c>
      <c r="AR13" s="204">
        <f>Tabela18183[[#This Row],[Lucro líquido]]+Tabela18183[[#This Row],[Investimento total]]</f>
        <v>12400763.608801369</v>
      </c>
      <c r="AS13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9400206.3911986314</v>
      </c>
      <c r="AT13" s="206">
        <f>Tabela18183[[#This Row],[Receita com vendas]]/(1+Indicadores!$D$3)^Tabela18183[[#This Row],[Período]]</f>
        <v>15175873.488502739</v>
      </c>
      <c r="AU13" s="207">
        <f>Tabela18183[[#This Row],[Custo  total]]/(1+Indicadores!$D$3)^Tabela18183[[#This Row],[Período]]</f>
        <v>6604460.3221595054</v>
      </c>
      <c r="AV13" s="208">
        <f>AT13+AV7-$O13</f>
        <v>27586959.401110843</v>
      </c>
      <c r="AW13" s="209">
        <f>IF(AV13&gt;=0,$B13-AV7/(AV13-AV7),"Não")</f>
        <v>8.1558759141168338</v>
      </c>
      <c r="AX13" s="210" t="str">
        <f>IF(AND(NOT(ISNUMBER(AW7)),ISNUMBER(AW13)),$B13-AV7/(AV13-AV7),"Não")</f>
        <v>Não</v>
      </c>
      <c r="AY13" s="211">
        <f>Tabela18183[[#This Row],[Receita com vendas]]/(1+Indicadores!$F$3)^Tabela18183[[#This Row],[Período]]</f>
        <v>12785006.812248539</v>
      </c>
      <c r="AZ13" s="208">
        <f>Tabela18183[[#This Row],[Custo  total]]/(1+Indicadores!$F$3)^Tabela18183[[#This Row],[Período]]</f>
        <v>5563967.7198155914</v>
      </c>
      <c r="BA13" s="208">
        <f t="shared" si="18"/>
        <v>73732255.567973033</v>
      </c>
      <c r="BB13" s="223">
        <f t="shared" si="29"/>
        <v>4.1335754513119731</v>
      </c>
      <c r="BC13" s="210" t="str">
        <f>IF(AND(NOT(ISNUMBER(BB7)),ISNUMBER(BB13)),$B13-BA7/(BA13-BA7),"Não")</f>
        <v>Não</v>
      </c>
      <c r="BD13" s="208">
        <f>Tabela18183[[#This Row],[Receita com vendas]]/(1+Indicadores!$H$3)^Tabela18183[[#This Row],[Período]]</f>
        <v>10805377.690039515</v>
      </c>
      <c r="BE13" s="208">
        <f>Tabela18183[[#This Row],[Custo  total]]/(1+Indicadores!$H$3)^Tabela18183[[#This Row],[Período]]</f>
        <v>4702443.5380196553</v>
      </c>
      <c r="BF13" s="208">
        <f t="shared" si="19"/>
        <v>65755897.186264992</v>
      </c>
      <c r="BG13" s="223">
        <f t="shared" si="20"/>
        <v>3.7901034451315816</v>
      </c>
      <c r="BH13" s="210" t="str">
        <f>IF(AND(NOT(ISNUMBER(BG7)),ISNUMBER(BG13)),$B13-BF7/(BF13-BF7),"Não")</f>
        <v>Não</v>
      </c>
      <c r="BI13" s="227">
        <f>Tabela18183[[#This Row],[Disponibilidade líquida]]/(1+Premissas!$K$5)^Tabela18183[[#This Row],[Período]]</f>
        <v>8571413.1663432326</v>
      </c>
      <c r="BJ13" s="208">
        <f t="shared" si="21"/>
        <v>45223395.642916068</v>
      </c>
      <c r="BK13" s="223">
        <f t="shared" si="22"/>
        <v>4.7239276925196423</v>
      </c>
      <c r="BL13" s="223" t="str">
        <f>IF(AND(NOT(ISNUMBER(BK7)),ISNUMBER(BK13)),$B13-BJ7/(BJ13-BJ7),"Não")</f>
        <v>Não</v>
      </c>
      <c r="BM13" s="228">
        <f>Tabela18183[[#This Row],[Disponibilidade líquida]]/(1+Premissas!$L$5)^Tabela18183[[#This Row],[Período]]</f>
        <v>7221039.0924329488</v>
      </c>
      <c r="BN13" s="208">
        <f t="shared" si="23"/>
        <v>40033547.175581776</v>
      </c>
      <c r="BO13" s="223">
        <f t="shared" si="12"/>
        <v>4.455985258751249</v>
      </c>
      <c r="BP13" s="225" t="str">
        <f>IF(AND(NOT(ISNUMBER(BO7)),ISNUMBER(BO13)),$B13-BN7/(BN13-BN7),"Não")</f>
        <v>Não</v>
      </c>
      <c r="BQ13" s="213">
        <f>Tabela18183[[#This Row],[Disponibilidade líquida]]/(1+Premissas!$M$5)^Tabela18183[[#This Row],[Período]]</f>
        <v>6102934.1520198593</v>
      </c>
      <c r="BR13" s="208">
        <f t="shared" si="24"/>
        <v>35567671.565265298</v>
      </c>
      <c r="BS13" s="223">
        <f t="shared" si="13"/>
        <v>4.1720374693058684</v>
      </c>
      <c r="BT13" s="226" t="str">
        <f>IF(AND(NOT(ISNUMBER(BS7)),ISNUMBER(BS13)),$B13-BR7/(BR13-BR7),"Não")</f>
        <v>Não</v>
      </c>
      <c r="BU13" s="223">
        <f>Tabela18183[[#This Row],[Lucro líquido]]/(1+Premissas!$K$5)^Tabela18183[[#This Row],[Período]]</f>
        <v>8560509.0202070493</v>
      </c>
      <c r="BV13" s="208">
        <f t="shared" si="25"/>
        <v>45077999.296320647</v>
      </c>
      <c r="BW13" s="223">
        <f t="shared" si="26"/>
        <v>4.7341917180492175</v>
      </c>
      <c r="BX13" s="223" t="str">
        <f>IF(AND(NOT(ISNUMBER(BW7)),ISNUMBER(BW13)),$B13-BV7/(BV13-BV7),"Não")</f>
        <v>Não</v>
      </c>
      <c r="BY13" s="211">
        <f>Tabela18183[[#This Row],[Lucro líquido]]/(1+Premissas!$L$5)^Tabela18183[[#This Row],[Período]]</f>
        <v>7211852.8282789635</v>
      </c>
      <c r="BZ13" s="208">
        <f t="shared" si="27"/>
        <v>39897984.911481544</v>
      </c>
      <c r="CA13" s="223">
        <f t="shared" si="14"/>
        <v>4.467720589772104</v>
      </c>
      <c r="CB13" s="225" t="str">
        <f>IF(AND(NOT(ISNUMBER(CA7)),ISNUMBER(CA13)),$B13-BZ7/(BZ13-BZ7),"Não")</f>
        <v>Não</v>
      </c>
      <c r="CC13" s="208">
        <f>Tabela18183[[#This Row],[Lucro líquido]]/(1+Premissas!$M$5)^Tabela18183[[#This Row],[Período]]</f>
        <v>6095170.2880499791</v>
      </c>
      <c r="CD13" s="208">
        <f t="shared" si="28"/>
        <v>35440719.864888802</v>
      </c>
      <c r="CE13" s="223">
        <f t="shared" si="15"/>
        <v>4.1854422124394333</v>
      </c>
      <c r="CF13" s="212" t="str">
        <f>IF(AND(NOT(ISNUMBER(CE7)),ISNUMBER(CE13)),$B13-CD7/(CD13-CD7),"Não")</f>
        <v>Não</v>
      </c>
    </row>
    <row r="14" spans="2:84" x14ac:dyDescent="0.3">
      <c r="B14" s="480">
        <f>RB!B21</f>
        <v>10</v>
      </c>
      <c r="C14" s="179">
        <f>RB!D21</f>
        <v>24000000</v>
      </c>
      <c r="D14" s="180">
        <f>Tabela18183[[#This Row],[Receita com vendas]]</f>
        <v>24000000</v>
      </c>
      <c r="E14" s="214">
        <f>Tabela18183[[#This Row],[Receita com vendas]]*Premissas!$E$8/100</f>
        <v>1920000</v>
      </c>
      <c r="F14" s="186">
        <f>Tabela18183[[#This Row],[Receita com vendas]]*Premissas!$E$9/100</f>
        <v>600000</v>
      </c>
      <c r="G14" s="186">
        <f>Tabela18183[[#This Row],[Receita com vendas]]*Premissas!$E$10/100</f>
        <v>0</v>
      </c>
      <c r="H14" s="215">
        <f>SUM(Tabela18183[[#This Row],[Impostos proporcionais federais em relação a receita bruta]:[Impostos proporcionais municipais em relação a receita bruta]])</f>
        <v>2520000</v>
      </c>
      <c r="I14" s="184">
        <f>Tabela18183[[#This Row],[Receita bruta ou receita total]]-Tabela18183[[#This Row],[Impostos proporcionais (ISS, ICMS, IPI, PIS, CONFINS etc.) total]]</f>
        <v>21480000</v>
      </c>
      <c r="J14" s="216">
        <f>Investimento_I!C41</f>
        <v>0</v>
      </c>
      <c r="K14" s="217">
        <f>Tabela18183[[#This Row],[Receita líquida]]*0.0035</f>
        <v>75180</v>
      </c>
      <c r="L14" s="218">
        <f>Tabela18183[[#This Row],[Receita líquida]]*0.003</f>
        <v>64440</v>
      </c>
      <c r="M14" s="219">
        <f>Tabela18183[[#This Row],[Receita líquida]]*0.001</f>
        <v>21480</v>
      </c>
      <c r="N14" s="219">
        <f>BI!H13</f>
        <v>71500</v>
      </c>
      <c r="O14" s="188">
        <f>SUM(Tabela18183[[#This Row],[Investimento em bens de capital]:[Investimento em bens intangíveis]])</f>
        <v>232600</v>
      </c>
      <c r="P14" s="189">
        <f>CV!C14</f>
        <v>653184</v>
      </c>
      <c r="Q14" s="189">
        <f>CF!C14</f>
        <v>2741822.7322674072</v>
      </c>
      <c r="R14" s="190">
        <f>Tabela18183[[#This Row],[Custo variável]]+Tabela18183[[#This Row],[Custo fixo]]</f>
        <v>3395006.7322674072</v>
      </c>
      <c r="S14" s="191">
        <f>Tabela18183[[#This Row],[Investimento total]]+Tabela18183[[#This Row],[Custos operacionais]]</f>
        <v>3627606.7322674072</v>
      </c>
      <c r="T14" s="192">
        <f>Tabela18183[[#This Row],[Receita líquida]]-Tabela18183[[#This Row],[Custos e investimentos]]</f>
        <v>17852393.267732594</v>
      </c>
      <c r="U14" s="192">
        <f>Tabela18183[[#This Row],[Lucro operacional ou LAJIRDA ou EBITDA]]+Tabela18183[[#This Row],[Investimento total]]</f>
        <v>18084993.267732594</v>
      </c>
      <c r="V14" s="193">
        <v>0</v>
      </c>
      <c r="W14" s="186">
        <f>BC!C15</f>
        <v>11520</v>
      </c>
      <c r="X14" s="187">
        <v>0</v>
      </c>
      <c r="Y14" s="187">
        <f>BI!C13</f>
        <v>4000</v>
      </c>
      <c r="Z14" s="220">
        <f>SUM(Tabela18183[[#This Row],[Depreciação variável]:[Depreciação de bens intangíveis]])</f>
        <v>15520</v>
      </c>
      <c r="AA14" s="195" t="str">
        <f>EP!F22</f>
        <v/>
      </c>
      <c r="AB14" s="187">
        <f>Tabela18183[[#This Row],[Custos operacionais]]*Premissas!$E$13/100</f>
        <v>169750.33661337037</v>
      </c>
      <c r="AC14" s="188">
        <f>SUM(Tabela18183[[#This Row],[Amortização dos empréstimos (pagamento do principal)]:[OD: outras despesas, por exemplo, causas trabalhistas, multas comerciais etc.]])</f>
        <v>169750.33661337037</v>
      </c>
      <c r="AD14" s="221">
        <f>Tabela18183[[#This Row],[Lucro operacional ou LAJIRDA ou EBITDA]]-(Tabela18183[[#This Row],[Depreciações (somatório)]]+Tabela18183[[#This Row],[Somatório da amortização (principal) de empréstimos e outros dedutíveis do IR]])</f>
        <v>17667122.931119222</v>
      </c>
      <c r="AE14" s="187">
        <f>Tabela18183[[#This Row],[Lucro antes do juros, imposto de renda e das contribuições sociais (LAJIR)]]+Tabela18183[[#This Row],[Investimento total]]</f>
        <v>17899722.931119222</v>
      </c>
      <c r="AF14" s="196">
        <f>RB!C21</f>
        <v>0</v>
      </c>
      <c r="AG14" s="197">
        <v>0</v>
      </c>
      <c r="AH14" s="198">
        <f>Tabela18183[[#This Row],[Lucro antes do juros, imposto de renda e das contribuições sociais (LAJIR)]]+Tabela18183[[#This Row],[Receitas Não Operacionais]]-Tabela18183[[#This Row],[Juros de empréstimos pagos a credores]]</f>
        <v>17667122.931119222</v>
      </c>
      <c r="AI14" s="199">
        <f>Tabela18183[[#This Row],[LAJIR sem investimentos]]-Tabela18183[[#This Row],[Juros de empréstimos pagos a credores]]</f>
        <v>17899722.931119222</v>
      </c>
      <c r="AJ14" s="200">
        <f>IF($AH14&gt;0,$AH14*Premissas!$E$14/100,0)</f>
        <v>1766712.2931119222</v>
      </c>
      <c r="AK14" s="187">
        <f>IF($AH14&gt;0,$AH14*Premissas!$E$15/100,0)</f>
        <v>1325034.2198339417</v>
      </c>
      <c r="AL14" s="187">
        <f>IF($AH14&gt;0,$AH14*Premissas!$E$16/100,0)</f>
        <v>883356.14655596111</v>
      </c>
      <c r="AM14" s="194">
        <f>SUM(Tabela18183[[#This Row],[Imposto de renda,  % sobre o LAIR]:[Outras taxas ou impostos ou tributos sobre o LAIR]])</f>
        <v>3975102.659501825</v>
      </c>
      <c r="AN14" s="201">
        <f>Tabela18183[[#This Row],[Lucro antes do imposto de renda e das contribuições sociais (LAIR)]]-Tabela18183[[#This Row],[Total de impostos e taxas sobre o LAIR]]</f>
        <v>13692020.271617398</v>
      </c>
      <c r="AO14" s="201">
        <f>Tabela18183[[#This Row],[Lucro líquido]]+Tabela18183[[#This Row],[Investimento total]]</f>
        <v>13924620.271617398</v>
      </c>
      <c r="AP14" s="222">
        <f>Tabela18183[[#This Row],[Lucro líquido]]/Tabela18183[[#This Row],[Receita com vendas]]*100</f>
        <v>57.050084465072494</v>
      </c>
      <c r="AQ14" s="203">
        <f>Tabela18183[[#This Row],[Lucro líquido]]+Tabela18183[[#This Row],[Depreciações (somatório)]]</f>
        <v>13707540.271617398</v>
      </c>
      <c r="AR14" s="204">
        <f>Tabela18183[[#This Row],[Lucro líquido]]+Tabela18183[[#This Row],[Investimento total]]</f>
        <v>13924620.271617398</v>
      </c>
      <c r="AS14" s="205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10292459.728382602</v>
      </c>
      <c r="AT14" s="206">
        <f>Tabela18183[[#This Row],[Receita com vendas]]/(1+Indicadores!$D$3)^Tabela18183[[#This Row],[Período]]</f>
        <v>16213540.051819166</v>
      </c>
      <c r="AU14" s="207">
        <f>Tabela18183[[#This Row],[Custo  total]]/(1+Indicadores!$D$3)^Tabela18183[[#This Row],[Período]]</f>
        <v>6953217.0015777973</v>
      </c>
      <c r="AV14" s="208">
        <f t="shared" si="16"/>
        <v>43567899.452930011</v>
      </c>
      <c r="AW14" s="209">
        <f t="shared" si="17"/>
        <v>8.2737586580227163</v>
      </c>
      <c r="AX14" s="210" t="str">
        <f t="shared" si="1"/>
        <v>Não</v>
      </c>
      <c r="AY14" s="211">
        <f>Tabela18183[[#This Row],[Receita com vendas]]/(1+Indicadores!$F$3)^Tabela18183[[#This Row],[Período]]</f>
        <v>13401474.645962829</v>
      </c>
      <c r="AZ14" s="208">
        <f>Tabela18183[[#This Row],[Custo  total]]/(1+Indicadores!$F$3)^Tabela18183[[#This Row],[Período]]</f>
        <v>5747255.7539380379</v>
      </c>
      <c r="BA14" s="208">
        <f t="shared" si="18"/>
        <v>86901130.213935867</v>
      </c>
      <c r="BB14" s="223">
        <f t="shared" si="29"/>
        <v>4.4010207743471046</v>
      </c>
      <c r="BC14" s="210" t="str">
        <f t="shared" si="3"/>
        <v>Não</v>
      </c>
      <c r="BD14" s="208">
        <f>Tabela18183[[#This Row],[Receita com vendas]]/(1+Indicadores!$H$3)^Tabela18183[[#This Row],[Período]]</f>
        <v>11116643.714032423</v>
      </c>
      <c r="BE14" s="208">
        <f>Tabela18183[[#This Row],[Custo  total]]/(1+Indicadores!$H$3)^Tabela18183[[#This Row],[Período]]</f>
        <v>4767400.3225606792</v>
      </c>
      <c r="BF14" s="208">
        <f t="shared" si="19"/>
        <v>76639940.900297418</v>
      </c>
      <c r="BG14" s="223">
        <f t="shared" si="20"/>
        <v>3.95850486143416</v>
      </c>
      <c r="BH14" s="210" t="str">
        <f t="shared" si="5"/>
        <v>Não</v>
      </c>
      <c r="BI14" s="227">
        <f>Tabela18183[[#This Row],[Disponibilidade líquida]]/(1+Premissas!$K$5)^Tabela18183[[#This Row],[Período]]</f>
        <v>9260323.0502413679</v>
      </c>
      <c r="BJ14" s="208">
        <f t="shared" si="21"/>
        <v>54483718.693157434</v>
      </c>
      <c r="BK14" s="223">
        <f t="shared" si="22"/>
        <v>5.1164343406208337</v>
      </c>
      <c r="BL14" s="223" t="str">
        <f t="shared" si="6"/>
        <v>Não</v>
      </c>
      <c r="BM14" s="228">
        <f>Tabela18183[[#This Row],[Disponibilidade líquida]]/(1+Premissas!$L$5)^Tabela18183[[#This Row],[Período]]</f>
        <v>7654218.8920247909</v>
      </c>
      <c r="BN14" s="208">
        <f t="shared" si="23"/>
        <v>47687766.067606568</v>
      </c>
      <c r="BO14" s="223">
        <f t="shared" si="12"/>
        <v>4.769741009458957</v>
      </c>
      <c r="BP14" s="225" t="str">
        <f t="shared" si="7"/>
        <v>Não</v>
      </c>
      <c r="BQ14" s="213">
        <f>Tabela18183[[#This Row],[Disponibilidade líquida]]/(1+Premissas!$M$5)^Tabela18183[[#This Row],[Período]]</f>
        <v>6349243.3914717427</v>
      </c>
      <c r="BR14" s="208">
        <f t="shared" si="24"/>
        <v>41916914.956737041</v>
      </c>
      <c r="BS14" s="223">
        <f t="shared" si="13"/>
        <v>4.3981244106912758</v>
      </c>
      <c r="BT14" s="226" t="str">
        <f t="shared" si="8"/>
        <v>Não</v>
      </c>
      <c r="BU14" s="223">
        <f>Tabela18183[[#This Row],[Lucro líquido]]/(1+Premissas!$K$5)^Tabela18183[[#This Row],[Período]]</f>
        <v>9249838.2943411916</v>
      </c>
      <c r="BV14" s="208">
        <f t="shared" si="25"/>
        <v>54327837.590661839</v>
      </c>
      <c r="BW14" s="223">
        <f t="shared" si="26"/>
        <v>5.1266175838016341</v>
      </c>
      <c r="BX14" s="223" t="str">
        <f t="shared" si="9"/>
        <v>Não</v>
      </c>
      <c r="BY14" s="211">
        <f>Tabela18183[[#This Row],[Lucro líquido]]/(1+Premissas!$L$5)^Tabela18183[[#This Row],[Período]]</f>
        <v>7645552.6050870689</v>
      </c>
      <c r="BZ14" s="208">
        <f t="shared" si="27"/>
        <v>47543537.516568616</v>
      </c>
      <c r="CA14" s="223">
        <f t="shared" si="14"/>
        <v>4.7815433399889393</v>
      </c>
      <c r="CB14" s="225" t="str">
        <f t="shared" si="10"/>
        <v>Não</v>
      </c>
      <c r="CC14" s="208">
        <f>Tabela18183[[#This Row],[Lucro líquido]]/(1+Premissas!$M$5)^Tabela18183[[#This Row],[Período]]</f>
        <v>6342054.6285366686</v>
      </c>
      <c r="CD14" s="208">
        <f t="shared" si="28"/>
        <v>41782774.493425474</v>
      </c>
      <c r="CE14" s="223">
        <f t="shared" si="15"/>
        <v>4.411792086208159</v>
      </c>
      <c r="CF14" s="212" t="str">
        <f t="shared" si="11"/>
        <v>Não</v>
      </c>
    </row>
    <row r="15" spans="2:84" ht="15" thickBot="1" x14ac:dyDescent="0.35">
      <c r="B15" s="229" t="s">
        <v>234</v>
      </c>
      <c r="C15" s="230" t="s">
        <v>233</v>
      </c>
      <c r="D15" s="231" t="s">
        <v>233</v>
      </c>
      <c r="E15" s="230" t="s">
        <v>233</v>
      </c>
      <c r="F15" s="229" t="s">
        <v>233</v>
      </c>
      <c r="G15" s="229" t="s">
        <v>233</v>
      </c>
      <c r="H15" s="232" t="s">
        <v>233</v>
      </c>
      <c r="I15" s="233" t="s">
        <v>233</v>
      </c>
      <c r="J15" s="230" t="s">
        <v>233</v>
      </c>
      <c r="K15" s="229" t="s">
        <v>233</v>
      </c>
      <c r="L15" s="229" t="s">
        <v>233</v>
      </c>
      <c r="M15" s="229" t="s">
        <v>233</v>
      </c>
      <c r="N15" s="229" t="s">
        <v>233</v>
      </c>
      <c r="O15" s="232" t="s">
        <v>233</v>
      </c>
      <c r="P15" s="230" t="s">
        <v>233</v>
      </c>
      <c r="Q15" s="229" t="s">
        <v>233</v>
      </c>
      <c r="R15" s="229" t="s">
        <v>233</v>
      </c>
      <c r="S15" s="234" t="s">
        <v>233</v>
      </c>
      <c r="T15" s="230" t="s">
        <v>233</v>
      </c>
      <c r="U15" s="230"/>
      <c r="V15" s="230" t="s">
        <v>233</v>
      </c>
      <c r="W15" s="229" t="s">
        <v>233</v>
      </c>
      <c r="X15" s="229" t="s">
        <v>233</v>
      </c>
      <c r="Y15" s="229" t="s">
        <v>233</v>
      </c>
      <c r="Z15" s="232" t="s">
        <v>233</v>
      </c>
      <c r="AA15" s="230" t="s">
        <v>233</v>
      </c>
      <c r="AB15" s="229" t="s">
        <v>233</v>
      </c>
      <c r="AC15" s="232" t="s">
        <v>233</v>
      </c>
      <c r="AD15" s="234" t="s">
        <v>233</v>
      </c>
      <c r="AE15" s="229" t="s">
        <v>233</v>
      </c>
      <c r="AF15" s="230" t="s">
        <v>233</v>
      </c>
      <c r="AG15" s="229" t="s">
        <v>233</v>
      </c>
      <c r="AH15" s="232" t="s">
        <v>233</v>
      </c>
      <c r="AI15" s="230" t="s">
        <v>233</v>
      </c>
      <c r="AJ15" s="230" t="s">
        <v>233</v>
      </c>
      <c r="AK15" s="229" t="s">
        <v>233</v>
      </c>
      <c r="AL15" s="229" t="s">
        <v>233</v>
      </c>
      <c r="AM15" s="232" t="s">
        <v>233</v>
      </c>
      <c r="AN15" s="230" t="s">
        <v>233</v>
      </c>
      <c r="AO15" s="230" t="s">
        <v>233</v>
      </c>
      <c r="AP15" s="231" t="s">
        <v>233</v>
      </c>
      <c r="AQ15" s="229" t="s">
        <v>233</v>
      </c>
      <c r="AR15" s="234" t="s">
        <v>233</v>
      </c>
      <c r="AS15" s="234" t="s">
        <v>233</v>
      </c>
      <c r="AT15" s="235">
        <f>SUM(AT4:AT14)</f>
        <v>100781395.33627445</v>
      </c>
      <c r="AU15" s="236">
        <f>SUM(AU4:AU14)</f>
        <v>46297676.643116996</v>
      </c>
      <c r="AV15" s="229" t="s">
        <v>233</v>
      </c>
      <c r="AW15" s="229" t="s">
        <v>233</v>
      </c>
      <c r="AX15" s="229" t="s">
        <v>233</v>
      </c>
      <c r="AY15" s="237">
        <f>SUM(AY4:AY14)</f>
        <v>88709780.213935867</v>
      </c>
      <c r="AZ15" s="238">
        <f>SUM(AZ4:AZ14)</f>
        <v>41022014.146329284</v>
      </c>
      <c r="BA15" s="229" t="s">
        <v>233</v>
      </c>
      <c r="BB15" s="229" t="s">
        <v>233</v>
      </c>
      <c r="BC15" s="239" t="s">
        <v>233</v>
      </c>
      <c r="BD15" s="237">
        <f>SUM(BD4:BD14)</f>
        <v>78448590.900297418</v>
      </c>
      <c r="BE15" s="238">
        <f>SUM(BE4:BE14)</f>
        <v>36531675.943560377</v>
      </c>
      <c r="BF15" s="229" t="s">
        <v>233</v>
      </c>
      <c r="BG15" s="229" t="s">
        <v>233</v>
      </c>
      <c r="BH15" s="229" t="s">
        <v>233</v>
      </c>
      <c r="BI15" s="230" t="s">
        <v>233</v>
      </c>
      <c r="BJ15" s="229" t="s">
        <v>233</v>
      </c>
      <c r="BK15" s="229" t="s">
        <v>233</v>
      </c>
      <c r="BL15" s="229" t="s">
        <v>233</v>
      </c>
      <c r="BM15" s="231" t="s">
        <v>233</v>
      </c>
      <c r="BN15" s="229" t="s">
        <v>233</v>
      </c>
      <c r="BO15" s="229" t="s">
        <v>233</v>
      </c>
      <c r="BP15" s="239" t="s">
        <v>233</v>
      </c>
      <c r="BQ15" s="229" t="s">
        <v>233</v>
      </c>
      <c r="BR15" s="229" t="s">
        <v>233</v>
      </c>
      <c r="BS15" s="229" t="s">
        <v>233</v>
      </c>
      <c r="BT15" s="234" t="s">
        <v>233</v>
      </c>
      <c r="BU15" s="229" t="s">
        <v>233</v>
      </c>
      <c r="BV15" s="229" t="s">
        <v>233</v>
      </c>
      <c r="BW15" s="229" t="s">
        <v>233</v>
      </c>
      <c r="BX15" s="229" t="s">
        <v>233</v>
      </c>
      <c r="BY15" s="231" t="s">
        <v>233</v>
      </c>
      <c r="BZ15" s="229" t="s">
        <v>233</v>
      </c>
      <c r="CA15" s="229" t="s">
        <v>233</v>
      </c>
      <c r="CB15" s="239" t="s">
        <v>233</v>
      </c>
      <c r="CC15" s="229" t="s">
        <v>233</v>
      </c>
      <c r="CD15" s="229" t="s">
        <v>233</v>
      </c>
      <c r="CE15" s="229" t="s">
        <v>233</v>
      </c>
      <c r="CF15" s="229" t="s">
        <v>233</v>
      </c>
    </row>
    <row r="16" spans="2:84" ht="15" thickBot="1" x14ac:dyDescent="0.35">
      <c r="AT16" s="382" t="s">
        <v>360</v>
      </c>
      <c r="AU16" s="383">
        <f>AT15/AU15</f>
        <v>2.1768132365073543</v>
      </c>
      <c r="AY16" s="382" t="s">
        <v>360</v>
      </c>
      <c r="AZ16" s="383">
        <f>AY15/AZ15</f>
        <v>2.162492068222198</v>
      </c>
      <c r="BD16" s="382" t="s">
        <v>360</v>
      </c>
      <c r="BE16" s="383">
        <f>BD15/BE15</f>
        <v>2.1474128649749491</v>
      </c>
    </row>
    <row r="22" spans="2:2" x14ac:dyDescent="0.3">
      <c r="B22" s="433" t="s">
        <v>382</v>
      </c>
    </row>
  </sheetData>
  <mergeCells count="9">
    <mergeCell ref="AT2:AX2"/>
    <mergeCell ref="BU2:BX2"/>
    <mergeCell ref="BY2:CB2"/>
    <mergeCell ref="CC2:CF2"/>
    <mergeCell ref="AY2:BC2"/>
    <mergeCell ref="BD2:BH2"/>
    <mergeCell ref="BI2:BL2"/>
    <mergeCell ref="BM2:BP2"/>
    <mergeCell ref="BQ2:BT2"/>
  </mergeCells>
  <conditionalFormatting sqref="BD4:BE14 BQ4:BQ14 BS4 BI4:BK4 AY4:AZ14 AN4:AW14 B4:R14 BK5:BL14 T4:AK14">
    <cfRule type="cellIs" dxfId="245" priority="31" operator="lessThan">
      <formula>0</formula>
    </cfRule>
  </conditionalFormatting>
  <conditionalFormatting sqref="AL4:AM14">
    <cfRule type="cellIs" dxfId="244" priority="30" operator="lessThan">
      <formula>0</formula>
    </cfRule>
  </conditionalFormatting>
  <conditionalFormatting sqref="S4:S14">
    <cfRule type="cellIs" dxfId="243" priority="29" operator="lessThan">
      <formula>0</formula>
    </cfRule>
  </conditionalFormatting>
  <conditionalFormatting sqref="BF4:BF14">
    <cfRule type="cellIs" dxfId="242" priority="27" operator="lessThan">
      <formula>0</formula>
    </cfRule>
  </conditionalFormatting>
  <conditionalFormatting sqref="BA4:BB4 BA5:BA14">
    <cfRule type="cellIs" dxfId="241" priority="28" operator="lessThan">
      <formula>0</formula>
    </cfRule>
  </conditionalFormatting>
  <conditionalFormatting sqref="BB5:BB14">
    <cfRule type="cellIs" dxfId="240" priority="26" operator="lessThan">
      <formula>0</formula>
    </cfRule>
  </conditionalFormatting>
  <conditionalFormatting sqref="BI5:BI14 BU4:BU14">
    <cfRule type="cellIs" dxfId="239" priority="25" operator="lessThan">
      <formula>0</formula>
    </cfRule>
  </conditionalFormatting>
  <conditionalFormatting sqref="BG4">
    <cfRule type="cellIs" dxfId="238" priority="24" operator="lessThan">
      <formula>0</formula>
    </cfRule>
  </conditionalFormatting>
  <conditionalFormatting sqref="BG5:BG14">
    <cfRule type="cellIs" dxfId="237" priority="23" operator="lessThan">
      <formula>0</formula>
    </cfRule>
  </conditionalFormatting>
  <conditionalFormatting sqref="BS5:BT14">
    <cfRule type="cellIs" dxfId="236" priority="22" operator="lessThan">
      <formula>0</formula>
    </cfRule>
  </conditionalFormatting>
  <conditionalFormatting sqref="BJ5:BJ14">
    <cfRule type="cellIs" dxfId="235" priority="21" operator="lessThan">
      <formula>0</formula>
    </cfRule>
  </conditionalFormatting>
  <conditionalFormatting sqref="BW4">
    <cfRule type="cellIs" dxfId="234" priority="20" operator="lessThan">
      <formula>0</formula>
    </cfRule>
  </conditionalFormatting>
  <conditionalFormatting sqref="BW5:BW14">
    <cfRule type="cellIs" dxfId="233" priority="19" operator="lessThan">
      <formula>0</formula>
    </cfRule>
  </conditionalFormatting>
  <conditionalFormatting sqref="BV4:BV14">
    <cfRule type="cellIs" dxfId="232" priority="18" operator="lessThan">
      <formula>0</formula>
    </cfRule>
  </conditionalFormatting>
  <conditionalFormatting sqref="BR4:BR14">
    <cfRule type="cellIs" dxfId="231" priority="17" operator="lessThan">
      <formula>0</formula>
    </cfRule>
  </conditionalFormatting>
  <conditionalFormatting sqref="BO4 BQ4:BS4">
    <cfRule type="cellIs" dxfId="230" priority="14" operator="lessThan">
      <formula>0</formula>
    </cfRule>
  </conditionalFormatting>
  <conditionalFormatting sqref="BM4:BO4 BQ4:BS4 BM5:BT14">
    <cfRule type="cellIs" dxfId="229" priority="16" operator="lessThan">
      <formula>0</formula>
    </cfRule>
  </conditionalFormatting>
  <conditionalFormatting sqref="BM4:BM14">
    <cfRule type="cellIs" dxfId="228" priority="15" operator="lessThan">
      <formula>0</formula>
    </cfRule>
  </conditionalFormatting>
  <conditionalFormatting sqref="BN4:BN14">
    <cfRule type="cellIs" dxfId="227" priority="12" operator="lessThan">
      <formula>0</formula>
    </cfRule>
  </conditionalFormatting>
  <conditionalFormatting sqref="BO5:BT14">
    <cfRule type="cellIs" dxfId="226" priority="13" operator="lessThan">
      <formula>0</formula>
    </cfRule>
  </conditionalFormatting>
  <conditionalFormatting sqref="CC4:CE14">
    <cfRule type="cellIs" dxfId="225" priority="11" operator="lessThan">
      <formula>0</formula>
    </cfRule>
  </conditionalFormatting>
  <conditionalFormatting sqref="CE5:CE14">
    <cfRule type="cellIs" dxfId="224" priority="10" operator="lessThan">
      <formula>0</formula>
    </cfRule>
  </conditionalFormatting>
  <conditionalFormatting sqref="CD4:CD14">
    <cfRule type="cellIs" dxfId="223" priority="9" operator="lessThan">
      <formula>0</formula>
    </cfRule>
  </conditionalFormatting>
  <conditionalFormatting sqref="BY4:CA4 BY5:CB14">
    <cfRule type="cellIs" dxfId="222" priority="8" operator="lessThan">
      <formula>0</formula>
    </cfRule>
  </conditionalFormatting>
  <conditionalFormatting sqref="CA5:CB14">
    <cfRule type="cellIs" dxfId="221" priority="7" operator="lessThan">
      <formula>0</formula>
    </cfRule>
  </conditionalFormatting>
  <conditionalFormatting sqref="BZ4:BZ14">
    <cfRule type="cellIs" dxfId="220" priority="6" operator="lessThan">
      <formula>0</formula>
    </cfRule>
  </conditionalFormatting>
  <conditionalFormatting sqref="BX5:BX14">
    <cfRule type="cellIs" dxfId="219" priority="5" operator="lessThan">
      <formula>0</formula>
    </cfRule>
  </conditionalFormatting>
  <conditionalFormatting sqref="BX5:BX14">
    <cfRule type="cellIs" dxfId="218" priority="4" operator="lessThan">
      <formula>0</formula>
    </cfRule>
  </conditionalFormatting>
  <conditionalFormatting sqref="BH6">
    <cfRule type="cellIs" dxfId="217" priority="3" operator="lessThan">
      <formula>0</formula>
    </cfRule>
  </conditionalFormatting>
  <conditionalFormatting sqref="BC6">
    <cfRule type="cellIs" dxfId="216" priority="2" operator="lessThan">
      <formula>0</formula>
    </cfRule>
  </conditionalFormatting>
  <conditionalFormatting sqref="AX6">
    <cfRule type="cellIs" dxfId="215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A0F3-6180-4027-AE79-4C14EBFF088B}">
  <dimension ref="A1:V61"/>
  <sheetViews>
    <sheetView workbookViewId="0">
      <selection activeCell="B19" sqref="B19"/>
    </sheetView>
  </sheetViews>
  <sheetFormatPr defaultRowHeight="14.4" x14ac:dyDescent="0.3"/>
  <cols>
    <col min="1" max="1" width="3.109375" style="136" customWidth="1"/>
    <col min="2" max="2" width="4" style="136" customWidth="1"/>
    <col min="3" max="3" width="15.88671875" style="136" customWidth="1"/>
    <col min="4" max="4" width="24" style="136" customWidth="1"/>
    <col min="5" max="7" width="16.5546875" style="136" customWidth="1"/>
    <col min="8" max="8" width="20.5546875" style="136" customWidth="1"/>
    <col min="9" max="9" width="16.5546875" style="136" customWidth="1"/>
    <col min="10" max="10" width="20.44140625" style="136" customWidth="1"/>
    <col min="11" max="11" width="19.109375" style="136" customWidth="1"/>
    <col min="12" max="12" width="17" style="136" customWidth="1"/>
    <col min="13" max="14" width="17.33203125" style="136" customWidth="1"/>
    <col min="15" max="22" width="8.88671875" style="136"/>
  </cols>
  <sheetData>
    <row r="1" spans="1:22" ht="15" thickBot="1" x14ac:dyDescent="0.35">
      <c r="A1"/>
      <c r="B1" s="324" t="s">
        <v>289</v>
      </c>
      <c r="C1" s="268"/>
      <c r="D1" s="325"/>
      <c r="E1" s="325"/>
      <c r="F1" s="325"/>
      <c r="G1" s="325"/>
      <c r="H1" s="325"/>
      <c r="I1" s="325"/>
      <c r="J1" s="325"/>
      <c r="K1" s="325"/>
      <c r="L1" s="268"/>
      <c r="M1" s="268"/>
      <c r="N1" s="268"/>
      <c r="O1" s="268"/>
      <c r="P1" s="268"/>
      <c r="Q1" s="268"/>
      <c r="R1" s="268"/>
      <c r="S1" s="268"/>
      <c r="T1"/>
      <c r="U1"/>
      <c r="V1"/>
    </row>
    <row r="2" spans="1:22" ht="14.4" customHeight="1" x14ac:dyDescent="0.3">
      <c r="B2" s="566" t="s">
        <v>290</v>
      </c>
      <c r="C2" s="566"/>
      <c r="D2" s="567" t="str">
        <f>Premissas!K4</f>
        <v>Menor TMA</v>
      </c>
      <c r="E2" s="567"/>
      <c r="F2" s="568" t="str">
        <f>Premissas!L4</f>
        <v>TMA intermediária</v>
      </c>
      <c r="G2" s="568"/>
      <c r="H2" s="569" t="str">
        <f>Premissas!M4</f>
        <v>Maior TMA</v>
      </c>
      <c r="I2" s="569"/>
      <c r="J2" s="326" t="s">
        <v>291</v>
      </c>
      <c r="K2" s="327"/>
      <c r="L2" s="327"/>
      <c r="M2" s="327"/>
      <c r="N2" s="327"/>
      <c r="O2" s="327"/>
      <c r="P2" s="327"/>
      <c r="Q2" s="327"/>
      <c r="R2" s="327"/>
      <c r="S2" s="327"/>
    </row>
    <row r="3" spans="1:22" x14ac:dyDescent="0.3">
      <c r="B3" s="570" t="s">
        <v>73</v>
      </c>
      <c r="C3" s="570"/>
      <c r="D3" s="567">
        <f>Premissas!K5</f>
        <v>0.04</v>
      </c>
      <c r="E3" s="567"/>
      <c r="F3" s="568">
        <f>Premissas!L5</f>
        <v>0.06</v>
      </c>
      <c r="G3" s="568"/>
      <c r="H3" s="569">
        <f>Premissas!M5</f>
        <v>0.08</v>
      </c>
      <c r="I3" s="569"/>
      <c r="J3" s="328" t="s">
        <v>292</v>
      </c>
    </row>
    <row r="4" spans="1:22" ht="14.4" customHeight="1" x14ac:dyDescent="0.3">
      <c r="B4" s="556" t="s">
        <v>2</v>
      </c>
      <c r="C4" s="556"/>
      <c r="D4" s="557">
        <f>NPV(D3,Tabela18183[Investimento total])</f>
        <v>1407715.5427102179</v>
      </c>
      <c r="E4" s="558"/>
      <c r="F4" s="559">
        <f>NPV(F3,Tabela18183[Investimento total])</f>
        <v>1254066.6262850899</v>
      </c>
      <c r="G4" s="560"/>
      <c r="H4" s="561">
        <f>NPV(H3,Tabela18183[Investimento total])</f>
        <v>1124034.2467060734</v>
      </c>
      <c r="I4" s="562"/>
      <c r="J4" s="329" t="s">
        <v>293</v>
      </c>
      <c r="K4" s="330"/>
      <c r="L4" s="330"/>
      <c r="M4" s="330"/>
      <c r="N4" s="330"/>
      <c r="O4" s="330"/>
      <c r="P4" s="330"/>
      <c r="Q4" s="330"/>
      <c r="R4" s="330"/>
      <c r="S4" s="330"/>
    </row>
    <row r="5" spans="1:22" ht="14.4" customHeight="1" x14ac:dyDescent="0.3">
      <c r="B5" s="551" t="s">
        <v>294</v>
      </c>
      <c r="C5" s="331" t="s">
        <v>295</v>
      </c>
      <c r="D5" s="563">
        <f>NPV(D$3,Tabela18183[Lucro líquido sem considerar o investimento])</f>
        <v>53646020.918346599</v>
      </c>
      <c r="E5" s="563"/>
      <c r="F5" s="564">
        <f>NPV(F$3,Tabela18183[Lucro líquido sem considerar o investimento])</f>
        <v>46106460.509840384</v>
      </c>
      <c r="G5" s="564"/>
      <c r="H5" s="565">
        <f>NPV(H$3,Tabela18183[Lucro líquido sem considerar o investimento])</f>
        <v>39811788.407285206</v>
      </c>
      <c r="I5" s="565"/>
      <c r="J5" s="328" t="s">
        <v>296</v>
      </c>
    </row>
    <row r="6" spans="1:22" x14ac:dyDescent="0.3">
      <c r="B6" s="551"/>
      <c r="C6" s="332" t="s">
        <v>297</v>
      </c>
      <c r="D6" s="333">
        <f>NPV(D$3,Tabela18183[Lucro líquido])</f>
        <v>52238305.375636384</v>
      </c>
      <c r="E6" s="334" t="str">
        <f>IF(D6&gt;0,"Viável","Não viável")</f>
        <v>Viável</v>
      </c>
      <c r="F6" s="384">
        <f>NPV(F$3,Tabela18183[Lucro líquido])</f>
        <v>44852393.883555293</v>
      </c>
      <c r="G6" s="385" t="str">
        <f>IF(F6&gt;0,"Viável","Não viável")</f>
        <v>Viável</v>
      </c>
      <c r="H6" s="397">
        <f>NPV(H$3,Tabela18183[Lucro líquido])</f>
        <v>38687754.16057913</v>
      </c>
      <c r="I6" s="398" t="str">
        <f>IF(H6&gt;0,"Viável","Não viável")</f>
        <v>Viável</v>
      </c>
      <c r="J6" s="328" t="s">
        <v>298</v>
      </c>
    </row>
    <row r="7" spans="1:22" x14ac:dyDescent="0.3">
      <c r="B7" s="551"/>
      <c r="C7" s="335" t="s">
        <v>299</v>
      </c>
      <c r="D7" s="336">
        <f>D6*(D3*(1+D3)^FCD!$D$1)/((1+D3)^FCD!$D$1-1)</f>
        <v>6440509.9999682503</v>
      </c>
      <c r="E7" s="337" t="str">
        <f>IF(D7&gt;0,"Viável","Não viável")</f>
        <v>Viável</v>
      </c>
      <c r="F7" s="386">
        <f>F6*(F3*(1+F3)^FCD!$D$1)/((1+F3)^FCD!$D$1-1)</f>
        <v>6094003.1782550849</v>
      </c>
      <c r="G7" s="387" t="str">
        <f>IF(F7&gt;0,"Viável","Não viável")</f>
        <v>Viável</v>
      </c>
      <c r="H7" s="399">
        <f>H6*(H3*(1+H3)^FCD!$D$1)/((1+H3)^FCD!$D$1-1)</f>
        <v>5765616.2213892583</v>
      </c>
      <c r="I7" s="400" t="str">
        <f>IF(H7&gt;0,"Viável","Não viável")</f>
        <v>Viável</v>
      </c>
      <c r="J7" s="329" t="s">
        <v>300</v>
      </c>
      <c r="K7" s="330"/>
      <c r="L7" s="330"/>
      <c r="M7" s="330"/>
      <c r="N7" s="330"/>
      <c r="O7" s="330"/>
      <c r="P7" s="330"/>
      <c r="Q7" s="330"/>
      <c r="R7" s="330"/>
      <c r="S7" s="330"/>
    </row>
    <row r="8" spans="1:22" x14ac:dyDescent="0.3">
      <c r="B8" s="551"/>
      <c r="C8" s="338" t="s">
        <v>301</v>
      </c>
      <c r="D8" s="339">
        <f>FCD!AU16</f>
        <v>2.1768132365073543</v>
      </c>
      <c r="E8" s="334" t="str">
        <f>IF(D8&gt;0,"Viável","Não viável")</f>
        <v>Viável</v>
      </c>
      <c r="F8" s="388">
        <f>FCD!AZ16</f>
        <v>2.162492068222198</v>
      </c>
      <c r="G8" s="385" t="str">
        <f>IF(F8&gt;0,"Viável","Não viável")</f>
        <v>Viável</v>
      </c>
      <c r="H8" s="401">
        <f>FCD!BE16</f>
        <v>2.1474128649749491</v>
      </c>
      <c r="I8" s="398" t="str">
        <f>IF(H8&gt;0,"Viável","Não viável")</f>
        <v>Viável</v>
      </c>
      <c r="J8" s="328" t="s">
        <v>302</v>
      </c>
    </row>
    <row r="9" spans="1:22" x14ac:dyDescent="0.3">
      <c r="B9" s="551"/>
      <c r="C9" s="338" t="s">
        <v>303</v>
      </c>
      <c r="D9" s="340">
        <f>D8^(1/FCD!$D$1)-1</f>
        <v>8.0891538184383771E-2</v>
      </c>
      <c r="E9" s="334" t="str">
        <f>IF(D9&gt;0,"Viável","Não viável")</f>
        <v>Viável</v>
      </c>
      <c r="F9" s="389">
        <f>F8^(1/FCD!$D$1)-1</f>
        <v>8.017830982083618E-2</v>
      </c>
      <c r="G9" s="385" t="str">
        <f>IF(F9&gt;0,"Viável","Não viável")</f>
        <v>Viável</v>
      </c>
      <c r="H9" s="402">
        <f>H8^(1/FCD!$D$1)-1</f>
        <v>7.9422720198344177E-2</v>
      </c>
      <c r="I9" s="398" t="str">
        <f>IF(H9&gt;0,"Viável","Não viável")</f>
        <v>Viável</v>
      </c>
      <c r="J9" s="328" t="s">
        <v>304</v>
      </c>
    </row>
    <row r="10" spans="1:22" x14ac:dyDescent="0.3">
      <c r="B10" s="552"/>
      <c r="C10" s="341" t="s">
        <v>305</v>
      </c>
      <c r="D10" s="342">
        <f>(1+D3)*(1+D9)-1</f>
        <v>0.12412719971175923</v>
      </c>
      <c r="E10" s="337" t="str">
        <f>IF(D10&gt;0,"Viável","Não viável")</f>
        <v>Viável</v>
      </c>
      <c r="F10" s="390">
        <f>(1+F3)*(1+F9)-1</f>
        <v>0.14498900841008644</v>
      </c>
      <c r="G10" s="387" t="str">
        <f>IF(F10&gt;0,"Viável","Não viável")</f>
        <v>Viável</v>
      </c>
      <c r="H10" s="403">
        <f>(1+H3)*(1+H9)-1</f>
        <v>0.16577653781421176</v>
      </c>
      <c r="I10" s="400" t="str">
        <f>IF(H10&gt;0,"Viável","Não viável")</f>
        <v>Viável</v>
      </c>
      <c r="J10" s="329" t="s">
        <v>306</v>
      </c>
      <c r="K10" s="330"/>
      <c r="L10" s="330"/>
      <c r="M10" s="330"/>
      <c r="N10" s="330"/>
      <c r="O10" s="330"/>
      <c r="P10" s="330"/>
      <c r="Q10" s="330"/>
      <c r="R10" s="330"/>
      <c r="S10" s="330"/>
    </row>
    <row r="11" spans="1:22" ht="14.4" customHeight="1" x14ac:dyDescent="0.3">
      <c r="B11" s="550" t="s">
        <v>307</v>
      </c>
      <c r="C11" s="343" t="s">
        <v>308</v>
      </c>
      <c r="D11" s="344">
        <f>IRR(Tabela18183[Lucro líquido])</f>
        <v>1.4592325226356371</v>
      </c>
      <c r="E11" s="334" t="str">
        <f>IF(D11&gt;D3,"Viável","Não viável")</f>
        <v>Viável</v>
      </c>
      <c r="F11" s="391">
        <f>IRR(Tabela18183[Lucro líquido])</f>
        <v>1.4592325226356371</v>
      </c>
      <c r="G11" s="385" t="str">
        <f>IF(F11&gt;F3,"Viável","Não viável")</f>
        <v>Viável</v>
      </c>
      <c r="H11" s="404">
        <f>IRR(Tabela18183[Lucro líquido])</f>
        <v>1.4592325226356371</v>
      </c>
      <c r="I11" s="398" t="str">
        <f>IF(H11&gt;H3,"Viável","Não viável")</f>
        <v>Viável</v>
      </c>
      <c r="J11" s="328" t="s">
        <v>309</v>
      </c>
    </row>
    <row r="12" spans="1:22" x14ac:dyDescent="0.3">
      <c r="B12" s="551"/>
      <c r="C12" s="345" t="s">
        <v>310</v>
      </c>
      <c r="D12" s="346">
        <f>(1+D3)*(1+D9)-1</f>
        <v>0.12412719971175923</v>
      </c>
      <c r="E12" s="337" t="str">
        <f>IF(D12&gt;D3,"Viável","Não viável")</f>
        <v>Viável</v>
      </c>
      <c r="F12" s="392">
        <f>(1+F3)*(1+F9)-1</f>
        <v>0.14498900841008644</v>
      </c>
      <c r="G12" s="387" t="str">
        <f>IF(F12&gt;F3,"Viável","Não viável")</f>
        <v>Viável</v>
      </c>
      <c r="H12" s="405">
        <f>(1+H3)*(1+H9)-1</f>
        <v>0.16577653781421176</v>
      </c>
      <c r="I12" s="400" t="str">
        <f>IF(H12&gt;H3,"Viável","Não viável")</f>
        <v>Viável</v>
      </c>
      <c r="J12" s="329" t="s">
        <v>311</v>
      </c>
      <c r="K12" s="330"/>
      <c r="L12" s="330"/>
      <c r="M12" s="330"/>
      <c r="N12" s="330"/>
      <c r="O12" s="330"/>
      <c r="P12" s="330"/>
      <c r="Q12" s="330"/>
      <c r="R12" s="330"/>
      <c r="S12" s="330"/>
    </row>
    <row r="13" spans="1:22" x14ac:dyDescent="0.3">
      <c r="B13" s="551"/>
      <c r="C13" s="331" t="s">
        <v>312</v>
      </c>
      <c r="D13" s="347">
        <f>D11/D$3</f>
        <v>36.480813065890928</v>
      </c>
      <c r="E13" s="334" t="str">
        <f>IF(D13&gt;1,"Viável","Não viável")</f>
        <v>Viável</v>
      </c>
      <c r="F13" s="393">
        <f>F11/F$3</f>
        <v>24.320542043927286</v>
      </c>
      <c r="G13" s="385" t="str">
        <f>IF(F13&gt;1,"Viável","Não viável")</f>
        <v>Viável</v>
      </c>
      <c r="H13" s="406">
        <f>H11/H$3</f>
        <v>18.240406532945464</v>
      </c>
      <c r="I13" s="398" t="str">
        <f>IF(H13&gt;1,"Viável","Não viável")</f>
        <v>Viável</v>
      </c>
      <c r="J13" s="328" t="s">
        <v>313</v>
      </c>
    </row>
    <row r="14" spans="1:22" x14ac:dyDescent="0.3">
      <c r="B14" s="551"/>
      <c r="C14" s="348" t="s">
        <v>314</v>
      </c>
      <c r="D14" s="349">
        <f>D12/D$3</f>
        <v>3.1031799927939807</v>
      </c>
      <c r="E14" s="337" t="str">
        <f>IF(D14&gt;1,"Viável","Não viável")</f>
        <v>Viável</v>
      </c>
      <c r="F14" s="394">
        <f>F12/F$3</f>
        <v>2.4164834735014407</v>
      </c>
      <c r="G14" s="387" t="str">
        <f>IF(F14&gt;1,"Viável","Não viável")</f>
        <v>Viável</v>
      </c>
      <c r="H14" s="407">
        <f>H12/H$3</f>
        <v>2.0722067226776471</v>
      </c>
      <c r="I14" s="400" t="str">
        <f>IF(H14&gt;1,"Viável","Não viável")</f>
        <v>Viável</v>
      </c>
      <c r="J14" s="329" t="s">
        <v>315</v>
      </c>
      <c r="K14" s="330"/>
      <c r="L14" s="330"/>
      <c r="M14" s="330"/>
      <c r="N14" s="330"/>
      <c r="O14" s="330"/>
      <c r="P14" s="330"/>
      <c r="Q14" s="330"/>
      <c r="R14" s="330"/>
      <c r="S14" s="330"/>
    </row>
    <row r="15" spans="1:22" x14ac:dyDescent="0.3">
      <c r="B15" s="551"/>
      <c r="C15" s="350" t="str">
        <f>"TR-RB/ (" &amp; Premissas!$E$4 &amp; ")"</f>
        <v>TR-RB/ (ano)</v>
      </c>
      <c r="D15" s="351">
        <f>MIN(Tabela18183[TR-RB menor TMA])</f>
        <v>1.0935100465783147</v>
      </c>
      <c r="E15" s="334" t="str">
        <f>IF(D15&lt;=Premissas!$E$17,"Viável","Não viável")</f>
        <v>Viável</v>
      </c>
      <c r="F15" s="395">
        <f>MIN(Tabela18183[TR-RB TMA intermediária])</f>
        <v>1.0953807005698066</v>
      </c>
      <c r="G15" s="385" t="str">
        <f>IF(F15&lt;=Premissas!$E$17,"Viável","Não viável")</f>
        <v>Viável</v>
      </c>
      <c r="H15" s="408">
        <f>MIN(Tabela18183[TR-RB maior TMA])</f>
        <v>1.0972541981343475</v>
      </c>
      <c r="I15" s="398" t="str">
        <f>IF(H15&lt;=Premissas!$E$17,"Viável","Não viável")</f>
        <v>Viável</v>
      </c>
      <c r="J15" s="328" t="s">
        <v>316</v>
      </c>
    </row>
    <row r="16" spans="1:22" x14ac:dyDescent="0.3">
      <c r="B16" s="552"/>
      <c r="C16" s="345" t="s">
        <v>317</v>
      </c>
      <c r="D16" s="553">
        <f>D15/FCD!$D$1</f>
        <v>0.10935100465783147</v>
      </c>
      <c r="E16" s="553"/>
      <c r="F16" s="554">
        <f>F15/FCD!$D$1</f>
        <v>0.10953807005698066</v>
      </c>
      <c r="G16" s="554"/>
      <c r="H16" s="555">
        <f>H15/FCD!$D$1</f>
        <v>0.10972541981343475</v>
      </c>
      <c r="I16" s="555"/>
      <c r="J16" s="329" t="s">
        <v>318</v>
      </c>
      <c r="K16" s="330"/>
      <c r="L16" s="330"/>
      <c r="M16" s="330"/>
      <c r="N16" s="330"/>
      <c r="O16" s="330"/>
      <c r="P16" s="330"/>
      <c r="Q16" s="330"/>
      <c r="R16" s="330"/>
      <c r="S16" s="330"/>
    </row>
    <row r="17" spans="2:19" x14ac:dyDescent="0.3">
      <c r="B17" s="352"/>
      <c r="C17" s="350" t="str">
        <f>"TR-DL/ (" &amp; Premissas!$E$4 &amp; ")"</f>
        <v>TR-DL/ (ano)</v>
      </c>
      <c r="D17" s="353">
        <f>MIN(Tabela18183[TR-DL menor TMA])</f>
        <v>2.2010582540673367</v>
      </c>
      <c r="E17" s="334" t="str">
        <f>IF(D17&lt;=Premissas!$E$17,"Viável","Não viável")</f>
        <v>Viável</v>
      </c>
      <c r="F17" s="396">
        <f>MIN(Tabela18183[TR-DL TMA intermediário])</f>
        <v>2.2162536367034065</v>
      </c>
      <c r="G17" s="385" t="str">
        <f>IF(F17&lt;=Premissas!$E$17,"Viável","Não viável")</f>
        <v>Viável</v>
      </c>
      <c r="H17" s="409">
        <f>MIN(Tabela18183[TR-DL maior TAM])</f>
        <v>2.2318765241602367</v>
      </c>
      <c r="I17" s="398" t="str">
        <f>IF(H17&lt;=Premissas!$E$17,"Viável","Não viável")</f>
        <v>Viável</v>
      </c>
      <c r="J17" s="328" t="s">
        <v>319</v>
      </c>
    </row>
    <row r="18" spans="2:19" x14ac:dyDescent="0.3">
      <c r="B18" s="354"/>
      <c r="C18" s="345" t="s">
        <v>320</v>
      </c>
      <c r="D18" s="553">
        <f>D17/FCD!$D$1</f>
        <v>0.22010582540673368</v>
      </c>
      <c r="E18" s="553"/>
      <c r="F18" s="554">
        <f>F17/FCD!$D$1</f>
        <v>0.22162536367034064</v>
      </c>
      <c r="G18" s="554"/>
      <c r="H18" s="555">
        <f>H17/FCD!$D$1</f>
        <v>0.22318765241602367</v>
      </c>
      <c r="I18" s="555"/>
      <c r="J18" s="329" t="s">
        <v>321</v>
      </c>
      <c r="K18" s="330"/>
      <c r="L18" s="330"/>
      <c r="M18" s="330"/>
      <c r="N18" s="330"/>
      <c r="O18" s="330"/>
      <c r="P18" s="330"/>
      <c r="Q18" s="330"/>
      <c r="R18" s="330"/>
      <c r="S18" s="330"/>
    </row>
    <row r="19" spans="2:19" x14ac:dyDescent="0.3">
      <c r="B19" s="352"/>
      <c r="C19" s="350" t="str">
        <f>"TR-LL / (" &amp; Premissas!$E$4 &amp; ")"</f>
        <v>TR-LL / (ano)</v>
      </c>
      <c r="D19" s="353">
        <f>MIN(Tabela18183[TR-LL menor TMA])</f>
        <v>2.2242732453803198</v>
      </c>
      <c r="E19" s="334" t="str">
        <f>IF(D19&lt;=Premissas!$E$17,"Viável","Não viável")</f>
        <v>Viável</v>
      </c>
      <c r="F19" s="396">
        <f>MIN(Tabela18183[TR-LL  TMA intermediária])</f>
        <v>2.2402795407456959</v>
      </c>
      <c r="G19" s="385" t="str">
        <f>IF(F19&lt;=Premissas!$E$17,"Viável","Não viável")</f>
        <v>Viável</v>
      </c>
      <c r="H19" s="409">
        <f>MIN(Tabela18183[TR-LL maior TMA])</f>
        <v>2.2567270945389524</v>
      </c>
      <c r="I19" s="398" t="str">
        <f>IF(H19&lt;=Premissas!$E$17,"Viável","Não viável")</f>
        <v>Viável</v>
      </c>
      <c r="J19" s="328" t="s">
        <v>322</v>
      </c>
    </row>
    <row r="20" spans="2:19" ht="15" thickBot="1" x14ac:dyDescent="0.35">
      <c r="B20" s="355"/>
      <c r="C20" s="356" t="s">
        <v>323</v>
      </c>
      <c r="D20" s="547">
        <f>D19/FCD!$D$1</f>
        <v>0.22242732453803199</v>
      </c>
      <c r="E20" s="547"/>
      <c r="F20" s="548">
        <f>F19/FCD!$D$1</f>
        <v>0.2240279540745696</v>
      </c>
      <c r="G20" s="548"/>
      <c r="H20" s="549">
        <f>H19/FCD!$D$1</f>
        <v>0.22567270945389523</v>
      </c>
      <c r="I20" s="549"/>
      <c r="J20" s="357" t="s">
        <v>324</v>
      </c>
      <c r="K20" s="135"/>
      <c r="L20" s="135"/>
      <c r="M20" s="135"/>
      <c r="N20" s="135"/>
      <c r="O20" s="135"/>
      <c r="P20" s="135"/>
      <c r="Q20" s="135"/>
      <c r="R20" s="135"/>
      <c r="S20" s="135"/>
    </row>
    <row r="23" spans="2:19" ht="15" thickBot="1" x14ac:dyDescent="0.35">
      <c r="C23" s="324" t="s">
        <v>325</v>
      </c>
      <c r="I23" s="135"/>
    </row>
    <row r="24" spans="2:19" ht="15.6" x14ac:dyDescent="0.3">
      <c r="C24" s="358"/>
      <c r="D24" s="359" t="s">
        <v>326</v>
      </c>
      <c r="E24" s="360" t="s">
        <v>327</v>
      </c>
      <c r="F24" s="361" t="s">
        <v>129</v>
      </c>
      <c r="G24" s="362" t="s">
        <v>328</v>
      </c>
      <c r="H24" s="360" t="s">
        <v>329</v>
      </c>
      <c r="I24" s="363" t="s">
        <v>330</v>
      </c>
      <c r="J24" s="362" t="s">
        <v>331</v>
      </c>
      <c r="K24" s="360" t="s">
        <v>329</v>
      </c>
      <c r="L24" s="363" t="s">
        <v>131</v>
      </c>
      <c r="M24" s="362" t="s">
        <v>332</v>
      </c>
      <c r="N24" s="364" t="s">
        <v>333</v>
      </c>
    </row>
    <row r="25" spans="2:19" ht="43.2" x14ac:dyDescent="0.3">
      <c r="C25" s="273" t="str">
        <f>RB!B9</f>
        <v>Período</v>
      </c>
      <c r="D25" s="365" t="str">
        <f>RB!F10</f>
        <v>Venda por período (ano)</v>
      </c>
      <c r="E25" s="286" t="s">
        <v>334</v>
      </c>
      <c r="F25" s="365" t="str">
        <f>Tabela18183[[#Headers],[Custo fixo]]</f>
        <v>Custo fixo</v>
      </c>
      <c r="G25" s="270" t="s">
        <v>335</v>
      </c>
      <c r="H25" s="286" t="s">
        <v>335</v>
      </c>
      <c r="I25" s="271" t="str">
        <f>Tabela18183[[#Headers],[Custos operacionais]]</f>
        <v>Custos operacionais</v>
      </c>
      <c r="J25" s="270" t="s">
        <v>336</v>
      </c>
      <c r="K25" s="286" t="s">
        <v>336</v>
      </c>
      <c r="L25" s="271" t="str">
        <f>Tabela18183[[#Headers],[Custos e investimentos]]</f>
        <v>Custos e investimentos</v>
      </c>
      <c r="M25" s="270" t="s">
        <v>337</v>
      </c>
      <c r="N25" s="271" t="s">
        <v>337</v>
      </c>
    </row>
    <row r="26" spans="2:19" x14ac:dyDescent="0.3">
      <c r="C26" s="366">
        <f>RB!B11</f>
        <v>0</v>
      </c>
      <c r="D26" s="367">
        <f>RB!F11</f>
        <v>0</v>
      </c>
      <c r="E26" s="368">
        <f>RB!D5</f>
        <v>2</v>
      </c>
      <c r="F26" s="369">
        <f>FCD!Q4</f>
        <v>907500</v>
      </c>
      <c r="G26" s="370">
        <f>ROUNDUP(F26/$E26,0)</f>
        <v>453750</v>
      </c>
      <c r="H26" s="371" t="str">
        <f>IF($D26=0,"NA",G26/$D26)</f>
        <v>NA</v>
      </c>
      <c r="I26" s="372">
        <f>FCD!R4</f>
        <v>943788</v>
      </c>
      <c r="J26" s="370">
        <f>ROUNDUP(I26/$E26,0)</f>
        <v>471894</v>
      </c>
      <c r="K26" s="373" t="str">
        <f>IF($D26=0,"NA",J26/$D26)</f>
        <v>NA</v>
      </c>
      <c r="L26" s="372">
        <f>FCD!S4</f>
        <v>1151388</v>
      </c>
      <c r="M26" s="370">
        <f>ROUNDUP(L26/$E26,0)</f>
        <v>575694</v>
      </c>
      <c r="N26" s="374" t="str">
        <f>IF($D26=0,"NA",M26/$D26)</f>
        <v>NA</v>
      </c>
    </row>
    <row r="27" spans="2:19" x14ac:dyDescent="0.3">
      <c r="C27" s="366">
        <f>RB!B12</f>
        <v>1</v>
      </c>
      <c r="D27" s="367">
        <f>RB!F12</f>
        <v>1200000</v>
      </c>
      <c r="E27" s="368">
        <f>E26*(1+Premissas!$E$6/100)</f>
        <v>2</v>
      </c>
      <c r="F27" s="369">
        <f>FCD!Q5</f>
        <v>902286</v>
      </c>
      <c r="G27" s="370">
        <f t="shared" ref="G27:G36" si="0">ROUNDUP(F27/$E27,0)</f>
        <v>451143</v>
      </c>
      <c r="H27" s="371">
        <f t="shared" ref="H27:H36" si="1">IF($D27=0,"NA",G27/$D27)</f>
        <v>0.37595250000000002</v>
      </c>
      <c r="I27" s="372">
        <f>FCD!R5</f>
        <v>967604.4</v>
      </c>
      <c r="J27" s="370">
        <f t="shared" ref="J27:J36" si="2">ROUNDUP(I27/$E27,0)</f>
        <v>483803</v>
      </c>
      <c r="K27" s="375">
        <f t="shared" ref="K27:K36" si="3">IF($D27=0,"NA",J27/$D27)</f>
        <v>0.40316916666666669</v>
      </c>
      <c r="L27" s="372">
        <f>FCD!S5</f>
        <v>1055214.3999999999</v>
      </c>
      <c r="M27" s="370">
        <f t="shared" ref="M27:M36" si="4">ROUNDUP(L27/$E27,0)</f>
        <v>527608</v>
      </c>
      <c r="N27" s="376">
        <f t="shared" ref="N27:N36" si="5">IF($D27=0,"NA",M27/$D27)</f>
        <v>0.43967333333333336</v>
      </c>
    </row>
    <row r="28" spans="2:19" x14ac:dyDescent="0.3">
      <c r="C28" s="366">
        <f>RB!B13</f>
        <v>2</v>
      </c>
      <c r="D28" s="367">
        <f>RB!F13</f>
        <v>2400000</v>
      </c>
      <c r="E28" s="368">
        <f>E27*(1+Premissas!$E$6/100)</f>
        <v>2</v>
      </c>
      <c r="F28" s="369">
        <f>FCD!Q6</f>
        <v>1038120.2999999999</v>
      </c>
      <c r="G28" s="370">
        <f t="shared" si="0"/>
        <v>519061</v>
      </c>
      <c r="H28" s="371">
        <f t="shared" si="1"/>
        <v>0.21627541666666666</v>
      </c>
      <c r="I28" s="372">
        <f>FCD!R6</f>
        <v>1168757.0999999999</v>
      </c>
      <c r="J28" s="370">
        <f t="shared" si="2"/>
        <v>584379</v>
      </c>
      <c r="K28" s="375">
        <f t="shared" si="3"/>
        <v>0.24349124999999999</v>
      </c>
      <c r="L28" s="372">
        <f>FCD!S6</f>
        <v>1272477.0999999999</v>
      </c>
      <c r="M28" s="370">
        <f t="shared" si="4"/>
        <v>636239</v>
      </c>
      <c r="N28" s="376">
        <f t="shared" si="5"/>
        <v>0.26509958333333333</v>
      </c>
    </row>
    <row r="29" spans="2:19" x14ac:dyDescent="0.3">
      <c r="C29" s="366">
        <f>RB!B14</f>
        <v>3</v>
      </c>
      <c r="D29" s="367">
        <f>RB!F14</f>
        <v>3600000</v>
      </c>
      <c r="E29" s="368">
        <f>E28*(1+Premissas!$E$6/100)</f>
        <v>2</v>
      </c>
      <c r="F29" s="369">
        <f>FCD!Q7</f>
        <v>1146704.706</v>
      </c>
      <c r="G29" s="370">
        <f t="shared" si="0"/>
        <v>573353</v>
      </c>
      <c r="H29" s="371">
        <f t="shared" si="1"/>
        <v>0.15926472222222221</v>
      </c>
      <c r="I29" s="372">
        <f>FCD!R7</f>
        <v>1342659.906</v>
      </c>
      <c r="J29" s="370">
        <f t="shared" si="2"/>
        <v>671330</v>
      </c>
      <c r="K29" s="375">
        <f t="shared" si="3"/>
        <v>0.18648055555555557</v>
      </c>
      <c r="L29" s="372">
        <f>FCD!S7</f>
        <v>1462489.906</v>
      </c>
      <c r="M29" s="370">
        <f t="shared" si="4"/>
        <v>731245</v>
      </c>
      <c r="N29" s="376">
        <f t="shared" si="5"/>
        <v>0.2031236111111111</v>
      </c>
    </row>
    <row r="30" spans="2:19" x14ac:dyDescent="0.3">
      <c r="C30" s="366">
        <f>RB!B15</f>
        <v>4</v>
      </c>
      <c r="D30" s="367">
        <f>RB!F15</f>
        <v>4800000</v>
      </c>
      <c r="E30" s="368">
        <f>E29*(1+Premissas!$E$6/100)</f>
        <v>2</v>
      </c>
      <c r="F30" s="369">
        <f>FCD!Q8</f>
        <v>1225437.6002400001</v>
      </c>
      <c r="G30" s="370">
        <f t="shared" si="0"/>
        <v>612719</v>
      </c>
      <c r="H30" s="371">
        <f t="shared" si="1"/>
        <v>0.12764979166666668</v>
      </c>
      <c r="I30" s="372">
        <f>FCD!R8</f>
        <v>1486711.2002400002</v>
      </c>
      <c r="J30" s="370">
        <f t="shared" si="2"/>
        <v>743356</v>
      </c>
      <c r="K30" s="375">
        <f t="shared" si="3"/>
        <v>0.15486583333333334</v>
      </c>
      <c r="L30" s="372">
        <f>FCD!S8</f>
        <v>1622651.2002400002</v>
      </c>
      <c r="M30" s="370">
        <f t="shared" si="4"/>
        <v>811326</v>
      </c>
      <c r="N30" s="376">
        <f t="shared" si="5"/>
        <v>0.16902624999999999</v>
      </c>
    </row>
    <row r="31" spans="2:19" x14ac:dyDescent="0.3">
      <c r="C31" s="366">
        <f>RB!B16</f>
        <v>5</v>
      </c>
      <c r="D31" s="367">
        <f>RB!F16</f>
        <v>6000000</v>
      </c>
      <c r="E31" s="368">
        <f>E30*(1+Premissas!$E$6/100)</f>
        <v>2</v>
      </c>
      <c r="F31" s="369">
        <f>FCD!Q9</f>
        <v>1609046.3522447997</v>
      </c>
      <c r="G31" s="370">
        <f t="shared" si="0"/>
        <v>804524</v>
      </c>
      <c r="H31" s="371">
        <f t="shared" si="1"/>
        <v>0.13408733333333334</v>
      </c>
      <c r="I31" s="372">
        <f>FCD!R9</f>
        <v>1935638.3522447997</v>
      </c>
      <c r="J31" s="370">
        <f t="shared" si="2"/>
        <v>967820</v>
      </c>
      <c r="K31" s="375">
        <f t="shared" si="3"/>
        <v>0.16130333333333333</v>
      </c>
      <c r="L31" s="372">
        <f>FCD!S9</f>
        <v>2087688.3522447997</v>
      </c>
      <c r="M31" s="370">
        <f t="shared" si="4"/>
        <v>1043845</v>
      </c>
      <c r="N31" s="376">
        <f t="shared" si="5"/>
        <v>0.17397416666666668</v>
      </c>
    </row>
    <row r="32" spans="2:19" x14ac:dyDescent="0.3">
      <c r="C32" s="366">
        <f>RB!B17</f>
        <v>6</v>
      </c>
      <c r="D32" s="367">
        <f>RB!F17</f>
        <v>7200000</v>
      </c>
      <c r="E32" s="368">
        <f>E31*(1+Premissas!$E$6/100)</f>
        <v>2</v>
      </c>
      <c r="F32" s="369">
        <f>FCD!Q10</f>
        <v>1744496.879289696</v>
      </c>
      <c r="G32" s="370">
        <f t="shared" si="0"/>
        <v>872249</v>
      </c>
      <c r="H32" s="371">
        <f t="shared" si="1"/>
        <v>0.12114569444444444</v>
      </c>
      <c r="I32" s="372">
        <f>FCD!R10</f>
        <v>2136407.2792896959</v>
      </c>
      <c r="J32" s="370">
        <f t="shared" si="2"/>
        <v>1068204</v>
      </c>
      <c r="K32" s="375">
        <f t="shared" si="3"/>
        <v>0.14836166666666667</v>
      </c>
      <c r="L32" s="372">
        <f>FCD!S10</f>
        <v>2304567.2792896959</v>
      </c>
      <c r="M32" s="370">
        <f t="shared" si="4"/>
        <v>1152284</v>
      </c>
      <c r="N32" s="376">
        <f t="shared" si="5"/>
        <v>0.16003944444444446</v>
      </c>
    </row>
    <row r="33" spans="3:14" x14ac:dyDescent="0.3">
      <c r="C33" s="366">
        <f>RB!B18</f>
        <v>7</v>
      </c>
      <c r="D33" s="367">
        <f>RB!F18</f>
        <v>8400000</v>
      </c>
      <c r="E33" s="368">
        <f>E32*(1+Premissas!$E$6/100)</f>
        <v>2</v>
      </c>
      <c r="F33" s="369">
        <f>FCD!Q11</f>
        <v>1934190.41687549</v>
      </c>
      <c r="G33" s="370">
        <f t="shared" si="0"/>
        <v>967096</v>
      </c>
      <c r="H33" s="371">
        <f t="shared" si="1"/>
        <v>0.11513047619047619</v>
      </c>
      <c r="I33" s="372">
        <f>FCD!R11</f>
        <v>2391419.2168754898</v>
      </c>
      <c r="J33" s="370">
        <f t="shared" si="2"/>
        <v>1195710</v>
      </c>
      <c r="K33" s="375">
        <f t="shared" si="3"/>
        <v>0.14234642857142857</v>
      </c>
      <c r="L33" s="372">
        <f>FCD!S11</f>
        <v>2575689.2168754898</v>
      </c>
      <c r="M33" s="370">
        <f t="shared" si="4"/>
        <v>1287845</v>
      </c>
      <c r="N33" s="376">
        <f t="shared" si="5"/>
        <v>0.15331488095238094</v>
      </c>
    </row>
    <row r="34" spans="3:14" x14ac:dyDescent="0.3">
      <c r="C34" s="366">
        <f>RB!B19</f>
        <v>8</v>
      </c>
      <c r="D34" s="367">
        <f>RB!F19</f>
        <v>9600000</v>
      </c>
      <c r="E34" s="368">
        <f>E33*(1+Premissas!$E$6/100)</f>
        <v>2</v>
      </c>
      <c r="F34" s="369">
        <f>FCD!Q12</f>
        <v>2052552.3378194994</v>
      </c>
      <c r="G34" s="370">
        <f t="shared" si="0"/>
        <v>1026277</v>
      </c>
      <c r="H34" s="371">
        <f t="shared" si="1"/>
        <v>0.10690385416666667</v>
      </c>
      <c r="I34" s="372">
        <f>FCD!R12</f>
        <v>2575099.5378194991</v>
      </c>
      <c r="J34" s="370">
        <f t="shared" si="2"/>
        <v>1287550</v>
      </c>
      <c r="K34" s="375">
        <f t="shared" si="3"/>
        <v>0.13411979166666665</v>
      </c>
      <c r="L34" s="372">
        <f>FCD!S12</f>
        <v>2775479.5378194991</v>
      </c>
      <c r="M34" s="370">
        <f t="shared" si="4"/>
        <v>1387740</v>
      </c>
      <c r="N34" s="376">
        <f t="shared" si="5"/>
        <v>0.14455625</v>
      </c>
    </row>
    <row r="35" spans="3:14" x14ac:dyDescent="0.3">
      <c r="C35" s="366">
        <f>RB!B20</f>
        <v>9</v>
      </c>
      <c r="D35" s="367">
        <f>RB!F20</f>
        <v>10800000</v>
      </c>
      <c r="E35" s="368">
        <f>E34*(1+Premissas!$E$6/100)</f>
        <v>2</v>
      </c>
      <c r="F35" s="369">
        <f>FCD!Q13</f>
        <v>2629607.3845758894</v>
      </c>
      <c r="G35" s="370">
        <f t="shared" si="0"/>
        <v>1314804</v>
      </c>
      <c r="H35" s="371">
        <f t="shared" si="1"/>
        <v>0.12174111111111111</v>
      </c>
      <c r="I35" s="372">
        <f>FCD!R13</f>
        <v>3217472.9845758895</v>
      </c>
      <c r="J35" s="370">
        <f t="shared" si="2"/>
        <v>1608737</v>
      </c>
      <c r="K35" s="375">
        <f t="shared" si="3"/>
        <v>0.14895712962962962</v>
      </c>
      <c r="L35" s="372">
        <f>FCD!S13</f>
        <v>3433962.9845758895</v>
      </c>
      <c r="M35" s="370">
        <f t="shared" si="4"/>
        <v>1716982</v>
      </c>
      <c r="N35" s="376">
        <f t="shared" si="5"/>
        <v>0.15897981481481482</v>
      </c>
    </row>
    <row r="36" spans="3:14" ht="15" thickBot="1" x14ac:dyDescent="0.35">
      <c r="C36" s="366">
        <f>RB!B21</f>
        <v>10</v>
      </c>
      <c r="D36" s="367">
        <f>RB!F21</f>
        <v>12000000</v>
      </c>
      <c r="E36" s="368">
        <f>E35*(1+Premissas!$E$6/100)</f>
        <v>2</v>
      </c>
      <c r="F36" s="369">
        <f>FCD!Q14</f>
        <v>2741822.7322674072</v>
      </c>
      <c r="G36" s="377">
        <f t="shared" si="0"/>
        <v>1370912</v>
      </c>
      <c r="H36" s="378">
        <f t="shared" si="1"/>
        <v>0.11424266666666667</v>
      </c>
      <c r="I36" s="372">
        <f>FCD!R14</f>
        <v>3395006.7322674072</v>
      </c>
      <c r="J36" s="377">
        <f t="shared" si="2"/>
        <v>1697504</v>
      </c>
      <c r="K36" s="379">
        <f t="shared" si="3"/>
        <v>0.14145866666666668</v>
      </c>
      <c r="L36" s="372">
        <f>FCD!S14</f>
        <v>3627606.7322674072</v>
      </c>
      <c r="M36" s="377">
        <f t="shared" si="4"/>
        <v>1813804</v>
      </c>
      <c r="N36" s="380">
        <f t="shared" si="5"/>
        <v>0.15115033333333333</v>
      </c>
    </row>
    <row r="37" spans="3:14" x14ac:dyDescent="0.3">
      <c r="C37" s="124" t="s">
        <v>338</v>
      </c>
    </row>
    <row r="38" spans="3:14" x14ac:dyDescent="0.3">
      <c r="C38" s="381" t="s">
        <v>339</v>
      </c>
    </row>
    <row r="39" spans="3:14" x14ac:dyDescent="0.3">
      <c r="C39" s="381" t="s">
        <v>340</v>
      </c>
    </row>
    <row r="40" spans="3:14" x14ac:dyDescent="0.3">
      <c r="C40" s="381" t="s">
        <v>341</v>
      </c>
    </row>
    <row r="41" spans="3:14" x14ac:dyDescent="0.3">
      <c r="C41" s="381" t="s">
        <v>342</v>
      </c>
    </row>
    <row r="42" spans="3:14" x14ac:dyDescent="0.3">
      <c r="C42" s="381" t="s">
        <v>343</v>
      </c>
    </row>
    <row r="43" spans="3:14" x14ac:dyDescent="0.3">
      <c r="C43" s="381" t="s">
        <v>344</v>
      </c>
    </row>
    <row r="44" spans="3:14" x14ac:dyDescent="0.3">
      <c r="C44" s="381" t="s">
        <v>345</v>
      </c>
    </row>
    <row r="45" spans="3:14" x14ac:dyDescent="0.3">
      <c r="C45" s="381" t="s">
        <v>346</v>
      </c>
    </row>
    <row r="46" spans="3:14" x14ac:dyDescent="0.3">
      <c r="C46" s="381" t="s">
        <v>347</v>
      </c>
    </row>
    <row r="47" spans="3:14" x14ac:dyDescent="0.3">
      <c r="C47" s="381" t="s">
        <v>348</v>
      </c>
    </row>
    <row r="48" spans="3:14" x14ac:dyDescent="0.3">
      <c r="C48" s="381" t="s">
        <v>349</v>
      </c>
    </row>
    <row r="49" spans="3:3" x14ac:dyDescent="0.3">
      <c r="C49" s="381" t="s">
        <v>350</v>
      </c>
    </row>
    <row r="50" spans="3:3" x14ac:dyDescent="0.3">
      <c r="C50" s="381" t="s">
        <v>351</v>
      </c>
    </row>
    <row r="51" spans="3:3" x14ac:dyDescent="0.3">
      <c r="C51" s="381" t="s">
        <v>352</v>
      </c>
    </row>
    <row r="52" spans="3:3" x14ac:dyDescent="0.3">
      <c r="C52" s="381" t="s">
        <v>353</v>
      </c>
    </row>
    <row r="53" spans="3:3" x14ac:dyDescent="0.3">
      <c r="C53" s="381" t="s">
        <v>354</v>
      </c>
    </row>
    <row r="54" spans="3:3" x14ac:dyDescent="0.3">
      <c r="C54" s="381" t="s">
        <v>355</v>
      </c>
    </row>
    <row r="55" spans="3:3" x14ac:dyDescent="0.3">
      <c r="C55" s="381" t="s">
        <v>356</v>
      </c>
    </row>
    <row r="56" spans="3:3" x14ac:dyDescent="0.3">
      <c r="C56" s="381" t="s">
        <v>357</v>
      </c>
    </row>
    <row r="57" spans="3:3" x14ac:dyDescent="0.3">
      <c r="C57" s="381" t="s">
        <v>358</v>
      </c>
    </row>
    <row r="58" spans="3:3" x14ac:dyDescent="0.3">
      <c r="C58" s="381" t="s">
        <v>359</v>
      </c>
    </row>
    <row r="61" spans="3:3" x14ac:dyDescent="0.3">
      <c r="C61" s="433" t="s">
        <v>382</v>
      </c>
    </row>
  </sheetData>
  <mergeCells count="26"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B10"/>
    <mergeCell ref="D5:E5"/>
    <mergeCell ref="F5:G5"/>
    <mergeCell ref="H5:I5"/>
    <mergeCell ref="D20:E20"/>
    <mergeCell ref="F20:G20"/>
    <mergeCell ref="H20:I20"/>
    <mergeCell ref="B11:B16"/>
    <mergeCell ref="D16:E16"/>
    <mergeCell ref="F16:G16"/>
    <mergeCell ref="H16:I16"/>
    <mergeCell ref="D18:E18"/>
    <mergeCell ref="F18:G18"/>
    <mergeCell ref="H18:I18"/>
  </mergeCells>
  <conditionalFormatting sqref="D6:D16 F6:F13 H6:H13">
    <cfRule type="cellIs" dxfId="128" priority="53" operator="lessThan">
      <formula>0</formula>
    </cfRule>
  </conditionalFormatting>
  <conditionalFormatting sqref="F8">
    <cfRule type="cellIs" dxfId="127" priority="52" operator="lessThan">
      <formula>0</formula>
    </cfRule>
  </conditionalFormatting>
  <conditionalFormatting sqref="H8">
    <cfRule type="cellIs" dxfId="126" priority="51" operator="lessThan">
      <formula>0</formula>
    </cfRule>
  </conditionalFormatting>
  <conditionalFormatting sqref="E6">
    <cfRule type="cellIs" dxfId="125" priority="50" operator="equal">
      <formula>"Não viável"</formula>
    </cfRule>
  </conditionalFormatting>
  <conditionalFormatting sqref="D5">
    <cfRule type="cellIs" dxfId="124" priority="49" operator="lessThan">
      <formula>0</formula>
    </cfRule>
  </conditionalFormatting>
  <conditionalFormatting sqref="I10 I14">
    <cfRule type="cellIs" dxfId="123" priority="44" operator="equal">
      <formula>"Não viável"</formula>
    </cfRule>
  </conditionalFormatting>
  <conditionalFormatting sqref="E7:E14">
    <cfRule type="cellIs" dxfId="122" priority="45" operator="equal">
      <formula>"Não viável"</formula>
    </cfRule>
  </conditionalFormatting>
  <conditionalFormatting sqref="G10 G14">
    <cfRule type="cellIs" dxfId="121" priority="46" operator="equal">
      <formula>"Não viável"</formula>
    </cfRule>
  </conditionalFormatting>
  <conditionalFormatting sqref="D17">
    <cfRule type="cellIs" dxfId="120" priority="40" operator="lessThan">
      <formula>0</formula>
    </cfRule>
  </conditionalFormatting>
  <conditionalFormatting sqref="E17">
    <cfRule type="cellIs" dxfId="119" priority="38" operator="equal">
      <formula>"Não viável"</formula>
    </cfRule>
  </conditionalFormatting>
  <conditionalFormatting sqref="D19">
    <cfRule type="cellIs" dxfId="118" priority="39" operator="lessThan">
      <formula>0</formula>
    </cfRule>
  </conditionalFormatting>
  <conditionalFormatting sqref="D18">
    <cfRule type="cellIs" dxfId="117" priority="32" operator="lessThan">
      <formula>0</formula>
    </cfRule>
  </conditionalFormatting>
  <conditionalFormatting sqref="D20">
    <cfRule type="cellIs" dxfId="116" priority="31" operator="lessThan">
      <formula>0</formula>
    </cfRule>
  </conditionalFormatting>
  <conditionalFormatting sqref="E15">
    <cfRule type="cellIs" dxfId="115" priority="30" operator="equal">
      <formula>"Não viável"</formula>
    </cfRule>
  </conditionalFormatting>
  <conditionalFormatting sqref="E19">
    <cfRule type="cellIs" dxfId="114" priority="29" operator="equal">
      <formula>"Não viável"</formula>
    </cfRule>
  </conditionalFormatting>
  <conditionalFormatting sqref="F5">
    <cfRule type="cellIs" dxfId="113" priority="28" operator="lessThan">
      <formula>0</formula>
    </cfRule>
  </conditionalFormatting>
  <conditionalFormatting sqref="H5">
    <cfRule type="cellIs" dxfId="112" priority="27" operator="lessThan">
      <formula>0</formula>
    </cfRule>
  </conditionalFormatting>
  <conditionalFormatting sqref="G6">
    <cfRule type="cellIs" dxfId="111" priority="26" operator="equal">
      <formula>"Não viável"</formula>
    </cfRule>
  </conditionalFormatting>
  <conditionalFormatting sqref="I6">
    <cfRule type="cellIs" dxfId="110" priority="25" operator="equal">
      <formula>"Não viável"</formula>
    </cfRule>
  </conditionalFormatting>
  <conditionalFormatting sqref="G7">
    <cfRule type="cellIs" dxfId="109" priority="24" operator="equal">
      <formula>"Não viável"</formula>
    </cfRule>
  </conditionalFormatting>
  <conditionalFormatting sqref="I7">
    <cfRule type="cellIs" dxfId="108" priority="23" operator="equal">
      <formula>"Não viável"</formula>
    </cfRule>
  </conditionalFormatting>
  <conditionalFormatting sqref="G9">
    <cfRule type="cellIs" dxfId="107" priority="22" operator="equal">
      <formula>"Não viável"</formula>
    </cfRule>
  </conditionalFormatting>
  <conditionalFormatting sqref="I9">
    <cfRule type="cellIs" dxfId="106" priority="21" operator="equal">
      <formula>"Não viável"</formula>
    </cfRule>
  </conditionalFormatting>
  <conditionalFormatting sqref="G8">
    <cfRule type="cellIs" dxfId="105" priority="20" operator="equal">
      <formula>"Não viável"</formula>
    </cfRule>
  </conditionalFormatting>
  <conditionalFormatting sqref="I8">
    <cfRule type="cellIs" dxfId="104" priority="19" operator="equal">
      <formula>"Não viável"</formula>
    </cfRule>
  </conditionalFormatting>
  <conditionalFormatting sqref="G11">
    <cfRule type="cellIs" dxfId="103" priority="18" operator="equal">
      <formula>"Não viável"</formula>
    </cfRule>
  </conditionalFormatting>
  <conditionalFormatting sqref="I11">
    <cfRule type="cellIs" dxfId="102" priority="17" operator="equal">
      <formula>"Não viável"</formula>
    </cfRule>
  </conditionalFormatting>
  <conditionalFormatting sqref="G12">
    <cfRule type="cellIs" dxfId="101" priority="16" operator="equal">
      <formula>"Não viável"</formula>
    </cfRule>
  </conditionalFormatting>
  <conditionalFormatting sqref="I12">
    <cfRule type="cellIs" dxfId="100" priority="15" operator="equal">
      <formula>"Não viável"</formula>
    </cfRule>
  </conditionalFormatting>
  <conditionalFormatting sqref="G13">
    <cfRule type="cellIs" dxfId="99" priority="14" operator="equal">
      <formula>"Não viável"</formula>
    </cfRule>
  </conditionalFormatting>
  <conditionalFormatting sqref="I13">
    <cfRule type="cellIs" dxfId="98" priority="13" operator="equal">
      <formula>"Não viável"</formula>
    </cfRule>
  </conditionalFormatting>
  <conditionalFormatting sqref="G15">
    <cfRule type="cellIs" dxfId="97" priority="12" operator="equal">
      <formula>"Não viável"</formula>
    </cfRule>
  </conditionalFormatting>
  <conditionalFormatting sqref="I15">
    <cfRule type="cellIs" dxfId="96" priority="11" operator="equal">
      <formula>"Não viável"</formula>
    </cfRule>
  </conditionalFormatting>
  <conditionalFormatting sqref="F16">
    <cfRule type="cellIs" dxfId="95" priority="10" operator="lessThan">
      <formula>0</formula>
    </cfRule>
  </conditionalFormatting>
  <conditionalFormatting sqref="H16">
    <cfRule type="cellIs" dxfId="94" priority="9" operator="lessThan">
      <formula>0</formula>
    </cfRule>
  </conditionalFormatting>
  <conditionalFormatting sqref="G17">
    <cfRule type="cellIs" dxfId="93" priority="8" operator="equal">
      <formula>"Não viável"</formula>
    </cfRule>
  </conditionalFormatting>
  <conditionalFormatting sqref="I17">
    <cfRule type="cellIs" dxfId="92" priority="7" operator="equal">
      <formula>"Não viável"</formula>
    </cfRule>
  </conditionalFormatting>
  <conditionalFormatting sqref="F18">
    <cfRule type="cellIs" dxfId="91" priority="6" operator="lessThan">
      <formula>0</formula>
    </cfRule>
  </conditionalFormatting>
  <conditionalFormatting sqref="H18">
    <cfRule type="cellIs" dxfId="90" priority="5" operator="lessThan">
      <formula>0</formula>
    </cfRule>
  </conditionalFormatting>
  <conditionalFormatting sqref="G19">
    <cfRule type="cellIs" dxfId="89" priority="4" operator="equal">
      <formula>"Não viável"</formula>
    </cfRule>
  </conditionalFormatting>
  <conditionalFormatting sqref="I19">
    <cfRule type="cellIs" dxfId="88" priority="3" operator="equal">
      <formula>"Não viável"</formula>
    </cfRule>
  </conditionalFormatting>
  <conditionalFormatting sqref="F20">
    <cfRule type="cellIs" dxfId="87" priority="2" operator="lessThan">
      <formula>0</formula>
    </cfRule>
  </conditionalFormatting>
  <conditionalFormatting sqref="H20">
    <cfRule type="cellIs" dxfId="86" priority="1" operator="lessThan">
      <formula>0</formula>
    </cfRule>
  </conditionalFormatting>
  <conditionalFormatting sqref="N26:N36">
    <cfRule type="colorScale" priority="54">
      <colorScale>
        <cfvo type="min"/>
        <cfvo type="max"/>
        <color rgb="FFFCFCFF"/>
        <color rgb="FFF8696B"/>
      </colorScale>
    </cfRule>
  </conditionalFormatting>
  <conditionalFormatting sqref="K26:K36">
    <cfRule type="colorScale" priority="56">
      <colorScale>
        <cfvo type="min"/>
        <cfvo type="max"/>
        <color rgb="FFFCFCFF"/>
        <color rgb="FFF8696B"/>
      </colorScale>
    </cfRule>
  </conditionalFormatting>
  <conditionalFormatting sqref="H26:H36">
    <cfRule type="colorScale" priority="58">
      <colorScale>
        <cfvo type="min"/>
        <cfvo type="max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38D8-7D5A-45FD-93A4-6C7202A34ED8}">
  <dimension ref="B1:N40"/>
  <sheetViews>
    <sheetView tabSelected="1" zoomScale="66" zoomScaleNormal="66" workbookViewId="0"/>
  </sheetViews>
  <sheetFormatPr defaultRowHeight="14.4" x14ac:dyDescent="0.3"/>
  <cols>
    <col min="2" max="2" width="82" bestFit="1" customWidth="1"/>
    <col min="3" max="3" width="27.88671875" bestFit="1" customWidth="1"/>
    <col min="4" max="4" width="13.77734375" bestFit="1" customWidth="1"/>
    <col min="5" max="6" width="13.109375" bestFit="1" customWidth="1"/>
    <col min="7" max="8" width="13.88671875" bestFit="1" customWidth="1"/>
    <col min="9" max="12" width="14.6640625" bestFit="1" customWidth="1"/>
    <col min="13" max="14" width="15.6640625" bestFit="1" customWidth="1"/>
  </cols>
  <sheetData>
    <row r="1" spans="2:14" ht="15" thickBot="1" x14ac:dyDescent="0.35">
      <c r="B1" s="28" t="s">
        <v>99</v>
      </c>
      <c r="C1" s="93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2:14" x14ac:dyDescent="0.3">
      <c r="B2" s="95"/>
      <c r="C2" s="95" t="str">
        <f>"Período / "&amp;Premissas!$E$4 &amp; " ---&gt;"</f>
        <v>Período / ano ---&gt;</v>
      </c>
      <c r="D2" s="269">
        <f t="array" ref="D2:N2">TRANSPOSE(RB!B11:B21)</f>
        <v>0</v>
      </c>
      <c r="E2" s="269">
        <v>1</v>
      </c>
      <c r="F2" s="248">
        <v>2</v>
      </c>
      <c r="G2" s="248">
        <v>3</v>
      </c>
      <c r="H2" s="248">
        <v>4</v>
      </c>
      <c r="I2" s="248">
        <v>5</v>
      </c>
      <c r="J2" s="248">
        <v>6</v>
      </c>
      <c r="K2" s="248">
        <v>7</v>
      </c>
      <c r="L2" s="248">
        <v>8</v>
      </c>
      <c r="M2" s="248">
        <v>9</v>
      </c>
      <c r="N2" s="248">
        <v>10</v>
      </c>
    </row>
    <row r="3" spans="2:14" x14ac:dyDescent="0.3">
      <c r="B3" s="3" t="str">
        <f>Tabela18183[[#Headers],[Receita bruta ou receita total]]</f>
        <v>Receita bruta ou receita total</v>
      </c>
      <c r="C3" s="319" t="s">
        <v>100</v>
      </c>
      <c r="D3" s="97">
        <f>D4+D5</f>
        <v>0</v>
      </c>
      <c r="E3" s="97">
        <f t="shared" ref="E3:N3" si="0">E4+E5</f>
        <v>2400000</v>
      </c>
      <c r="F3" s="98">
        <f t="shared" si="0"/>
        <v>4800000</v>
      </c>
      <c r="G3" s="98">
        <f t="shared" si="0"/>
        <v>7200000</v>
      </c>
      <c r="H3" s="98">
        <f t="shared" si="0"/>
        <v>9600000</v>
      </c>
      <c r="I3" s="98">
        <f t="shared" si="0"/>
        <v>12000000</v>
      </c>
      <c r="J3" s="98">
        <f t="shared" si="0"/>
        <v>14400000</v>
      </c>
      <c r="K3" s="98">
        <f t="shared" si="0"/>
        <v>16800000</v>
      </c>
      <c r="L3" s="98">
        <f t="shared" si="0"/>
        <v>19200000</v>
      </c>
      <c r="M3" s="98">
        <f t="shared" si="0"/>
        <v>21600000</v>
      </c>
      <c r="N3" s="98">
        <f t="shared" si="0"/>
        <v>24000000</v>
      </c>
    </row>
    <row r="4" spans="2:14" x14ac:dyDescent="0.3">
      <c r="B4" s="99" t="str">
        <f>RB!C9</f>
        <v>Receita Não Operacional</v>
      </c>
      <c r="C4" s="100" t="s">
        <v>101</v>
      </c>
      <c r="D4" s="101">
        <f t="array" ref="D4:N4">TRANSPOSE(RB!C11:C21)</f>
        <v>0</v>
      </c>
      <c r="E4" s="101">
        <v>0</v>
      </c>
      <c r="F4" s="102">
        <v>0</v>
      </c>
      <c r="G4" s="102">
        <v>0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</row>
    <row r="5" spans="2:14" x14ac:dyDescent="0.3">
      <c r="B5" s="99" t="str">
        <f>RB!D9</f>
        <v>Receita total sobre vendas</v>
      </c>
      <c r="C5" s="100" t="s">
        <v>102</v>
      </c>
      <c r="D5" s="101">
        <f>D6*D7</f>
        <v>0</v>
      </c>
      <c r="E5" s="101">
        <f t="shared" ref="E5:N5" si="1">E6*E7</f>
        <v>2400000</v>
      </c>
      <c r="F5" s="102">
        <f t="shared" si="1"/>
        <v>4800000</v>
      </c>
      <c r="G5" s="102">
        <f t="shared" si="1"/>
        <v>7200000</v>
      </c>
      <c r="H5" s="102">
        <f t="shared" si="1"/>
        <v>9600000</v>
      </c>
      <c r="I5" s="102">
        <f t="shared" si="1"/>
        <v>12000000</v>
      </c>
      <c r="J5" s="102">
        <f t="shared" si="1"/>
        <v>14400000</v>
      </c>
      <c r="K5" s="102">
        <f t="shared" si="1"/>
        <v>16800000</v>
      </c>
      <c r="L5" s="102">
        <f t="shared" si="1"/>
        <v>19200000</v>
      </c>
      <c r="M5" s="102">
        <f t="shared" si="1"/>
        <v>21600000</v>
      </c>
      <c r="N5" s="102">
        <f t="shared" si="1"/>
        <v>24000000</v>
      </c>
    </row>
    <row r="6" spans="2:14" x14ac:dyDescent="0.3">
      <c r="B6" s="99" t="s">
        <v>103</v>
      </c>
      <c r="C6" s="100" t="s">
        <v>104</v>
      </c>
      <c r="D6" s="103">
        <f t="array" ref="D6:N6">TRANSPOSE(RB!F11:F21)</f>
        <v>0</v>
      </c>
      <c r="E6" s="103">
        <v>1200000</v>
      </c>
      <c r="F6" s="104">
        <v>2400000</v>
      </c>
      <c r="G6" s="104">
        <v>3600000</v>
      </c>
      <c r="H6" s="104">
        <v>4800000</v>
      </c>
      <c r="I6" s="104">
        <v>6000000</v>
      </c>
      <c r="J6" s="104">
        <v>7200000</v>
      </c>
      <c r="K6" s="104">
        <v>8400000</v>
      </c>
      <c r="L6" s="104">
        <v>9600000</v>
      </c>
      <c r="M6" s="104">
        <v>10800000</v>
      </c>
      <c r="N6" s="104">
        <v>12000000</v>
      </c>
    </row>
    <row r="7" spans="2:14" x14ac:dyDescent="0.3">
      <c r="B7" s="105" t="str">
        <f>"Preço unitário /  (R$/" &amp;Premissas!$E$5 &amp; ")"</f>
        <v>Preço unitário /  (R$/API)</v>
      </c>
      <c r="C7" s="106" t="s">
        <v>105</v>
      </c>
      <c r="D7" s="107">
        <f t="array" ref="D7:N7">TRANSPOSE(RB!E11:E21)</f>
        <v>2</v>
      </c>
      <c r="E7" s="107">
        <v>2</v>
      </c>
      <c r="F7" s="108">
        <v>2</v>
      </c>
      <c r="G7" s="108">
        <v>2</v>
      </c>
      <c r="H7" s="108">
        <v>2</v>
      </c>
      <c r="I7" s="108">
        <v>2</v>
      </c>
      <c r="J7" s="108">
        <v>2</v>
      </c>
      <c r="K7" s="108">
        <v>2</v>
      </c>
      <c r="L7" s="108">
        <v>2</v>
      </c>
      <c r="M7" s="108">
        <v>2</v>
      </c>
      <c r="N7" s="108">
        <v>2</v>
      </c>
    </row>
    <row r="8" spans="2:14" x14ac:dyDescent="0.3">
      <c r="B8" s="3" t="str">
        <f>Tabela18183[[#Headers],[Impostos proporcionais (ISS, ICMS, IPI, PIS, CONFINS etc.) total]]</f>
        <v>Impostos proporcionais (ISS, ICMS, IPI, PIS, CONFINS etc.) total</v>
      </c>
      <c r="C8" s="319" t="str">
        <f>FCD!H2</f>
        <v>IPp = IPF + IPE + IPM</v>
      </c>
      <c r="D8" s="97">
        <f>SUM(D9:D11)</f>
        <v>0</v>
      </c>
      <c r="E8" s="97">
        <f>SUM(E9:E11)</f>
        <v>252000</v>
      </c>
      <c r="F8" s="98">
        <f t="shared" ref="F8:N8" si="2">SUM(F9:F11)</f>
        <v>504000</v>
      </c>
      <c r="G8" s="98">
        <f t="shared" si="2"/>
        <v>756000</v>
      </c>
      <c r="H8" s="98">
        <f t="shared" si="2"/>
        <v>1008000</v>
      </c>
      <c r="I8" s="98">
        <f t="shared" si="2"/>
        <v>1260000</v>
      </c>
      <c r="J8" s="98">
        <f t="shared" si="2"/>
        <v>1512000</v>
      </c>
      <c r="K8" s="98">
        <f t="shared" si="2"/>
        <v>1764000</v>
      </c>
      <c r="L8" s="98">
        <f t="shared" si="2"/>
        <v>2016000</v>
      </c>
      <c r="M8" s="98">
        <f t="shared" si="2"/>
        <v>2268000</v>
      </c>
      <c r="N8" s="98">
        <f t="shared" si="2"/>
        <v>2520000</v>
      </c>
    </row>
    <row r="9" spans="2:14" x14ac:dyDescent="0.3">
      <c r="B9" s="109" t="s">
        <v>47</v>
      </c>
      <c r="C9" s="110" t="str">
        <f>FCD!E2</f>
        <v>IPF</v>
      </c>
      <c r="D9" s="101">
        <f t="array" ref="D9:N9">TRANSPOSE(Tabela18183[Impostos proporcionais federais em relação a receita bruta])</f>
        <v>0</v>
      </c>
      <c r="E9" s="101">
        <v>192000</v>
      </c>
      <c r="F9" s="102">
        <v>384000</v>
      </c>
      <c r="G9" s="102">
        <v>576000</v>
      </c>
      <c r="H9" s="102">
        <v>768000</v>
      </c>
      <c r="I9" s="102">
        <v>960000</v>
      </c>
      <c r="J9" s="102">
        <v>1152000</v>
      </c>
      <c r="K9" s="102">
        <v>1344000</v>
      </c>
      <c r="L9" s="102">
        <v>1536000</v>
      </c>
      <c r="M9" s="102">
        <v>1728000</v>
      </c>
      <c r="N9" s="102">
        <v>1920000</v>
      </c>
    </row>
    <row r="10" spans="2:14" x14ac:dyDescent="0.3">
      <c r="B10" s="109" t="s">
        <v>49</v>
      </c>
      <c r="C10" s="110" t="str">
        <f>FCD!F2</f>
        <v>IPE</v>
      </c>
      <c r="D10" s="101">
        <f t="array" ref="D10:N10">TRANSPOSE(Tabela18183[Impostos proporcionais estaduais em relação a receita bruta])</f>
        <v>0</v>
      </c>
      <c r="E10" s="101">
        <v>60000</v>
      </c>
      <c r="F10" s="102">
        <v>120000</v>
      </c>
      <c r="G10" s="102">
        <v>180000</v>
      </c>
      <c r="H10" s="102">
        <v>240000</v>
      </c>
      <c r="I10" s="102">
        <v>300000</v>
      </c>
      <c r="J10" s="102">
        <v>360000</v>
      </c>
      <c r="K10" s="102">
        <v>420000</v>
      </c>
      <c r="L10" s="102">
        <v>480000</v>
      </c>
      <c r="M10" s="102">
        <v>540000</v>
      </c>
      <c r="N10" s="102">
        <v>600000</v>
      </c>
    </row>
    <row r="11" spans="2:14" x14ac:dyDescent="0.3">
      <c r="B11" s="111" t="s">
        <v>50</v>
      </c>
      <c r="C11" s="112" t="str">
        <f>FCD!G2</f>
        <v>IPM</v>
      </c>
      <c r="D11" s="107">
        <f t="array" ref="D11:N11">TRANSPOSE(Tabela18183[Impostos proporcionais municipais em relação a receita bruta])</f>
        <v>0</v>
      </c>
      <c r="E11" s="107">
        <v>0</v>
      </c>
      <c r="F11" s="108">
        <v>0</v>
      </c>
      <c r="G11" s="108">
        <v>0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</row>
    <row r="12" spans="2:14" x14ac:dyDescent="0.3">
      <c r="B12" s="113" t="str">
        <f>Tabela18183[[#Headers],[Receita líquida]]</f>
        <v>Receita líquida</v>
      </c>
      <c r="C12" s="114" t="str">
        <f>FCD!I2</f>
        <v>RL = RT - IPt</v>
      </c>
      <c r="D12" s="115">
        <f>D3-D8</f>
        <v>0</v>
      </c>
      <c r="E12" s="115">
        <f t="shared" ref="E12:N12" si="3">E3-E8</f>
        <v>2148000</v>
      </c>
      <c r="F12" s="116">
        <f t="shared" si="3"/>
        <v>4296000</v>
      </c>
      <c r="G12" s="116">
        <f t="shared" si="3"/>
        <v>6444000</v>
      </c>
      <c r="H12" s="116">
        <f t="shared" si="3"/>
        <v>8592000</v>
      </c>
      <c r="I12" s="116">
        <f t="shared" si="3"/>
        <v>10740000</v>
      </c>
      <c r="J12" s="116">
        <f t="shared" si="3"/>
        <v>12888000</v>
      </c>
      <c r="K12" s="116">
        <f t="shared" si="3"/>
        <v>15036000</v>
      </c>
      <c r="L12" s="116">
        <f t="shared" si="3"/>
        <v>17184000</v>
      </c>
      <c r="M12" s="116">
        <f t="shared" si="3"/>
        <v>19332000</v>
      </c>
      <c r="N12" s="116">
        <f t="shared" si="3"/>
        <v>21480000</v>
      </c>
    </row>
    <row r="13" spans="2:14" x14ac:dyDescent="0.3">
      <c r="B13" s="3" t="str">
        <f>Tabela18183[[#Headers],[Custos e investimentos]]</f>
        <v>Custos e investimentos</v>
      </c>
      <c r="C13" s="319" t="str">
        <f>FCD!S2</f>
        <v>CI = IT + CO</v>
      </c>
      <c r="D13" s="97">
        <f>SUM(D14:D16)</f>
        <v>1151388</v>
      </c>
      <c r="E13" s="97">
        <f t="shared" ref="E13:N13" si="4">SUM(E14:E16)</f>
        <v>1055214.3999999999</v>
      </c>
      <c r="F13" s="98">
        <f t="shared" si="4"/>
        <v>1272477.0999999999</v>
      </c>
      <c r="G13" s="98">
        <f t="shared" si="4"/>
        <v>1462489.906</v>
      </c>
      <c r="H13" s="98">
        <f t="shared" si="4"/>
        <v>1622651.2002400002</v>
      </c>
      <c r="I13" s="98">
        <f t="shared" si="4"/>
        <v>2087688.3522447997</v>
      </c>
      <c r="J13" s="98">
        <f t="shared" si="4"/>
        <v>2304567.2792896964</v>
      </c>
      <c r="K13" s="98">
        <f t="shared" si="4"/>
        <v>2575689.2168754898</v>
      </c>
      <c r="L13" s="98">
        <f t="shared" si="4"/>
        <v>2775479.5378194991</v>
      </c>
      <c r="M13" s="98">
        <f t="shared" si="4"/>
        <v>3433962.9845758895</v>
      </c>
      <c r="N13" s="98">
        <f t="shared" si="4"/>
        <v>3627606.7322674072</v>
      </c>
    </row>
    <row r="14" spans="2:14" x14ac:dyDescent="0.3">
      <c r="B14" s="99" t="str">
        <f>Tabela18183[[#Headers],[Investimento total]]</f>
        <v>Investimento total</v>
      </c>
      <c r="C14" s="100" t="str">
        <f>FCD!O2</f>
        <v>IT = IBC + IBE + IBI + PD&amp;I + MKT</v>
      </c>
      <c r="D14" s="101">
        <f t="array" ref="D14:N14">TRANSPOSE(Tabela18183[Investimento total])</f>
        <v>207600</v>
      </c>
      <c r="E14" s="101">
        <v>87610</v>
      </c>
      <c r="F14" s="102">
        <v>103720</v>
      </c>
      <c r="G14" s="102">
        <v>119830</v>
      </c>
      <c r="H14" s="102">
        <v>135940</v>
      </c>
      <c r="I14" s="102">
        <v>152050</v>
      </c>
      <c r="J14" s="102">
        <v>168160</v>
      </c>
      <c r="K14" s="102">
        <v>184270</v>
      </c>
      <c r="L14" s="102">
        <v>200380</v>
      </c>
      <c r="M14" s="102">
        <v>216490</v>
      </c>
      <c r="N14" s="102">
        <v>232600</v>
      </c>
    </row>
    <row r="15" spans="2:14" x14ac:dyDescent="0.3">
      <c r="B15" s="99" t="str">
        <f>Tabela18183[[#Headers],[Custo variável]]</f>
        <v>Custo variável</v>
      </c>
      <c r="C15" s="100" t="str">
        <f>FCD!P2</f>
        <v>CV</v>
      </c>
      <c r="D15" s="101">
        <f t="array" ref="D15:N15">TRANSPOSE(Tabela18183[Custo variável])</f>
        <v>36288</v>
      </c>
      <c r="E15" s="101">
        <v>65318.399999999994</v>
      </c>
      <c r="F15" s="102">
        <v>130636.79999999999</v>
      </c>
      <c r="G15" s="102">
        <v>195955.20000000004</v>
      </c>
      <c r="H15" s="102">
        <v>261273.59999999998</v>
      </c>
      <c r="I15" s="102">
        <v>326592</v>
      </c>
      <c r="J15" s="102">
        <v>391910.40000000008</v>
      </c>
      <c r="K15" s="102">
        <v>457228.80000000005</v>
      </c>
      <c r="L15" s="102">
        <v>522547.19999999995</v>
      </c>
      <c r="M15" s="102">
        <v>587865.59999999998</v>
      </c>
      <c r="N15" s="102">
        <v>653184</v>
      </c>
    </row>
    <row r="16" spans="2:14" x14ac:dyDescent="0.3">
      <c r="B16" s="105" t="str">
        <f>Tabela18183[[#Headers],[Custo fixo]]</f>
        <v>Custo fixo</v>
      </c>
      <c r="C16" s="106" t="str">
        <f>FCD!Q2</f>
        <v>CF</v>
      </c>
      <c r="D16" s="107">
        <f t="array" ref="D16:N16">TRANSPOSE(Tabela18183[Custo fixo])</f>
        <v>907500</v>
      </c>
      <c r="E16" s="107">
        <v>902286</v>
      </c>
      <c r="F16" s="108">
        <v>1038120.2999999999</v>
      </c>
      <c r="G16" s="108">
        <v>1146704.706</v>
      </c>
      <c r="H16" s="108">
        <v>1225437.6002400001</v>
      </c>
      <c r="I16" s="108">
        <v>1609046.3522447997</v>
      </c>
      <c r="J16" s="108">
        <v>1744496.879289696</v>
      </c>
      <c r="K16" s="108">
        <v>1934190.41687549</v>
      </c>
      <c r="L16" s="108">
        <v>2052552.3378194994</v>
      </c>
      <c r="M16" s="108">
        <v>2629607.3845758894</v>
      </c>
      <c r="N16" s="108">
        <v>2741822.7322674072</v>
      </c>
    </row>
    <row r="17" spans="2:14" x14ac:dyDescent="0.3">
      <c r="B17" s="113" t="str">
        <f>Tabela18183[[#Headers],[Lucro operacional ou LAJIRDA ou EBITDA]]</f>
        <v>Lucro operacional ou LAJIRDA ou EBITDA</v>
      </c>
      <c r="C17" s="114" t="str">
        <f>FCD!T2</f>
        <v>LO = RL - CI</v>
      </c>
      <c r="D17" s="115">
        <f t="shared" ref="D17:N17" si="5">D12-D13</f>
        <v>-1151388</v>
      </c>
      <c r="E17" s="115">
        <f t="shared" si="5"/>
        <v>1092785.6000000001</v>
      </c>
      <c r="F17" s="116">
        <f t="shared" si="5"/>
        <v>3023522.9000000004</v>
      </c>
      <c r="G17" s="116">
        <f t="shared" si="5"/>
        <v>4981510.0940000005</v>
      </c>
      <c r="H17" s="116">
        <f t="shared" si="5"/>
        <v>6969348.7997599998</v>
      </c>
      <c r="I17" s="116">
        <f t="shared" si="5"/>
        <v>8652311.6477552</v>
      </c>
      <c r="J17" s="116">
        <f t="shared" si="5"/>
        <v>10583432.720710304</v>
      </c>
      <c r="K17" s="116">
        <f t="shared" si="5"/>
        <v>12460310.78312451</v>
      </c>
      <c r="L17" s="116">
        <f t="shared" si="5"/>
        <v>14408520.462180501</v>
      </c>
      <c r="M17" s="116">
        <f t="shared" si="5"/>
        <v>15898037.01542411</v>
      </c>
      <c r="N17" s="116">
        <f t="shared" si="5"/>
        <v>17852393.267732594</v>
      </c>
    </row>
    <row r="18" spans="2:14" x14ac:dyDescent="0.3">
      <c r="B18" s="99" t="str">
        <f>Tabela18183[[#Headers],[Depreciações (somatório)]]</f>
        <v>Depreciações (somatório)</v>
      </c>
      <c r="C18" s="100" t="str">
        <f>FCD!Z2</f>
        <v>Ds</v>
      </c>
      <c r="D18" s="101">
        <f t="array" ref="D18:N18">TRANSPOSE(Tabela18183[Depreciações (somatório)])</f>
        <v>30000</v>
      </c>
      <c r="E18" s="101">
        <v>15520</v>
      </c>
      <c r="F18" s="102">
        <v>15520</v>
      </c>
      <c r="G18" s="102">
        <v>15520</v>
      </c>
      <c r="H18" s="102">
        <v>15520</v>
      </c>
      <c r="I18" s="102">
        <v>15520</v>
      </c>
      <c r="J18" s="102">
        <v>15520</v>
      </c>
      <c r="K18" s="102">
        <v>15520</v>
      </c>
      <c r="L18" s="102">
        <v>15520</v>
      </c>
      <c r="M18" s="102">
        <v>15520</v>
      </c>
      <c r="N18" s="102">
        <v>15520</v>
      </c>
    </row>
    <row r="19" spans="2:14" x14ac:dyDescent="0.3">
      <c r="B19" s="99" t="str">
        <f>Tabela18183[[#Headers],[Somatório da amortização (principal) de empréstimos e outros dedutíveis do IR]]</f>
        <v>Somatório da amortização (principal) de empréstimos e outros dedutíveis do IR</v>
      </c>
      <c r="C19" s="100" t="str">
        <f>FCD!AC2</f>
        <v>SAD = Emp + OD</v>
      </c>
      <c r="D19" s="101">
        <f t="array" ref="D19:N19">TRANSPOSE(Tabela18183[Somatório da amortização (principal) de empréstimos e outros dedutíveis do IR])</f>
        <v>47189.4</v>
      </c>
      <c r="E19" s="101">
        <v>48380.22</v>
      </c>
      <c r="F19" s="102">
        <v>114849.9103371182</v>
      </c>
      <c r="G19" s="102">
        <v>126929.77423711821</v>
      </c>
      <c r="H19" s="102">
        <v>137720.14574911824</v>
      </c>
      <c r="I19" s="102">
        <v>163969.57874935819</v>
      </c>
      <c r="J19" s="102">
        <v>178039.2739644848</v>
      </c>
      <c r="K19" s="102">
        <v>119570.96084377449</v>
      </c>
      <c r="L19" s="102">
        <v>128754.97689097495</v>
      </c>
      <c r="M19" s="102">
        <v>160873.64922879447</v>
      </c>
      <c r="N19" s="102">
        <v>169750.33661337037</v>
      </c>
    </row>
    <row r="20" spans="2:14" x14ac:dyDescent="0.3">
      <c r="B20" s="117" t="str">
        <f>Tabela18183[[#Headers],[Lucro antes do juros, imposto de renda e das contribuições sociais (LAJIR)]]</f>
        <v>Lucro antes do juros, imposto de renda e das contribuições sociais (LAJIR)</v>
      </c>
      <c r="C20" s="118" t="str">
        <f>FCD!AD2</f>
        <v>LAJIR = LO - (DS+SAD)</v>
      </c>
      <c r="D20" s="119">
        <f t="shared" ref="D20:N20" si="6">D17-SUM(D18:D19)</f>
        <v>-1228577.3999999999</v>
      </c>
      <c r="E20" s="119">
        <f t="shared" si="6"/>
        <v>1028885.3800000001</v>
      </c>
      <c r="F20" s="120">
        <f t="shared" si="6"/>
        <v>2893152.9896628819</v>
      </c>
      <c r="G20" s="120">
        <f t="shared" si="6"/>
        <v>4839060.3197628818</v>
      </c>
      <c r="H20" s="120">
        <f t="shared" si="6"/>
        <v>6816108.6540108817</v>
      </c>
      <c r="I20" s="120">
        <f t="shared" si="6"/>
        <v>8472822.0690058414</v>
      </c>
      <c r="J20" s="120">
        <f t="shared" si="6"/>
        <v>10389873.446745818</v>
      </c>
      <c r="K20" s="120">
        <f t="shared" si="6"/>
        <v>12325219.822280735</v>
      </c>
      <c r="L20" s="120">
        <f t="shared" si="6"/>
        <v>14264245.485289525</v>
      </c>
      <c r="M20" s="120">
        <f t="shared" si="6"/>
        <v>15721643.366195315</v>
      </c>
      <c r="N20" s="120">
        <f t="shared" si="6"/>
        <v>17667122.931119222</v>
      </c>
    </row>
    <row r="21" spans="2:14" x14ac:dyDescent="0.3">
      <c r="B21" s="99" t="str">
        <f>Tabela18183[[#Headers],[Juros de empréstimos pagos a credores]]</f>
        <v>Juros de empréstimos pagos a credores</v>
      </c>
      <c r="C21" s="100" t="str">
        <f>FCD!AG2</f>
        <v>JE</v>
      </c>
      <c r="D21" s="101">
        <f t="array" ref="D21:N21">TRANSPOSE(Tabela18183[Juros de empréstimos pagos a credores])</f>
        <v>0</v>
      </c>
      <c r="E21" s="101">
        <v>0</v>
      </c>
      <c r="F21" s="102">
        <v>19080</v>
      </c>
      <c r="G21" s="102">
        <v>15695.276399999999</v>
      </c>
      <c r="H21" s="102">
        <v>12107.4696</v>
      </c>
      <c r="I21" s="102">
        <v>8304.3942000000006</v>
      </c>
      <c r="J21" s="102">
        <v>4273.1346000000003</v>
      </c>
      <c r="K21" s="102">
        <v>0</v>
      </c>
      <c r="L21" s="102">
        <v>0</v>
      </c>
      <c r="M21" s="102">
        <v>0</v>
      </c>
      <c r="N21" s="102">
        <v>0</v>
      </c>
    </row>
    <row r="22" spans="2:14" x14ac:dyDescent="0.3">
      <c r="B22" s="117" t="str">
        <f>Tabela18183[[#Headers],[Lucro antes do imposto de renda e das contribuições sociais (LAIR)]]</f>
        <v>Lucro antes do imposto de renda e das contribuições sociais (LAIR)</v>
      </c>
      <c r="C22" s="118" t="str">
        <f>FCD!AH2</f>
        <v>LAIR = LAJIR -JE</v>
      </c>
      <c r="D22" s="119">
        <f>D20-D21</f>
        <v>-1228577.3999999999</v>
      </c>
      <c r="E22" s="119">
        <f>E20-E21</f>
        <v>1028885.3800000001</v>
      </c>
      <c r="F22" s="120">
        <f t="shared" ref="F22:N22" si="7">F20-F21</f>
        <v>2874072.9896628819</v>
      </c>
      <c r="G22" s="120">
        <f t="shared" si="7"/>
        <v>4823365.043362882</v>
      </c>
      <c r="H22" s="120">
        <f t="shared" si="7"/>
        <v>6804001.1844108813</v>
      </c>
      <c r="I22" s="120">
        <f t="shared" si="7"/>
        <v>8464517.6748058405</v>
      </c>
      <c r="J22" s="120">
        <f t="shared" si="7"/>
        <v>10385600.312145818</v>
      </c>
      <c r="K22" s="120">
        <f t="shared" si="7"/>
        <v>12325219.822280735</v>
      </c>
      <c r="L22" s="120">
        <f t="shared" si="7"/>
        <v>14264245.485289525</v>
      </c>
      <c r="M22" s="120">
        <f t="shared" si="7"/>
        <v>15721643.366195315</v>
      </c>
      <c r="N22" s="120">
        <f t="shared" si="7"/>
        <v>17667122.931119222</v>
      </c>
    </row>
    <row r="23" spans="2:14" x14ac:dyDescent="0.3">
      <c r="B23" s="3" t="str">
        <f>Tabela18183[[#Headers],[Total de impostos e taxas sobre o LAIR]]</f>
        <v>Total de impostos e taxas sobre o LAIR</v>
      </c>
      <c r="C23" s="319" t="str">
        <f>FCD!AM2</f>
        <v>TT = IR+CS+OT</v>
      </c>
      <c r="D23" s="97">
        <f>SUM(D24:D26)</f>
        <v>0</v>
      </c>
      <c r="E23" s="97">
        <f t="shared" ref="E23:N23" si="8">SUM(E24:E26)</f>
        <v>231499.21050000002</v>
      </c>
      <c r="F23" s="98">
        <f t="shared" si="8"/>
        <v>646666.42267414846</v>
      </c>
      <c r="G23" s="98">
        <f t="shared" si="8"/>
        <v>1085257.1347566484</v>
      </c>
      <c r="H23" s="98">
        <f t="shared" si="8"/>
        <v>1530900.2664924483</v>
      </c>
      <c r="I23" s="98">
        <f t="shared" si="8"/>
        <v>1904516.4768313142</v>
      </c>
      <c r="J23" s="98">
        <f t="shared" si="8"/>
        <v>2336760.0702328091</v>
      </c>
      <c r="K23" s="98">
        <f t="shared" si="8"/>
        <v>2773174.4600131651</v>
      </c>
      <c r="L23" s="98">
        <f t="shared" si="8"/>
        <v>3209455.2341901432</v>
      </c>
      <c r="M23" s="98">
        <f t="shared" si="8"/>
        <v>3537369.7573939459</v>
      </c>
      <c r="N23" s="98">
        <f t="shared" si="8"/>
        <v>3975102.659501825</v>
      </c>
    </row>
    <row r="24" spans="2:14" x14ac:dyDescent="0.3">
      <c r="B24" s="121" t="str">
        <f>Tabela18183[[#Headers],[Imposto de renda,  % sobre o LAIR]]</f>
        <v>Imposto de renda,  % sobre o LAIR</v>
      </c>
      <c r="C24" s="100" t="str">
        <f>FCD!AJ2</f>
        <v>IR</v>
      </c>
      <c r="D24" s="101">
        <f t="array" ref="D24:N24">TRANSPOSE(Tabela18183[Imposto de renda,  % sobre o LAIR])</f>
        <v>0</v>
      </c>
      <c r="E24" s="101">
        <v>102888.538</v>
      </c>
      <c r="F24" s="102">
        <v>287407.29896628822</v>
      </c>
      <c r="G24" s="102">
        <v>482336.5043362882</v>
      </c>
      <c r="H24" s="102">
        <v>680400.11844108824</v>
      </c>
      <c r="I24" s="102">
        <v>846451.76748058409</v>
      </c>
      <c r="J24" s="102">
        <v>1038560.0312145817</v>
      </c>
      <c r="K24" s="102">
        <v>1232521.9822280735</v>
      </c>
      <c r="L24" s="102">
        <v>1426424.5485289525</v>
      </c>
      <c r="M24" s="102">
        <v>1572164.3366195315</v>
      </c>
      <c r="N24" s="102">
        <v>1766712.2931119222</v>
      </c>
    </row>
    <row r="25" spans="2:14" x14ac:dyDescent="0.3">
      <c r="B25" s="121" t="str">
        <f>Tabela18183[[#Headers],[Contribuições sociais, % sobre o LAIR]]</f>
        <v>Contribuições sociais, % sobre o LAIR</v>
      </c>
      <c r="C25" s="100" t="str">
        <f>FCD!AK2</f>
        <v>CS</v>
      </c>
      <c r="D25" s="101">
        <f t="array" ref="D25:N25">TRANSPOSE(Tabela18183[Contribuições sociais, % sobre o LAIR])</f>
        <v>0</v>
      </c>
      <c r="E25" s="101">
        <v>77166.4035</v>
      </c>
      <c r="F25" s="102">
        <v>215555.47422471613</v>
      </c>
      <c r="G25" s="102">
        <v>361752.37825221615</v>
      </c>
      <c r="H25" s="102">
        <v>510300.08883081609</v>
      </c>
      <c r="I25" s="102">
        <v>634838.82561043801</v>
      </c>
      <c r="J25" s="102">
        <v>778920.02341093635</v>
      </c>
      <c r="K25" s="102">
        <v>924391.48667105509</v>
      </c>
      <c r="L25" s="102">
        <v>1069818.4113967144</v>
      </c>
      <c r="M25" s="102">
        <v>1179123.2524646486</v>
      </c>
      <c r="N25" s="102">
        <v>1325034.2198339417</v>
      </c>
    </row>
    <row r="26" spans="2:14" x14ac:dyDescent="0.3">
      <c r="B26" s="122" t="str">
        <f>Tabela18183[[#Headers],[Outras taxas ou impostos ou tributos sobre o LAIR]]</f>
        <v>Outras taxas ou impostos ou tributos sobre o LAIR</v>
      </c>
      <c r="C26" s="106" t="str">
        <f>FCD!AL2</f>
        <v>OT</v>
      </c>
      <c r="D26" s="107">
        <f t="array" ref="D26:N26">TRANSPOSE(Tabela18183[Outras taxas ou impostos ou tributos sobre o LAIR])</f>
        <v>0</v>
      </c>
      <c r="E26" s="107">
        <v>51444.269</v>
      </c>
      <c r="F26" s="108">
        <v>143703.64948314411</v>
      </c>
      <c r="G26" s="108">
        <v>241168.2521681441</v>
      </c>
      <c r="H26" s="108">
        <v>340200.05922054412</v>
      </c>
      <c r="I26" s="108">
        <v>423225.88374029205</v>
      </c>
      <c r="J26" s="108">
        <v>519280.01560729084</v>
      </c>
      <c r="K26" s="108">
        <v>616260.99111403676</v>
      </c>
      <c r="L26" s="108">
        <v>713212.27426447626</v>
      </c>
      <c r="M26" s="108">
        <v>786082.16830976575</v>
      </c>
      <c r="N26" s="108">
        <v>883356.14655596111</v>
      </c>
    </row>
    <row r="27" spans="2:14" x14ac:dyDescent="0.3">
      <c r="B27" s="113" t="str">
        <f>Tabela18183[[#Headers],[Lucro líquido]]</f>
        <v>Lucro líquido</v>
      </c>
      <c r="C27" s="123" t="str">
        <f>FCD!AN2</f>
        <v>LL = LAIR - TT</v>
      </c>
      <c r="D27" s="115">
        <f>D22-D23</f>
        <v>-1228577.3999999999</v>
      </c>
      <c r="E27" s="115">
        <f t="shared" ref="E27:N27" si="9">E22-E23</f>
        <v>797386.16950000008</v>
      </c>
      <c r="F27" s="116">
        <f t="shared" si="9"/>
        <v>2227406.5669887336</v>
      </c>
      <c r="G27" s="116">
        <f t="shared" si="9"/>
        <v>3738107.9086062335</v>
      </c>
      <c r="H27" s="116">
        <f t="shared" si="9"/>
        <v>5273100.9179184325</v>
      </c>
      <c r="I27" s="116">
        <f t="shared" si="9"/>
        <v>6560001.1979745263</v>
      </c>
      <c r="J27" s="116">
        <f t="shared" si="9"/>
        <v>8048840.2419130094</v>
      </c>
      <c r="K27" s="116">
        <f t="shared" si="9"/>
        <v>9552045.3622675687</v>
      </c>
      <c r="L27" s="116">
        <f t="shared" si="9"/>
        <v>11054790.251099382</v>
      </c>
      <c r="M27" s="116">
        <f t="shared" si="9"/>
        <v>12184273.608801369</v>
      </c>
      <c r="N27" s="116">
        <f t="shared" si="9"/>
        <v>13692020.271617398</v>
      </c>
    </row>
    <row r="28" spans="2:14" x14ac:dyDescent="0.3">
      <c r="B28" s="124" t="s">
        <v>106</v>
      </c>
      <c r="C28" s="100"/>
      <c r="D28" s="124"/>
      <c r="E28" s="102">
        <f>Premissas!$E$18</f>
        <v>200000</v>
      </c>
      <c r="F28" s="102">
        <f>(E28+E27)*(1+Premissas!$E$6/100)+F27</f>
        <v>3224792.7364887334</v>
      </c>
      <c r="G28" s="102">
        <f>(F28+F27)*(1+Premissas!$E$6/100)+G27</f>
        <v>9190307.212083701</v>
      </c>
      <c r="H28" s="102">
        <f>(G28+G27)*(1+Premissas!$E$6/100)+H27</f>
        <v>18201516.038608365</v>
      </c>
      <c r="I28" s="102">
        <f>(H28+H27)*(1+Premissas!$E$6/100)+I27</f>
        <v>30034618.154501323</v>
      </c>
      <c r="J28" s="102">
        <f>(I28+I27)*(1+Premissas!$E$6/100)+J27</f>
        <v>44643459.594388857</v>
      </c>
      <c r="K28" s="102">
        <f>(J28+J27)*(1+Premissas!$E$6/100)+K27</f>
        <v>62244345.198569432</v>
      </c>
      <c r="L28" s="102">
        <f>(K28+K27)*(1+Premissas!$E$6/100)+L27</f>
        <v>82851180.811936378</v>
      </c>
      <c r="M28" s="102">
        <f>(L28+L27)*(1+Premissas!$E$6/100)+M27</f>
        <v>106090244.67183712</v>
      </c>
      <c r="N28" s="102">
        <f>(M28+M27)*(1+Premissas!$E$6/100)+N27</f>
        <v>131966538.55225588</v>
      </c>
    </row>
    <row r="29" spans="2:14" x14ac:dyDescent="0.3">
      <c r="B29" s="124" t="str">
        <f>CG!C3</f>
        <v>Capital de giro necessário, sem considerar  a reserva para depreciação</v>
      </c>
      <c r="C29" s="100"/>
      <c r="D29" s="102"/>
      <c r="E29" s="102">
        <f t="array" ref="E29:N29">TRANSPOSE(CG!C5:C24)</f>
        <v>1055214.3999999999</v>
      </c>
      <c r="F29" s="102">
        <v>1272477.0999999999</v>
      </c>
      <c r="G29" s="102">
        <v>1462489.906</v>
      </c>
      <c r="H29" s="102">
        <v>1622651.2002400002</v>
      </c>
      <c r="I29" s="102">
        <v>2087688.3522447997</v>
      </c>
      <c r="J29" s="102">
        <v>2304567.2792896959</v>
      </c>
      <c r="K29" s="102">
        <v>2575689.2168754898</v>
      </c>
      <c r="L29" s="102">
        <v>2775479.5378194991</v>
      </c>
      <c r="M29" s="102">
        <v>3433962.9845758895</v>
      </c>
      <c r="N29" s="102">
        <v>3627606.7322674072</v>
      </c>
    </row>
    <row r="30" spans="2:14" x14ac:dyDescent="0.3">
      <c r="B30" s="124" t="s">
        <v>107</v>
      </c>
      <c r="C30" s="100"/>
      <c r="D30" s="102"/>
      <c r="E30" s="102">
        <f>E29 - E18</f>
        <v>1039694.3999999999</v>
      </c>
      <c r="F30" s="102">
        <f t="shared" ref="F30:N30" si="10">F29 - F18</f>
        <v>1256957.0999999999</v>
      </c>
      <c r="G30" s="102">
        <f t="shared" si="10"/>
        <v>1446969.906</v>
      </c>
      <c r="H30" s="102">
        <f t="shared" si="10"/>
        <v>1607131.2002400002</v>
      </c>
      <c r="I30" s="102">
        <f t="shared" si="10"/>
        <v>2072168.3522447997</v>
      </c>
      <c r="J30" s="102">
        <f t="shared" si="10"/>
        <v>2289047.2792896959</v>
      </c>
      <c r="K30" s="102">
        <f t="shared" si="10"/>
        <v>2560169.2168754898</v>
      </c>
      <c r="L30" s="102">
        <f t="shared" si="10"/>
        <v>2759959.5378194991</v>
      </c>
      <c r="M30" s="102">
        <f t="shared" si="10"/>
        <v>3418442.9845758895</v>
      </c>
      <c r="N30" s="102">
        <f t="shared" si="10"/>
        <v>3612086.7322674072</v>
      </c>
    </row>
    <row r="31" spans="2:14" x14ac:dyDescent="0.3">
      <c r="B31" s="124" t="s">
        <v>108</v>
      </c>
      <c r="C31" s="100" t="s">
        <v>109</v>
      </c>
      <c r="D31" s="102"/>
      <c r="E31" s="102">
        <f>E28-E30</f>
        <v>-839694.39999999991</v>
      </c>
      <c r="F31" s="102">
        <f>F28-F30</f>
        <v>1967835.6364887336</v>
      </c>
      <c r="G31" s="102">
        <f t="shared" ref="G31:N31" si="11">G28-G30</f>
        <v>7743337.3060837016</v>
      </c>
      <c r="H31" s="102">
        <f t="shared" si="11"/>
        <v>16594384.838368364</v>
      </c>
      <c r="I31" s="102">
        <f t="shared" si="11"/>
        <v>27962449.802256525</v>
      </c>
      <c r="J31" s="102">
        <f t="shared" si="11"/>
        <v>42354412.315099165</v>
      </c>
      <c r="K31" s="102">
        <f t="shared" si="11"/>
        <v>59684175.981693938</v>
      </c>
      <c r="L31" s="102">
        <f t="shared" si="11"/>
        <v>80091221.274116874</v>
      </c>
      <c r="M31" s="102">
        <f t="shared" si="11"/>
        <v>102671801.68726124</v>
      </c>
      <c r="N31" s="102">
        <f t="shared" si="11"/>
        <v>128354451.81998847</v>
      </c>
    </row>
    <row r="32" spans="2:14" x14ac:dyDescent="0.3">
      <c r="B32" s="125" t="s">
        <v>110</v>
      </c>
      <c r="C32" s="126"/>
      <c r="D32" s="127">
        <f>MIN(E31:N31)</f>
        <v>-839694.39999999991</v>
      </c>
      <c r="E32" s="127"/>
      <c r="F32" s="127"/>
      <c r="G32" s="127"/>
      <c r="H32" s="127"/>
      <c r="I32" s="127"/>
      <c r="J32" s="127"/>
      <c r="K32" s="127"/>
      <c r="L32" s="127"/>
      <c r="M32" s="127"/>
      <c r="N32" s="127"/>
    </row>
    <row r="33" spans="2:14" ht="24" thickBot="1" x14ac:dyDescent="0.35">
      <c r="B33" s="128" t="s">
        <v>111</v>
      </c>
      <c r="C33" s="129"/>
      <c r="D33" s="130" t="str">
        <f>IF(D32&gt;=0,"Sim","Não")</f>
        <v>Não</v>
      </c>
      <c r="E33" s="131"/>
      <c r="F33" s="131"/>
      <c r="G33" s="131"/>
      <c r="H33" s="131"/>
      <c r="I33" s="131"/>
      <c r="J33" s="131"/>
      <c r="K33" s="131"/>
      <c r="L33" s="131"/>
      <c r="M33" s="131"/>
      <c r="N33" s="131"/>
    </row>
    <row r="40" spans="2:14" x14ac:dyDescent="0.3">
      <c r="B40" s="433" t="s">
        <v>382</v>
      </c>
    </row>
  </sheetData>
  <conditionalFormatting sqref="D3:N27 D29:N33 E28:N28">
    <cfRule type="cellIs" dxfId="85" priority="3" operator="lessThan">
      <formula>0</formula>
    </cfRule>
  </conditionalFormatting>
  <conditionalFormatting sqref="D33">
    <cfRule type="cellIs" dxfId="84" priority="1" operator="equal">
      <formula>"Não"</formula>
    </cfRule>
    <cfRule type="cellIs" dxfId="83" priority="2" operator="equal">
      <formula>"Sim"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Investimento_I</vt:lpstr>
      <vt:lpstr>CF</vt:lpstr>
      <vt:lpstr>Premissas</vt:lpstr>
      <vt:lpstr>CV</vt:lpstr>
      <vt:lpstr>RB</vt:lpstr>
      <vt:lpstr>EP</vt:lpstr>
      <vt:lpstr>BC</vt:lpstr>
      <vt:lpstr>CG</vt:lpstr>
      <vt:lpstr>BI</vt:lpstr>
      <vt:lpstr>FCD</vt:lpstr>
      <vt:lpstr>Indicadores</vt:lpstr>
      <vt:lpstr>FCP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Araujo</dc:creator>
  <cp:lastModifiedBy>Rodrigo Araujo</cp:lastModifiedBy>
  <dcterms:created xsi:type="dcterms:W3CDTF">2022-06-04T13:06:42Z</dcterms:created>
  <dcterms:modified xsi:type="dcterms:W3CDTF">2022-06-21T01:36:56Z</dcterms:modified>
</cp:coreProperties>
</file>