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V\dataScience\Excel\Desafio 1 - DIO\"/>
    </mc:Choice>
  </mc:AlternateContent>
  <xr:revisionPtr revIDLastSave="0" documentId="13_ncr:1_{AC865A39-E4C9-4F25-A1D5-C021CAEE6997}" xr6:coauthVersionLast="47" xr6:coauthVersionMax="47" xr10:uidLastSave="{00000000-0000-0000-0000-000000000000}"/>
  <bookViews>
    <workbookView xWindow="-108" yWindow="-108" windowWidth="23256" windowHeight="12576" tabRatio="345" xr2:uid="{D63472A4-8300-4934-9C87-0EC792DCF89D}"/>
  </bookViews>
  <sheets>
    <sheet name="DASHBOARD" sheetId="6" r:id="rId1"/>
    <sheet name="INPUTS" sheetId="3" r:id="rId2"/>
    <sheet name="SIMULAÇÃO" sheetId="4" r:id="rId3"/>
    <sheet name="ATIVOS" sheetId="5" r:id="rId4"/>
  </sheets>
  <definedNames>
    <definedName name="aporte">#REF!</definedName>
    <definedName name="patrimonio">#REF!</definedName>
    <definedName name="qtd_anos">#REF!</definedName>
    <definedName name="rendimento_carteira">#REF!</definedName>
    <definedName name="salario">#REF!</definedName>
    <definedName name="sugestao_investimento">#REF!</definedName>
    <definedName name="taxa_men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B5" i="6"/>
  <c r="B9" i="6"/>
  <c r="B8" i="6"/>
  <c r="B17" i="6"/>
  <c r="B16" i="6"/>
  <c r="B15" i="6"/>
  <c r="B14" i="6"/>
  <c r="B13" i="6"/>
  <c r="B12" i="6"/>
  <c r="C5" i="4"/>
  <c r="C4" i="4"/>
  <c r="B4" i="6" s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14" i="4" l="1"/>
  <c r="C14" i="4" s="1"/>
  <c r="B13" i="4"/>
  <c r="B17" i="4"/>
  <c r="C17" i="4" s="1"/>
  <c r="C13" i="6"/>
  <c r="C15" i="6"/>
  <c r="C16" i="6"/>
  <c r="C14" i="6"/>
  <c r="C17" i="6"/>
  <c r="C12" i="6"/>
  <c r="B15" i="4"/>
  <c r="C15" i="4" s="1"/>
  <c r="B16" i="4"/>
  <c r="C16" i="4" s="1"/>
  <c r="C13" i="4"/>
  <c r="C18" i="6" l="1"/>
  <c r="C8" i="4"/>
  <c r="C9" i="4" s="1"/>
  <c r="B7" i="6" s="1"/>
  <c r="B6" i="6" l="1"/>
</calcChain>
</file>

<file path=xl/sharedStrings.xml><?xml version="1.0" encoding="utf-8"?>
<sst xmlns="http://schemas.openxmlformats.org/spreadsheetml/2006/main" count="84" uniqueCount="47">
  <si>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</si>
  <si>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</si>
  <si>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</si>
  <si>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</si>
  <si>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</si>
  <si>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</si>
  <si>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</si>
  <si>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</si>
  <si>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</si>
  <si>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</si>
  <si>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</si>
  <si>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</si>
  <si>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</si>
  <si>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</si>
  <si>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</si>
  <si>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</si>
  <si>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</si>
  <si>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</si>
  <si>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</si>
  <si>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</si>
  <si>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</si>
  <si>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</si>
  <si>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</si>
  <si>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</si>
  <si>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</si>
  <si>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</si>
  <si>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(%)</t>
  </si>
  <si>
    <t>Horizonte de Investimento (meses)</t>
  </si>
  <si>
    <t>Inflação Anual (%)</t>
  </si>
  <si>
    <t>Rendimento Renda Fixa (%)</t>
  </si>
  <si>
    <t>Rendimento Renda Variável (%)</t>
  </si>
  <si>
    <t>% Alocação Renda Fixa</t>
  </si>
  <si>
    <t>Contribuição Extra Mensal</t>
  </si>
  <si>
    <t>Aliquota IR (%)</t>
  </si>
  <si>
    <t>Investimento Mensal</t>
  </si>
  <si>
    <t>Taxa de Rendimento (%)</t>
  </si>
  <si>
    <t>Tempo (anos)</t>
  </si>
  <si>
    <t>Tempo (meses)</t>
  </si>
  <si>
    <t>Patrimônio acumulado</t>
  </si>
  <si>
    <t>Dividendos Mensais</t>
  </si>
  <si>
    <t>Meta final</t>
  </si>
  <si>
    <t>TOTAL</t>
  </si>
  <si>
    <t>PATRIMÔNIO ACUMULADO</t>
  </si>
  <si>
    <t>DIVIDENDOS MENSAIS</t>
  </si>
  <si>
    <t>TAXA DE RENDIMENTO MENSAL</t>
  </si>
  <si>
    <t>META FINAL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</si>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</sst>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indent="3"/>
    </xf>
    <xf numFmtId="164" fontId="9" fillId="4" borderId="6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left" indent="3"/>
    </xf>
    <xf numFmtId="164" fontId="9" fillId="4" borderId="9" xfId="0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left" indent="3"/>
    </xf>
    <xf numFmtId="164" fontId="9" fillId="4" borderId="11" xfId="0" applyNumberFormat="1" applyFont="1" applyFill="1" applyBorder="1" applyAlignment="1">
      <alignment horizontal="center"/>
    </xf>
    <xf numFmtId="0" fontId="8" fillId="6" borderId="12" xfId="0" applyFont="1" applyFill="1" applyBorder="1" applyAlignment="1">
      <alignment horizontal="left" indent="3"/>
    </xf>
    <xf numFmtId="0" fontId="8" fillId="6" borderId="13" xfId="0" applyFont="1" applyFill="1" applyBorder="1" applyAlignment="1">
      <alignment horizontal="left" indent="3"/>
    </xf>
    <xf numFmtId="164" fontId="10" fillId="0" borderId="14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8" fontId="10" fillId="4" borderId="17" xfId="0" applyNumberFormat="1" applyFont="1" applyFill="1" applyBorder="1" applyAlignment="1">
      <alignment horizontal="center"/>
    </xf>
    <xf numFmtId="8" fontId="10" fillId="4" borderId="20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8" fillId="6" borderId="21" xfId="0" applyFont="1" applyFill="1" applyBorder="1" applyAlignment="1">
      <alignment horizontal="left" indent="3"/>
    </xf>
    <xf numFmtId="164" fontId="9" fillId="0" borderId="22" xfId="1" applyNumberFormat="1" applyFont="1" applyBorder="1" applyAlignment="1">
      <alignment horizontal="center"/>
    </xf>
    <xf numFmtId="9" fontId="9" fillId="0" borderId="22" xfId="2" applyFont="1" applyBorder="1" applyAlignment="1">
      <alignment horizontal="center"/>
    </xf>
    <xf numFmtId="0" fontId="9" fillId="0" borderId="22" xfId="1" applyNumberFormat="1" applyFont="1" applyBorder="1" applyAlignment="1">
      <alignment horizontal="center"/>
    </xf>
    <xf numFmtId="164" fontId="9" fillId="0" borderId="22" xfId="2" applyNumberFormat="1" applyFont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indent="3"/>
    </xf>
    <xf numFmtId="164" fontId="9" fillId="0" borderId="23" xfId="2" applyNumberFormat="1" applyFont="1" applyBorder="1" applyAlignment="1">
      <alignment horizontal="center"/>
    </xf>
    <xf numFmtId="0" fontId="10" fillId="0" borderId="17" xfId="0" applyNumberFormat="1" applyFont="1" applyBorder="1" applyAlignment="1">
      <alignment horizontal="center"/>
    </xf>
    <xf numFmtId="165" fontId="9" fillId="0" borderId="22" xfId="2" applyNumberFormat="1" applyFont="1" applyBorder="1" applyAlignment="1">
      <alignment horizontal="center"/>
    </xf>
    <xf numFmtId="165" fontId="10" fillId="0" borderId="14" xfId="2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left" indent="3"/>
    </xf>
    <xf numFmtId="0" fontId="8" fillId="6" borderId="13" xfId="0" applyFont="1" applyFill="1" applyBorder="1" applyAlignment="1">
      <alignment horizontal="left" indent="3"/>
    </xf>
    <xf numFmtId="0" fontId="8" fillId="6" borderId="15" xfId="0" applyFont="1" applyFill="1" applyBorder="1" applyAlignment="1">
      <alignment horizontal="left" indent="3"/>
    </xf>
    <xf numFmtId="0" fontId="8" fillId="6" borderId="16" xfId="0" applyFont="1" applyFill="1" applyBorder="1" applyAlignment="1">
      <alignment horizontal="left" indent="3"/>
    </xf>
    <xf numFmtId="0" fontId="11" fillId="4" borderId="15" xfId="0" applyFont="1" applyFill="1" applyBorder="1" applyAlignment="1">
      <alignment horizontal="left" indent="3"/>
    </xf>
    <xf numFmtId="0" fontId="11" fillId="4" borderId="16" xfId="0" applyFont="1" applyFill="1" applyBorder="1" applyAlignment="1">
      <alignment horizontal="left" indent="3"/>
    </xf>
    <xf numFmtId="0" fontId="11" fillId="4" borderId="18" xfId="0" applyFont="1" applyFill="1" applyBorder="1" applyAlignment="1">
      <alignment horizontal="left" indent="3"/>
    </xf>
    <xf numFmtId="0" fontId="11" fillId="4" borderId="19" xfId="0" applyFont="1" applyFill="1" applyBorder="1" applyAlignment="1">
      <alignment horizontal="left" indent="3"/>
    </xf>
    <xf numFmtId="0" fontId="3" fillId="7" borderId="0" xfId="0" applyFont="1" applyFill="1" applyAlignment="1">
      <alignment horizontal="left"/>
    </xf>
    <xf numFmtId="165" fontId="3" fillId="6" borderId="0" xfId="2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/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3" justifyLastLine="0" shrinkToFit="0" readingOrder="0"/>
      <border diagonalUp="0" diagonalDown="0">
        <left/>
        <right/>
        <top/>
        <bottom style="thin">
          <color theme="0" tint="-0.34998626667073579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theme="0" tint="-0.34998626667073579"/>
        </bottom>
      </border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DASHBOARD!$A$12:$A$18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</c:v>
                </c:pt>
              </c:strCache>
            </c:strRef>
          </c:cat>
          <c:val>
            <c:numRef>
              <c:f>DASHBOARD!$B$12:$B$18</c:f>
              <c:numCache>
                <c:formatCode>0%</c:formatCode>
                <c:ptCount val="7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4F53-9791-57162ADF4B12}"/>
            </c:ext>
          </c:extLst>
        </c:ser>
        <c:ser>
          <c:idx val="1"/>
          <c:order val="1"/>
          <c:tx>
            <c:strRef>
              <c:f>DASHBOARD!$C$11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DASHBOARD!$A$12:$A$18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</c:v>
                </c:pt>
              </c:strCache>
            </c:strRef>
          </c:cat>
          <c:val>
            <c:numRef>
              <c:f>DASHBOARD!$C$12:$C$18</c:f>
              <c:numCache>
                <c:formatCode>"R$"\ #,##0.00</c:formatCode>
                <c:ptCount val="7"/>
                <c:pt idx="0">
                  <c:v>1952</c:v>
                </c:pt>
                <c:pt idx="1">
                  <c:v>2135</c:v>
                </c:pt>
                <c:pt idx="2">
                  <c:v>488</c:v>
                </c:pt>
                <c:pt idx="3">
                  <c:v>305</c:v>
                </c:pt>
                <c:pt idx="4">
                  <c:v>610</c:v>
                </c:pt>
                <c:pt idx="5">
                  <c:v>610</c:v>
                </c:pt>
                <c:pt idx="6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5-4F53-9791-57162ADF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SIMULAÇÃO!$B$12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SIMULAÇÃO!$A$13:$A$17</c:f>
              <c:strCache>
                <c:ptCount val="5"/>
                <c:pt idx="0">
                  <c:v>Quanto em 2 Anos ?</c:v>
                </c:pt>
                <c:pt idx="1">
                  <c:v>Quanto em 5 Anos ?</c:v>
                </c:pt>
                <c:pt idx="2">
                  <c:v>Quanto em 10 Anos ?</c:v>
                </c:pt>
                <c:pt idx="3">
                  <c:v>Quanto em 20 Anos ?</c:v>
                </c:pt>
                <c:pt idx="4">
                  <c:v>Quanto em 30 Anos ?</c:v>
                </c:pt>
              </c:strCache>
            </c:strRef>
          </c:cat>
          <c:val>
            <c:numRef>
              <c:f>SIMULAÇÃO!$B$13:$B$17</c:f>
              <c:numCache>
                <c:formatCode>"R$"\ #,##0.00</c:formatCode>
                <c:ptCount val="5"/>
                <c:pt idx="0">
                  <c:v>160314.97866608086</c:v>
                </c:pt>
                <c:pt idx="1">
                  <c:v>464460.74593883235</c:v>
                </c:pt>
                <c:pt idx="2">
                  <c:v>1204765.0196220649</c:v>
                </c:pt>
                <c:pt idx="3">
                  <c:v>4265493.6899881708</c:v>
                </c:pt>
                <c:pt idx="4">
                  <c:v>12041333.659627918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2-4F26-BF79-AE87F094E8E8}"/>
            </c:ext>
          </c:extLst>
        </c:ser>
        <c:ser>
          <c:idx val="1"/>
          <c:order val="1"/>
          <c:tx>
            <c:strRef>
              <c:f>SIMULAÇÃO!$C$12</c:f>
              <c:strCache>
                <c:ptCount val="1"/>
                <c:pt idx="0">
                  <c:v>Dividendo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SIMULAÇÃO!$A$13:$A$17</c:f>
              <c:strCache>
                <c:ptCount val="5"/>
                <c:pt idx="0">
                  <c:v>Quanto em 2 Anos ?</c:v>
                </c:pt>
                <c:pt idx="1">
                  <c:v>Quanto em 5 Anos ?</c:v>
                </c:pt>
                <c:pt idx="2">
                  <c:v>Quanto em 10 Anos ?</c:v>
                </c:pt>
                <c:pt idx="3">
                  <c:v>Quanto em 20 Anos ?</c:v>
                </c:pt>
                <c:pt idx="4">
                  <c:v>Quanto em 30 Anos ?</c:v>
                </c:pt>
              </c:strCache>
            </c:strRef>
          </c:cat>
          <c:val>
            <c:numRef>
              <c:f>SIMULAÇÃO!$C$13:$C$17</c:f>
              <c:numCache>
                <c:formatCode>"R$"\ #,##0.00</c:formatCode>
                <c:ptCount val="5"/>
                <c:pt idx="0">
                  <c:v>1250.4568335954307</c:v>
                </c:pt>
                <c:pt idx="1">
                  <c:v>3622.7938183228925</c:v>
                </c:pt>
                <c:pt idx="2">
                  <c:v>9397.1671530521071</c:v>
                </c:pt>
                <c:pt idx="3">
                  <c:v>33270.850781907735</c:v>
                </c:pt>
                <c:pt idx="4">
                  <c:v>93922.402545097764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2-4F26-BF79-AE87F094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37968"/>
        <c:axId val="1216839632"/>
      </c:barChart>
      <c:catAx>
        <c:axId val="12168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839632"/>
        <c:crosses val="autoZero"/>
        <c:auto val="1"/>
        <c:lblAlgn val="ctr"/>
        <c:lblOffset val="100"/>
        <c:noMultiLvlLbl val="0"/>
      </c:catAx>
      <c:valAx>
        <c:axId val="1216839632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8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160020</xdr:rowOff>
    </xdr:from>
    <xdr:to>
      <xdr:col>1</xdr:col>
      <xdr:colOff>1443990</xdr:colOff>
      <xdr:row>34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7F8802-1316-4598-8950-D80786084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1661160</xdr:colOff>
      <xdr:row>18</xdr:row>
      <xdr:rowOff>167640</xdr:rowOff>
    </xdr:from>
    <xdr:to>
      <xdr:col>7</xdr:col>
      <xdr:colOff>175260</xdr:colOff>
      <xdr:row>34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A549A6-4479-4EA8-89D8-96F318F5A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83C3C5-45FD-4FBE-8418-4EF802647396}" name="Tabela2" displayName="Tabela2" ref="A3:B13" totalsRowShown="0" tableBorderDxfId="2">
  <autoFilter ref="A3:B13" xr:uid="{5983C3C5-45FD-4FBE-8418-4EF802647396}"/>
  <tableColumns count="2">
    <tableColumn id="1" xr3:uid="{C78575C3-23E4-4A3C-AC20-432074583180}" name="CONFIGURAÇÕES" dataDxfId="1"/>
    <tableColumn id="3" xr3:uid="{70702615-CB82-4C8E-9CFB-0582D72A4767}" name="Valores" dataDxfId="0" dataCellStyle="Porcentage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38FA-AA91-4525-8074-2B26C6125B38}">
  <dimension ref="A3:C18"/>
  <sheetViews>
    <sheetView tabSelected="1" workbookViewId="0">
      <selection activeCell="F15" sqref="F15"/>
    </sheetView>
  </sheetViews>
  <sheetFormatPr defaultRowHeight="13.8"/>
  <cols>
    <col min="1" max="1" width="41.796875" customWidth="1"/>
    <col min="2" max="2" width="21.8984375" customWidth="1"/>
    <col min="3" max="3" width="22.3984375" customWidth="1"/>
  </cols>
  <sheetData>
    <row r="3" spans="1:3">
      <c r="A3" s="17" t="s">
        <v>14</v>
      </c>
      <c r="B3" s="18" t="s">
        <v>11</v>
      </c>
      <c r="C3" s="17"/>
    </row>
    <row r="4" spans="1:3">
      <c r="A4" s="19" t="s">
        <v>13</v>
      </c>
      <c r="B4" s="20">
        <f>SIMULAÇÃO!C4</f>
        <v>6100</v>
      </c>
      <c r="C4" s="19"/>
    </row>
    <row r="5" spans="1:3">
      <c r="A5" s="19" t="s">
        <v>46</v>
      </c>
      <c r="B5" s="20">
        <f>INPUTS!B4</f>
        <v>20000</v>
      </c>
      <c r="C5" s="19"/>
    </row>
    <row r="6" spans="1:3">
      <c r="A6" s="19" t="s">
        <v>42</v>
      </c>
      <c r="B6" s="20">
        <f>SIMULAÇÃO!C8</f>
        <v>468083.53975715523</v>
      </c>
      <c r="C6" s="19"/>
    </row>
    <row r="7" spans="1:3">
      <c r="A7" s="19" t="s">
        <v>43</v>
      </c>
      <c r="B7" s="20">
        <f>SIMULAÇÃO!C9</f>
        <v>3651.0516101058111</v>
      </c>
      <c r="C7" s="19"/>
    </row>
    <row r="8" spans="1:3">
      <c r="A8" s="19" t="s">
        <v>44</v>
      </c>
      <c r="B8" s="57">
        <f>SIMULAÇÃO!C5</f>
        <v>7.8000000000000005E-3</v>
      </c>
      <c r="C8" s="19"/>
    </row>
    <row r="9" spans="1:3">
      <c r="A9" s="19" t="s">
        <v>45</v>
      </c>
      <c r="B9" s="20">
        <f>INPUTS!B13</f>
        <v>350000</v>
      </c>
      <c r="C9" s="19"/>
    </row>
    <row r="11" spans="1:3">
      <c r="A11" s="21" t="s">
        <v>15</v>
      </c>
      <c r="B11" s="21" t="s">
        <v>16</v>
      </c>
      <c r="C11" s="21" t="s">
        <v>17</v>
      </c>
    </row>
    <row r="12" spans="1:3">
      <c r="A12" s="1" t="s">
        <v>18</v>
      </c>
      <c r="B12" s="2">
        <f>IFERROR(VLOOKUP(DASHBOARD!B3 &amp; "-PAPEL", ATIVOS!A1:D19, 4, FALSE), 0)</f>
        <v>0.32</v>
      </c>
      <c r="C12" s="24">
        <f>B12*B4</f>
        <v>1952</v>
      </c>
    </row>
    <row r="13" spans="1:3">
      <c r="A13" s="1" t="s">
        <v>19</v>
      </c>
      <c r="B13" s="2">
        <f>IFERROR(VLOOKUP(DASHBOARD!B3 &amp; "-TIJOLO", ATIVOS!A2:D20, 4, FALSE), 0)</f>
        <v>0.35</v>
      </c>
      <c r="C13" s="24">
        <f>B13*B4</f>
        <v>2135</v>
      </c>
    </row>
    <row r="14" spans="1:3">
      <c r="A14" s="1" t="s">
        <v>20</v>
      </c>
      <c r="B14" s="2">
        <f>IFERROR(VLOOKUP(DASHBOARD!B3 &amp; "-HÍBRIDOS", ATIVOS!A3:D21, 4, FALSE), 0)</f>
        <v>0.08</v>
      </c>
      <c r="C14" s="24">
        <f>B14*B4</f>
        <v>488</v>
      </c>
    </row>
    <row r="15" spans="1:3">
      <c r="A15" s="1" t="s">
        <v>21</v>
      </c>
      <c r="B15" s="2">
        <f>IFERROR(VLOOKUP(DASHBOARD!B3 &amp; "-FOFs", ATIVOS!A4:D22, 4, FALSE), 0)</f>
        <v>0.05</v>
      </c>
      <c r="C15" s="24">
        <f>B15*B4</f>
        <v>305</v>
      </c>
    </row>
    <row r="16" spans="1:3">
      <c r="A16" s="1" t="s">
        <v>22</v>
      </c>
      <c r="B16" s="2">
        <f>IFERROR(VLOOKUP(DASHBOARD!B3 &amp; "-DESENVOLVIMENTO", ATIVOS!A5:D23, 4, FALSE), 0)</f>
        <v>0.1</v>
      </c>
      <c r="C16" s="24">
        <f>B16*B4</f>
        <v>610</v>
      </c>
    </row>
    <row r="17" spans="1:3">
      <c r="A17" s="1" t="s">
        <v>23</v>
      </c>
      <c r="B17" s="2">
        <f>IFERROR(VLOOKUP(DASHBOARD!B3 &amp; "-HOTELARIAS", ATIVOS!A6:D24, 4, FALSE), 0)</f>
        <v>0.1</v>
      </c>
      <c r="C17" s="24">
        <f>B17*B4</f>
        <v>610</v>
      </c>
    </row>
    <row r="18" spans="1:3">
      <c r="A18" s="56" t="s">
        <v>41</v>
      </c>
      <c r="B18" s="22"/>
      <c r="C18" s="23">
        <f>SUM(C12:C17)</f>
        <v>6100</v>
      </c>
    </row>
  </sheetData>
  <dataValidations count="1">
    <dataValidation type="list" allowBlank="1" showInputMessage="1" showErrorMessage="1" sqref="B3" xr:uid="{2561F211-6B26-4574-A857-1198F0BF49AB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9DE4-7BCD-4BA7-A113-62FEBDF77709}">
  <dimension ref="A3:B13"/>
  <sheetViews>
    <sheetView workbookViewId="0">
      <selection activeCell="C4" sqref="C4"/>
    </sheetView>
  </sheetViews>
  <sheetFormatPr defaultRowHeight="13.8"/>
  <cols>
    <col min="1" max="1" width="50.296875" customWidth="1"/>
    <col min="2" max="2" width="17.09765625" customWidth="1"/>
  </cols>
  <sheetData>
    <row r="3" spans="1:2" ht="29.4">
      <c r="A3" s="38" t="s">
        <v>9</v>
      </c>
      <c r="B3" s="39" t="s">
        <v>17</v>
      </c>
    </row>
    <row r="4" spans="1:2" ht="19.2">
      <c r="A4" s="33" t="s">
        <v>8</v>
      </c>
      <c r="B4" s="34">
        <v>20000</v>
      </c>
    </row>
    <row r="5" spans="1:2" ht="19.2">
      <c r="A5" s="33" t="s">
        <v>26</v>
      </c>
      <c r="B5" s="35">
        <v>0.3</v>
      </c>
    </row>
    <row r="6" spans="1:2" ht="19.2">
      <c r="A6" s="33" t="s">
        <v>27</v>
      </c>
      <c r="B6" s="36">
        <v>12</v>
      </c>
    </row>
    <row r="7" spans="1:2" ht="19.2">
      <c r="A7" s="33" t="s">
        <v>28</v>
      </c>
      <c r="B7" s="43">
        <v>4.4999999999999998E-2</v>
      </c>
    </row>
    <row r="8" spans="1:2" ht="19.2">
      <c r="A8" s="33" t="s">
        <v>29</v>
      </c>
      <c r="B8" s="43">
        <v>5.0000000000000001E-3</v>
      </c>
    </row>
    <row r="9" spans="1:2" ht="19.2">
      <c r="A9" s="33" t="s">
        <v>30</v>
      </c>
      <c r="B9" s="43">
        <v>1.2E-2</v>
      </c>
    </row>
    <row r="10" spans="1:2" ht="19.2">
      <c r="A10" s="33" t="s">
        <v>31</v>
      </c>
      <c r="B10" s="35">
        <v>0.6</v>
      </c>
    </row>
    <row r="11" spans="1:2" ht="19.2">
      <c r="A11" s="33" t="s">
        <v>32</v>
      </c>
      <c r="B11" s="37">
        <v>100</v>
      </c>
    </row>
    <row r="12" spans="1:2" ht="19.2">
      <c r="A12" s="33" t="s">
        <v>33</v>
      </c>
      <c r="B12" s="35">
        <v>0.15</v>
      </c>
    </row>
    <row r="13" spans="1:2" ht="19.2">
      <c r="A13" s="40" t="s">
        <v>40</v>
      </c>
      <c r="B13" s="41">
        <v>350000</v>
      </c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0FC2-B2FC-445E-90ED-EEE4782152FD}">
  <dimension ref="A2:C17"/>
  <sheetViews>
    <sheetView workbookViewId="0">
      <selection activeCell="F16" sqref="F16"/>
    </sheetView>
  </sheetViews>
  <sheetFormatPr defaultRowHeight="13.8"/>
  <cols>
    <col min="1" max="1" width="49.3984375" customWidth="1"/>
    <col min="2" max="2" width="19.19921875" customWidth="1"/>
    <col min="3" max="3" width="16.09765625" customWidth="1"/>
  </cols>
  <sheetData>
    <row r="2" spans="1:3" ht="14.4" thickBot="1"/>
    <row r="3" spans="1:3" ht="29.4">
      <c r="A3" s="45" t="s">
        <v>0</v>
      </c>
      <c r="B3" s="46"/>
      <c r="C3" s="47"/>
    </row>
    <row r="4" spans="1:3" ht="19.2">
      <c r="A4" s="48" t="s">
        <v>34</v>
      </c>
      <c r="B4" s="49"/>
      <c r="C4" s="13">
        <f>Tabela2[[#This Row],[Valores]]*INPUTS!B5+INPUTS!B11</f>
        <v>6100</v>
      </c>
    </row>
    <row r="5" spans="1:3" ht="19.2">
      <c r="A5" s="11" t="s">
        <v>35</v>
      </c>
      <c r="B5" s="12"/>
      <c r="C5" s="44">
        <f>(INPUTS!B8*INPUTS!B10) + (INPUTS!B9 * (1- INPUTS!B10))</f>
        <v>7.8000000000000005E-3</v>
      </c>
    </row>
    <row r="6" spans="1:3" ht="19.2">
      <c r="A6" s="50" t="s">
        <v>36</v>
      </c>
      <c r="B6" s="51"/>
      <c r="C6" s="14">
        <v>5</v>
      </c>
    </row>
    <row r="7" spans="1:3" ht="19.2">
      <c r="A7" s="50" t="s">
        <v>37</v>
      </c>
      <c r="B7" s="51"/>
      <c r="C7" s="42">
        <f>C6*12</f>
        <v>60</v>
      </c>
    </row>
    <row r="8" spans="1:3" ht="19.2">
      <c r="A8" s="52" t="s">
        <v>38</v>
      </c>
      <c r="B8" s="53"/>
      <c r="C8" s="15">
        <f>FV(C5, C7, -C4, 0, 1)</f>
        <v>468083.53975715523</v>
      </c>
    </row>
    <row r="9" spans="1:3" ht="19.8" thickBot="1">
      <c r="A9" s="54" t="s">
        <v>39</v>
      </c>
      <c r="B9" s="55"/>
      <c r="C9" s="16">
        <f>C8*C5</f>
        <v>3651.0516101058111</v>
      </c>
    </row>
    <row r="11" spans="1:3" ht="14.4" thickBot="1"/>
    <row r="12" spans="1:3" ht="29.4">
      <c r="A12" s="45" t="s">
        <v>6</v>
      </c>
      <c r="B12" s="46"/>
      <c r="C12" s="3" t="s">
        <v>7</v>
      </c>
    </row>
    <row r="13" spans="1:3" ht="19.2">
      <c r="A13" s="4" t="s">
        <v>1</v>
      </c>
      <c r="B13" s="5">
        <f>FV(C5, 2*12, C4,0,0)*-1</f>
        <v>160314.97866608086</v>
      </c>
      <c r="C13" s="6">
        <f>B13*C5</f>
        <v>1250.4568335954307</v>
      </c>
    </row>
    <row r="14" spans="1:3" ht="19.2">
      <c r="A14" s="7" t="s">
        <v>2</v>
      </c>
      <c r="B14" s="5">
        <f>FV(C5,5*12,C4,0,0)*-1</f>
        <v>464460.74593883235</v>
      </c>
      <c r="C14" s="8">
        <f>B14*C5</f>
        <v>3622.7938183228925</v>
      </c>
    </row>
    <row r="15" spans="1:3" ht="19.2">
      <c r="A15" s="7" t="s">
        <v>3</v>
      </c>
      <c r="B15" s="5">
        <f>FV(C5,10*12,C4,0,0)*-1</f>
        <v>1204765.0196220649</v>
      </c>
      <c r="C15" s="8">
        <f>B15*C5</f>
        <v>9397.1671530521071</v>
      </c>
    </row>
    <row r="16" spans="1:3" ht="19.2">
      <c r="A16" s="7" t="s">
        <v>4</v>
      </c>
      <c r="B16" s="5">
        <f>FV(C5,20*12,C4,0,0)*-1</f>
        <v>4265493.6899881708</v>
      </c>
      <c r="C16" s="8">
        <f>B16*C5</f>
        <v>33270.850781907735</v>
      </c>
    </row>
    <row r="17" spans="1:3" ht="19.8" thickBot="1">
      <c r="A17" s="9" t="s">
        <v>5</v>
      </c>
      <c r="B17" s="5">
        <f>FV(C5,30*12,C4,0,0)*-1</f>
        <v>12041333.659627918</v>
      </c>
      <c r="C17" s="10">
        <f>B17*C5</f>
        <v>93922.402545097764</v>
      </c>
    </row>
  </sheetData>
  <mergeCells count="7">
    <mergeCell ref="A12:B12"/>
    <mergeCell ref="A3:C3"/>
    <mergeCell ref="A4:B4"/>
    <mergeCell ref="A6:B6"/>
    <mergeCell ref="A7:B7"/>
    <mergeCell ref="A8:B8"/>
    <mergeCell ref="A9:B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B0A1-46F9-4E44-A8BD-3EA75F303836}">
  <dimension ref="A1:D19"/>
  <sheetViews>
    <sheetView workbookViewId="0">
      <selection activeCell="D2" sqref="D2"/>
    </sheetView>
  </sheetViews>
  <sheetFormatPr defaultRowHeight="13.8"/>
  <cols>
    <col min="1" max="1" width="21.69921875" customWidth="1"/>
    <col min="2" max="2" width="14.59765625" customWidth="1"/>
    <col min="3" max="3" width="25.796875" customWidth="1"/>
    <col min="4" max="4" width="14.296875" customWidth="1"/>
    <col min="8" max="10" width="8.796875" customWidth="1"/>
  </cols>
  <sheetData>
    <row r="1" spans="1:4">
      <c r="A1" s="31" t="s">
        <v>25</v>
      </c>
      <c r="B1" s="31" t="s">
        <v>14</v>
      </c>
      <c r="C1" s="32" t="s">
        <v>15</v>
      </c>
      <c r="D1" s="32" t="s">
        <v>24</v>
      </c>
    </row>
    <row r="2" spans="1:4">
      <c r="A2" t="str">
        <f>B2&amp;"-"&amp;C2</f>
        <v>Conservador-PAPEL</v>
      </c>
      <c r="B2" t="s">
        <v>10</v>
      </c>
      <c r="C2" s="1" t="s">
        <v>18</v>
      </c>
      <c r="D2" s="2">
        <v>0.3</v>
      </c>
    </row>
    <row r="3" spans="1:4">
      <c r="A3" t="str">
        <f t="shared" ref="A3:A19" si="0">B3&amp;"-"&amp;C3</f>
        <v>Conservador-TIJOLO</v>
      </c>
      <c r="B3" t="s">
        <v>10</v>
      </c>
      <c r="C3" s="1" t="s">
        <v>19</v>
      </c>
      <c r="D3" s="2">
        <v>0.5</v>
      </c>
    </row>
    <row r="4" spans="1:4">
      <c r="A4" t="str">
        <f t="shared" si="0"/>
        <v>Conservador-HÍBRIDOS</v>
      </c>
      <c r="B4" t="s">
        <v>10</v>
      </c>
      <c r="C4" s="1" t="s">
        <v>20</v>
      </c>
      <c r="D4" s="2">
        <v>0.1</v>
      </c>
    </row>
    <row r="5" spans="1:4">
      <c r="A5" t="str">
        <f t="shared" si="0"/>
        <v>Conservador-FOFs</v>
      </c>
      <c r="B5" t="s">
        <v>10</v>
      </c>
      <c r="C5" s="1" t="s">
        <v>21</v>
      </c>
      <c r="D5" s="2">
        <v>0.1</v>
      </c>
    </row>
    <row r="6" spans="1:4">
      <c r="A6" t="str">
        <f t="shared" si="0"/>
        <v>Conservador-DESENVOLVIMENTO</v>
      </c>
      <c r="B6" t="s">
        <v>10</v>
      </c>
      <c r="C6" s="1" t="s">
        <v>22</v>
      </c>
      <c r="D6" s="2">
        <v>0</v>
      </c>
    </row>
    <row r="7" spans="1:4" ht="14.4" thickBot="1">
      <c r="A7" s="25" t="str">
        <f t="shared" si="0"/>
        <v>Conservador-HOTELARIAS</v>
      </c>
      <c r="B7" s="25" t="s">
        <v>10</v>
      </c>
      <c r="C7" s="26" t="s">
        <v>23</v>
      </c>
      <c r="D7" s="27">
        <v>0</v>
      </c>
    </row>
    <row r="8" spans="1:4">
      <c r="A8" t="str">
        <f t="shared" si="0"/>
        <v>Moderado-PAPEL</v>
      </c>
      <c r="B8" t="s">
        <v>11</v>
      </c>
      <c r="C8" s="1" t="s">
        <v>18</v>
      </c>
      <c r="D8" s="2">
        <v>0.32</v>
      </c>
    </row>
    <row r="9" spans="1:4">
      <c r="A9" s="28" t="str">
        <f t="shared" si="0"/>
        <v>Moderado-TIJOLO</v>
      </c>
      <c r="B9" s="28" t="s">
        <v>11</v>
      </c>
      <c r="C9" s="29" t="s">
        <v>19</v>
      </c>
      <c r="D9" s="30">
        <v>0.35</v>
      </c>
    </row>
    <row r="10" spans="1:4">
      <c r="A10" t="str">
        <f t="shared" si="0"/>
        <v>Moderado-HÍBRIDOS</v>
      </c>
      <c r="B10" t="s">
        <v>11</v>
      </c>
      <c r="C10" s="1" t="s">
        <v>20</v>
      </c>
      <c r="D10" s="2">
        <v>0.08</v>
      </c>
    </row>
    <row r="11" spans="1:4">
      <c r="A11" t="str">
        <f t="shared" si="0"/>
        <v>Moderado-FOFs</v>
      </c>
      <c r="B11" t="s">
        <v>11</v>
      </c>
      <c r="C11" s="1" t="s">
        <v>21</v>
      </c>
      <c r="D11" s="2">
        <v>0.05</v>
      </c>
    </row>
    <row r="12" spans="1:4">
      <c r="A12" t="str">
        <f t="shared" si="0"/>
        <v>Moderado-DESENVOLVIMENTO</v>
      </c>
      <c r="B12" t="s">
        <v>11</v>
      </c>
      <c r="C12" s="1" t="s">
        <v>22</v>
      </c>
      <c r="D12" s="2">
        <v>0.1</v>
      </c>
    </row>
    <row r="13" spans="1:4" ht="14.4" thickBot="1">
      <c r="A13" s="25" t="str">
        <f t="shared" si="0"/>
        <v>Moderado-HOTELARIAS</v>
      </c>
      <c r="B13" s="25" t="s">
        <v>11</v>
      </c>
      <c r="C13" s="26" t="s">
        <v>23</v>
      </c>
      <c r="D13" s="27">
        <v>0.1</v>
      </c>
    </row>
    <row r="14" spans="1:4">
      <c r="A14" t="str">
        <f t="shared" si="0"/>
        <v>Agressivo-PAPEL</v>
      </c>
      <c r="B14" t="s">
        <v>12</v>
      </c>
      <c r="C14" s="1" t="s">
        <v>18</v>
      </c>
      <c r="D14" s="2">
        <v>0.5</v>
      </c>
    </row>
    <row r="15" spans="1:4">
      <c r="A15" t="str">
        <f t="shared" si="0"/>
        <v>Agressivo-TIJOLO</v>
      </c>
      <c r="B15" t="s">
        <v>12</v>
      </c>
      <c r="C15" s="1" t="s">
        <v>19</v>
      </c>
      <c r="D15" s="2">
        <v>0.1</v>
      </c>
    </row>
    <row r="16" spans="1:4">
      <c r="A16" t="str">
        <f t="shared" si="0"/>
        <v>Agressivo-HÍBRIDOS</v>
      </c>
      <c r="B16" t="s">
        <v>12</v>
      </c>
      <c r="C16" s="1" t="s">
        <v>20</v>
      </c>
      <c r="D16" s="2">
        <v>0.05</v>
      </c>
    </row>
    <row r="17" spans="1:4">
      <c r="A17" t="str">
        <f t="shared" si="0"/>
        <v>Agressivo-FOFs</v>
      </c>
      <c r="B17" t="s">
        <v>12</v>
      </c>
      <c r="C17" s="1" t="s">
        <v>21</v>
      </c>
      <c r="D17" s="2">
        <v>0.05</v>
      </c>
    </row>
    <row r="18" spans="1:4">
      <c r="A18" t="str">
        <f t="shared" si="0"/>
        <v>Agressivo-DESENVOLVIMENTO</v>
      </c>
      <c r="B18" t="s">
        <v>12</v>
      </c>
      <c r="C18" s="1" t="s">
        <v>22</v>
      </c>
      <c r="D18" s="2">
        <v>0.2</v>
      </c>
    </row>
    <row r="19" spans="1:4">
      <c r="A19" t="str">
        <f t="shared" si="0"/>
        <v>Agressivo-HOTELARIAS</v>
      </c>
      <c r="B19" t="s">
        <v>12</v>
      </c>
      <c r="C19" s="1" t="s">
        <v>23</v>
      </c>
      <c r="D19" s="2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INPUTS</vt:lpstr>
      <vt:lpstr>SIMULAÇÃO</vt:lpstr>
      <vt:lpstr>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Marcos Antônio</cp:lastModifiedBy>
  <dcterms:created xsi:type="dcterms:W3CDTF">2025-04-16T18:38:03Z</dcterms:created>
  <dcterms:modified xsi:type="dcterms:W3CDTF">2025-06-25T05:19:43Z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