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EV\dataScience\Excel\Desafio 1 - DIO\"/>
    </mc:Choice>
  </mc:AlternateContent>
  <xr:revisionPtr revIDLastSave="0" documentId="8_{A3CBD48D-C846-4A0F-9831-BAA4E8061D80}" xr6:coauthVersionLast="47" xr6:coauthVersionMax="47" xr10:uidLastSave="{00000000-0000-0000-0000-000000000000}"/>
  <bookViews>
    <workbookView xWindow="-108" yWindow="-108" windowWidth="23256" windowHeight="12576" tabRatio="345" activeTab="4" xr2:uid="{D63472A4-8300-4934-9C87-0EC792DCF89D}"/>
  </bookViews>
  <sheets>
    <sheet name="APP" sheetId="1" r:id="rId1"/>
    <sheet name="INPUTS" sheetId="3" r:id="rId2"/>
    <sheet name="SIMULAÇÃO" sheetId="4" r:id="rId3"/>
    <sheet name="ATIVOS" sheetId="5" r:id="rId4"/>
    <sheet name="DASHBOARD" sheetId="6" r:id="rId5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6" l="1"/>
  <c r="C11" i="6"/>
  <c r="C10" i="6"/>
  <c r="C8" i="6"/>
  <c r="C9" i="6"/>
  <c r="B12" i="6"/>
  <c r="B11" i="6"/>
  <c r="B10" i="6"/>
  <c r="B9" i="6"/>
  <c r="B8" i="6"/>
  <c r="B7" i="6"/>
  <c r="C5" i="4"/>
  <c r="B17" i="4" s="1"/>
  <c r="C17" i="4" s="1"/>
  <c r="C7" i="4"/>
  <c r="C4" i="4"/>
  <c r="B4" i="6"/>
  <c r="C25" i="1"/>
  <c r="C26" i="1"/>
  <c r="C27" i="1"/>
  <c r="C24" i="1"/>
  <c r="D24" i="1" s="1"/>
  <c r="D26" i="1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D14" i="1"/>
  <c r="C36" i="1"/>
  <c r="C37" i="1"/>
  <c r="C38" i="1"/>
  <c r="C39" i="1"/>
  <c r="C40" i="1"/>
  <c r="C41" i="1"/>
  <c r="C33" i="1"/>
  <c r="D20" i="1"/>
  <c r="D21" i="1" s="1"/>
  <c r="D27" i="1"/>
  <c r="D25" i="1"/>
  <c r="C28" i="1"/>
  <c r="D28" i="1" s="1"/>
  <c r="C13" i="6" l="1"/>
  <c r="C7" i="6"/>
  <c r="B15" i="4"/>
  <c r="C15" i="4" s="1"/>
  <c r="B16" i="4"/>
  <c r="C16" i="4" s="1"/>
  <c r="B14" i="4"/>
  <c r="C14" i="4" s="1"/>
  <c r="C8" i="4"/>
  <c r="C9" i="4" s="1"/>
  <c r="B13" i="4"/>
  <c r="C13" i="4" s="1"/>
  <c r="D36" i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<sst xmlns="http://schemas.openxmlformats.org/spreadsheetml/2006/main" count="107" uniqueCount="48">
  <si>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</si>
  <si>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</si>
  <si>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</si>
  <si>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</si>
  <si>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</si>
  <si>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</si>
  <si>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</si>
  <si>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</si>
  <si>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</si>
  <si>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</si>
  <si>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</si>
  <si>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</si>
  <si>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</si>
  <si>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</si>
  <si>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</si>
  <si>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</si>
  <si>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</si>
  <si>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</si>
  <si>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</si>
  <si>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</si>
  <si>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</si>
  <si>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</si>
  <si>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</si>
  <si>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</si>
  <si>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</si>
  <si>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</si>
  <si>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</si>
  <si>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</si>
  <si>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</si>
  <si>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</si>
  <si>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</si>
  <si>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</si>
  <si>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Sugestão de Investimento (30%)</t>
  </si>
  <si>
    <t>Sugestão de Investimento (%)</t>
  </si>
  <si>
    <t>Horizonte de Investimento (meses)</t>
  </si>
  <si>
    <t>Inflação Anual (%)</t>
  </si>
  <si>
    <t>Rendimento Renda Fixa (%)</t>
  </si>
  <si>
    <t>Rendimento Renda Variável (%)</t>
  </si>
  <si>
    <t>% Alocação Renda Fixa</t>
  </si>
  <si>
    <t>Contribuição Extra Mensal</t>
  </si>
  <si>
    <t>Aliquota IR (%)</t>
  </si>
  <si>
    <t>Investimento Mensal</t>
  </si>
  <si>
    <t>Taxa de Rendimento (%)</t>
  </si>
  <si>
    <t>Tempo (anos)</t>
  </si>
  <si>
    <t>Tempo (meses)</t>
  </si>
  <si>
    <t>Patrimônio acumulado</t>
  </si>
  <si>
    <t>Dividendos Mensais</t>
  </si>
  <si>
    <t>Meta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</si>
</sst>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6" formatCode="0.0%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9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  <xf numFmtId="0" fontId="9" fillId="6" borderId="23" xfId="0" applyFont="1" applyFill="1" applyBorder="1" applyAlignment="1">
      <alignment horizontal="left" indent="3"/>
    </xf>
    <xf numFmtId="164" fontId="10" fillId="0" borderId="24" xfId="1" applyNumberFormat="1" applyFont="1" applyBorder="1" applyAlignment="1">
      <alignment horizontal="center"/>
    </xf>
    <xf numFmtId="9" fontId="10" fillId="0" borderId="24" xfId="2" applyFont="1" applyBorder="1" applyAlignment="1">
      <alignment horizontal="center"/>
    </xf>
    <xf numFmtId="0" fontId="10" fillId="0" borderId="24" xfId="1" applyNumberFormat="1" applyFont="1" applyBorder="1" applyAlignment="1">
      <alignment horizontal="center"/>
    </xf>
    <xf numFmtId="164" fontId="10" fillId="0" borderId="24" xfId="2" applyNumberFormat="1" applyFont="1" applyBorder="1" applyAlignment="1">
      <alignment horizontal="center"/>
    </xf>
    <xf numFmtId="0" fontId="5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left" indent="3"/>
    </xf>
    <xf numFmtId="164" fontId="10" fillId="0" borderId="25" xfId="2" applyNumberFormat="1" applyFont="1" applyBorder="1" applyAlignment="1">
      <alignment horizontal="center"/>
    </xf>
    <xf numFmtId="0" fontId="11" fillId="0" borderId="19" xfId="0" applyNumberFormat="1" applyFont="1" applyBorder="1" applyAlignment="1">
      <alignment horizontal="center"/>
    </xf>
    <xf numFmtId="166" fontId="10" fillId="0" borderId="24" xfId="2" applyNumberFormat="1" applyFont="1" applyBorder="1" applyAlignment="1">
      <alignment horizontal="center"/>
    </xf>
    <xf numFmtId="166" fontId="11" fillId="0" borderId="16" xfId="2" applyNumberFormat="1" applyFont="1" applyBorder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/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3" justifyLastLine="0" shrinkToFit="0" readingOrder="0"/>
      <border diagonalUp="0" diagonalDown="0">
        <left/>
        <right/>
        <top/>
        <bottom style="thin">
          <color theme="0" tint="-0.34998626667073579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theme="0" tint="-0.34998626667073579"/>
        </bottom>
      </border>
    </dxf>
  </dxfs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3C-4EA7-A961-5DE2403D3A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3C-4EA7-A961-5DE2403D3A5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3C-4EA7-A961-5DE2403D3A5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3C-4EA7-A961-5DE2403D3A5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13C-4EA7-A961-5DE2403D3A5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13C-4EA7-A961-5DE2403D3A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1</xdr:row>
      <xdr:rowOff>2894</xdr:rowOff>
    </xdr:from>
    <xdr:to>
      <xdr:col>5</xdr:col>
      <xdr:colOff>39273</xdr:colOff>
      <xdr:row>9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9066" y="182563"/>
          <a:ext cx="6008059" cy="1485901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83C3C5-45FD-4FBE-8418-4EF802647396}" name="Tabela2" displayName="Tabela2" ref="A3:B13" totalsRowShown="0" tableBorderDxfId="2">
  <autoFilter ref="A3:B13" xr:uid="{5983C3C5-45FD-4FBE-8418-4EF802647396}"/>
  <tableColumns count="2">
    <tableColumn id="1" xr3:uid="{C78575C3-23E4-4A3C-AC20-432074583180}" name="CONFIGURAÇÕES" dataDxfId="1"/>
    <tableColumn id="3" xr3:uid="{70702615-CB82-4C8E-9CFB-0582D72A4767}" name="Valores" dataDxfId="0" dataCellStyle="Porcentage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42"/>
  <sheetViews>
    <sheetView showGridLines="0" zoomScale="110" zoomScaleNormal="110" workbookViewId="0">
      <selection activeCell="B13" sqref="B13:C13"/>
    </sheetView>
  </sheetViews>
  <sheetFormatPr defaultColWidth="0" defaultRowHeight="13.8"/>
  <cols>
    <col min="1" max="1" width="5.5" customWidth="1"/>
    <col min="2" max="2" width="46.796875" customWidth="1"/>
    <col min="3" max="3" width="17.5" bestFit="1" customWidth="1"/>
    <col min="4" max="4" width="15" customWidth="1"/>
    <col min="5" max="8" width="3.5" customWidth="1"/>
    <col min="9" max="16384" width="8.69921875" hidden="1"/>
  </cols>
  <sheetData>
    <row r="10" spans="2:4" ht="14.4" thickBot="1"/>
    <row r="11" spans="2:4" ht="27">
      <c r="B11" s="5" t="s">
        <v>15</v>
      </c>
      <c r="C11" s="6"/>
      <c r="D11" s="7"/>
    </row>
    <row r="12" spans="2:4" ht="19.2">
      <c r="B12" s="44" t="s">
        <v>14</v>
      </c>
      <c r="C12" s="45"/>
      <c r="D12" s="25">
        <v>2000</v>
      </c>
    </row>
    <row r="13" spans="2:4" ht="19.2">
      <c r="B13" s="46" t="s">
        <v>13</v>
      </c>
      <c r="C13" s="47"/>
      <c r="D13" s="26">
        <v>6.0000000000000001E-3</v>
      </c>
    </row>
    <row r="14" spans="2:4" ht="19.8" thickBot="1">
      <c r="B14" s="53" t="s">
        <v>32</v>
      </c>
      <c r="C14" s="54"/>
      <c r="D14" s="27">
        <f>D12*30%</f>
        <v>600</v>
      </c>
    </row>
    <row r="15" spans="2:4" ht="14.4" thickBot="1"/>
    <row r="16" spans="2:4" ht="28.5" customHeight="1">
      <c r="B16" s="50" t="s">
        <v>5</v>
      </c>
      <c r="C16" s="51"/>
      <c r="D16" s="52"/>
    </row>
    <row r="17" spans="1:6" ht="19.2">
      <c r="B17" s="44" t="s">
        <v>0</v>
      </c>
      <c r="C17" s="45"/>
      <c r="D17" s="20">
        <v>200</v>
      </c>
    </row>
    <row r="18" spans="1:6" ht="19.2">
      <c r="B18" s="46" t="s">
        <v>1</v>
      </c>
      <c r="C18" s="47"/>
      <c r="D18" s="21">
        <v>5</v>
      </c>
    </row>
    <row r="19" spans="1:6" ht="19.2">
      <c r="B19" s="46" t="s">
        <v>2</v>
      </c>
      <c r="C19" s="47"/>
      <c r="D19" s="22">
        <v>1.0789999999999999E-2</v>
      </c>
    </row>
    <row r="20" spans="1:6" ht="19.2">
      <c r="B20" s="55" t="s">
        <v>3</v>
      </c>
      <c r="C20" s="56"/>
      <c r="D20" s="23">
        <f>FV(taxa_mensal,qtd_anos*12,aporte*-1)</f>
        <v>16755.382799697527</v>
      </c>
    </row>
    <row r="21" spans="1:6" ht="19.8" thickBot="1">
      <c r="B21" s="48" t="s">
        <v>4</v>
      </c>
      <c r="C21" s="49"/>
      <c r="D21" s="24">
        <f>patrimonio*rendimento_carteira</f>
        <v>100.53229679818516</v>
      </c>
      <c r="F21" s="3"/>
    </row>
    <row r="22" spans="1:6" ht="14.4" thickBot="1"/>
    <row r="23" spans="1:6" ht="29.4">
      <c r="B23" s="50" t="s">
        <v>11</v>
      </c>
      <c r="C23" s="51"/>
      <c r="D23" s="8" t="s">
        <v>12</v>
      </c>
    </row>
    <row r="24" spans="1:6" ht="19.2">
      <c r="A24" s="1">
        <v>2</v>
      </c>
      <c r="B24" s="9" t="s">
        <v>6</v>
      </c>
      <c r="C24" s="10">
        <f>FV($D$19,$A24*12,$D$17*-1)</f>
        <v>5445.5254595290435</v>
      </c>
      <c r="D24" s="11">
        <f>C24*rendimento_carteira</f>
        <v>32.673152757174265</v>
      </c>
    </row>
    <row r="25" spans="1:6" ht="19.2">
      <c r="A25" s="1">
        <v>5</v>
      </c>
      <c r="B25" s="12" t="s">
        <v>7</v>
      </c>
      <c r="C25" s="13">
        <f>FV($D$19,$A25*12,$D$17*-1)</f>
        <v>16755.382799697527</v>
      </c>
      <c r="D25" s="14">
        <f>C25*rendimento_carteira</f>
        <v>100.53229679818516</v>
      </c>
    </row>
    <row r="26" spans="1:6" ht="19.2">
      <c r="A26" s="1">
        <v>10</v>
      </c>
      <c r="B26" s="12" t="s">
        <v>8</v>
      </c>
      <c r="C26" s="13">
        <f>FV($D$19,$A26*12,$D$17*-1)</f>
        <v>48656.842506034438</v>
      </c>
      <c r="D26" s="14">
        <f>C26*rendimento_carteira</f>
        <v>291.94105503620665</v>
      </c>
    </row>
    <row r="27" spans="1:6" ht="19.2">
      <c r="A27" s="1">
        <v>20</v>
      </c>
      <c r="B27" s="12" t="s">
        <v>9</v>
      </c>
      <c r="C27" s="13">
        <f>FV($D$19,$A27*12,$D$17*-1)</f>
        <v>225039.68001941612</v>
      </c>
      <c r="D27" s="14">
        <f>C27*rendimento_carteira</f>
        <v>1350.2380801164968</v>
      </c>
    </row>
    <row r="28" spans="1:6" ht="19.8" thickBot="1">
      <c r="A28" s="1">
        <v>30</v>
      </c>
      <c r="B28" s="15" t="s">
        <v>10</v>
      </c>
      <c r="C28" s="16">
        <f>FV($D$19,$A28*12,$D$17*-1)</f>
        <v>864433.93100094295</v>
      </c>
      <c r="D28" s="17">
        <f>C28*rendimento_carteira</f>
        <v>5186.6035860056581</v>
      </c>
    </row>
    <row r="32" spans="1:6">
      <c r="B32" s="28" t="s">
        <v>20</v>
      </c>
      <c r="C32" s="29" t="s">
        <v>17</v>
      </c>
      <c r="D32" s="28"/>
    </row>
    <row r="33" spans="2:4">
      <c r="B33" s="30" t="s">
        <v>19</v>
      </c>
      <c r="C33" s="31">
        <f>aporte</f>
        <v>200</v>
      </c>
      <c r="D33" s="30"/>
    </row>
    <row r="35" spans="2:4">
      <c r="B35" s="32" t="s">
        <v>21</v>
      </c>
      <c r="C35" s="32" t="s">
        <v>22</v>
      </c>
      <c r="D35" s="32" t="s">
        <v>23</v>
      </c>
    </row>
    <row r="36" spans="2:4">
      <c r="B36" s="2" t="s">
        <v>24</v>
      </c>
      <c r="C36" s="4" t="e">
        <f>VLOOKUP($C$32&amp;"-"&amp;B36,#REF!,4,FALSE)</f>
        <v>#REF!</v>
      </c>
      <c r="D36" s="35" t="e">
        <f>C36*$C$33</f>
        <v>#REF!</v>
      </c>
    </row>
    <row r="37" spans="2:4">
      <c r="B37" s="2" t="s">
        <v>25</v>
      </c>
      <c r="C37" s="4" t="e">
        <f>VLOOKUP($C$32&amp;"-"&amp;B37,#REF!,4,FALSE)</f>
        <v>#REF!</v>
      </c>
      <c r="D37" s="35" t="e">
        <f t="shared" ref="D37:D41" si="0">C37*$C$33</f>
        <v>#REF!</v>
      </c>
    </row>
    <row r="38" spans="2:4">
      <c r="B38" s="2" t="s">
        <v>26</v>
      </c>
      <c r="C38" s="4" t="e">
        <f>VLOOKUP($C$32&amp;"-"&amp;B38,#REF!,4,FALSE)</f>
        <v>#REF!</v>
      </c>
      <c r="D38" s="35" t="e">
        <f t="shared" si="0"/>
        <v>#REF!</v>
      </c>
    </row>
    <row r="39" spans="2:4">
      <c r="B39" s="2" t="s">
        <v>27</v>
      </c>
      <c r="C39" s="4" t="e">
        <f>VLOOKUP($C$32&amp;"-"&amp;B39,#REF!,4,FALSE)</f>
        <v>#REF!</v>
      </c>
      <c r="D39" s="35" t="e">
        <f t="shared" si="0"/>
        <v>#REF!</v>
      </c>
    </row>
    <row r="40" spans="2:4">
      <c r="B40" s="2" t="s">
        <v>28</v>
      </c>
      <c r="C40" s="4" t="e">
        <f>VLOOKUP($C$32&amp;"-"&amp;B40,#REF!,4,FALSE)</f>
        <v>#REF!</v>
      </c>
      <c r="D40" s="35" t="e">
        <f t="shared" si="0"/>
        <v>#REF!</v>
      </c>
    </row>
    <row r="41" spans="2:4">
      <c r="B41" s="2" t="s">
        <v>29</v>
      </c>
      <c r="C41" s="4" t="e">
        <f>VLOOKUP($C$32&amp;"-"&amp;B41,#REF!,4,FALSE)</f>
        <v>#REF!</v>
      </c>
      <c r="D41" s="35" t="e">
        <f t="shared" si="0"/>
        <v>#REF!</v>
      </c>
    </row>
    <row r="42" spans="2:4">
      <c r="B42" s="33"/>
      <c r="C42" s="33"/>
      <c r="D42" s="34" t="e">
        <f>SUM(D36:D41)</f>
        <v>#REF!</v>
      </c>
    </row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disablePrompts="1"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9DE4-7BCD-4BA7-A113-62FEBDF77709}">
  <dimension ref="A3:B13"/>
  <sheetViews>
    <sheetView workbookViewId="0">
      <selection activeCell="A3" sqref="A3:B13"/>
    </sheetView>
  </sheetViews>
  <sheetFormatPr defaultRowHeight="13.8"/>
  <cols>
    <col min="1" max="1" width="50.296875" customWidth="1"/>
    <col min="2" max="2" width="17.09765625" customWidth="1"/>
  </cols>
  <sheetData>
    <row r="3" spans="1:2" ht="29.4">
      <c r="A3" s="62" t="s">
        <v>15</v>
      </c>
      <c r="B3" s="63" t="s">
        <v>23</v>
      </c>
    </row>
    <row r="4" spans="1:2" ht="19.2">
      <c r="A4" s="57" t="s">
        <v>14</v>
      </c>
      <c r="B4" s="58">
        <v>2000</v>
      </c>
    </row>
    <row r="5" spans="1:2" ht="19.2">
      <c r="A5" s="57" t="s">
        <v>33</v>
      </c>
      <c r="B5" s="59">
        <v>0.3</v>
      </c>
    </row>
    <row r="6" spans="1:2" ht="19.2">
      <c r="A6" s="57" t="s">
        <v>34</v>
      </c>
      <c r="B6" s="60">
        <v>12</v>
      </c>
    </row>
    <row r="7" spans="1:2" ht="19.2">
      <c r="A7" s="57" t="s">
        <v>35</v>
      </c>
      <c r="B7" s="67">
        <v>4.4999999999999998E-2</v>
      </c>
    </row>
    <row r="8" spans="1:2" ht="19.2">
      <c r="A8" s="57" t="s">
        <v>36</v>
      </c>
      <c r="B8" s="67">
        <v>5.0000000000000001E-3</v>
      </c>
    </row>
    <row r="9" spans="1:2" ht="19.2">
      <c r="A9" s="57" t="s">
        <v>37</v>
      </c>
      <c r="B9" s="67">
        <v>1.2E-2</v>
      </c>
    </row>
    <row r="10" spans="1:2" ht="19.2">
      <c r="A10" s="57" t="s">
        <v>38</v>
      </c>
      <c r="B10" s="59">
        <v>0.6</v>
      </c>
    </row>
    <row r="11" spans="1:2" ht="19.2">
      <c r="A11" s="57" t="s">
        <v>39</v>
      </c>
      <c r="B11" s="61">
        <v>100</v>
      </c>
    </row>
    <row r="12" spans="1:2" ht="19.2">
      <c r="A12" s="57" t="s">
        <v>40</v>
      </c>
      <c r="B12" s="59">
        <v>0.15</v>
      </c>
    </row>
    <row r="13" spans="1:2" ht="19.2">
      <c r="A13" s="64" t="s">
        <v>47</v>
      </c>
      <c r="B13" s="65">
        <v>20000</v>
      </c>
    </row>
  </sheetData>
  <phoneticPr fontId="13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0FC2-B2FC-445E-90ED-EEE4782152FD}">
  <dimension ref="A2:C17"/>
  <sheetViews>
    <sheetView workbookViewId="0">
      <selection activeCell="B17" sqref="B17"/>
    </sheetView>
  </sheetViews>
  <sheetFormatPr defaultRowHeight="13.8"/>
  <cols>
    <col min="1" max="1" width="49.3984375" customWidth="1"/>
    <col min="2" max="2" width="19.19921875" customWidth="1"/>
    <col min="3" max="3" width="16.09765625" customWidth="1"/>
  </cols>
  <sheetData>
    <row r="2" spans="1:3" ht="14.4" thickBot="1"/>
    <row r="3" spans="1:3" ht="29.4">
      <c r="A3" s="50" t="s">
        <v>5</v>
      </c>
      <c r="B3" s="51"/>
      <c r="C3" s="52"/>
    </row>
    <row r="4" spans="1:3" ht="19.2">
      <c r="A4" s="44" t="s">
        <v>41</v>
      </c>
      <c r="B4" s="45"/>
      <c r="C4" s="20">
        <f>Tabela2[[#This Row],[Valores]]*INPUTS!B5+INPUTS!B11</f>
        <v>700</v>
      </c>
    </row>
    <row r="5" spans="1:3" ht="19.2">
      <c r="A5" s="18" t="s">
        <v>42</v>
      </c>
      <c r="B5" s="19"/>
      <c r="C5" s="68">
        <f>(INPUTS!B8*INPUTS!B10) + (INPUTS!B9 * (1- INPUTS!B10))</f>
        <v>7.8000000000000005E-3</v>
      </c>
    </row>
    <row r="6" spans="1:3" ht="19.2">
      <c r="A6" s="46" t="s">
        <v>43</v>
      </c>
      <c r="B6" s="47"/>
      <c r="C6" s="21">
        <v>5</v>
      </c>
    </row>
    <row r="7" spans="1:3" ht="19.2">
      <c r="A7" s="46" t="s">
        <v>44</v>
      </c>
      <c r="B7" s="47"/>
      <c r="C7" s="66">
        <f>INPUTS!B6*5</f>
        <v>60</v>
      </c>
    </row>
    <row r="8" spans="1:3" ht="19.2">
      <c r="A8" s="55" t="s">
        <v>45</v>
      </c>
      <c r="B8" s="56"/>
      <c r="C8" s="23">
        <f>FV(C5, C7, -C4, 0, 1)</f>
        <v>53714.504562296504</v>
      </c>
    </row>
    <row r="9" spans="1:3" ht="19.8" thickBot="1">
      <c r="A9" s="48" t="s">
        <v>46</v>
      </c>
      <c r="B9" s="49"/>
      <c r="C9" s="24">
        <f>C8*C5</f>
        <v>418.97313558591276</v>
      </c>
    </row>
    <row r="11" spans="1:3" ht="14.4" thickBot="1"/>
    <row r="12" spans="1:3" ht="29.4">
      <c r="A12" s="50" t="s">
        <v>11</v>
      </c>
      <c r="B12" s="51"/>
      <c r="C12" s="8" t="s">
        <v>12</v>
      </c>
    </row>
    <row r="13" spans="1:3" ht="19.2">
      <c r="A13" s="9" t="s">
        <v>6</v>
      </c>
      <c r="B13" s="10">
        <f>FV(C5, 2*12, C4,0,0)*-1</f>
        <v>18396.80083053387</v>
      </c>
      <c r="C13" s="11">
        <f>B13*C5</f>
        <v>143.4950464781642</v>
      </c>
    </row>
    <row r="14" spans="1:3" ht="19.2">
      <c r="A14" s="12" t="s">
        <v>7</v>
      </c>
      <c r="B14" s="10">
        <f>FV(C5,5*12,C4,0,0)*-1</f>
        <v>53298.7741241283</v>
      </c>
      <c r="C14" s="14">
        <f>B14*C5</f>
        <v>415.73043816820075</v>
      </c>
    </row>
    <row r="15" spans="1:3" ht="19.2">
      <c r="A15" s="12" t="s">
        <v>8</v>
      </c>
      <c r="B15" s="10">
        <f>FV(C5,10*12,C4,0,0)*-1</f>
        <v>138251.72356318776</v>
      </c>
      <c r="C15" s="14">
        <f>B15*C5</f>
        <v>1078.3634437928645</v>
      </c>
    </row>
    <row r="16" spans="1:3" ht="19.2">
      <c r="A16" s="12" t="s">
        <v>9</v>
      </c>
      <c r="B16" s="10">
        <f>FV(C5,20*12,C4,0,0)*-1</f>
        <v>489482.88245765894</v>
      </c>
      <c r="C16" s="14">
        <f>B16*C5</f>
        <v>3817.9664831697401</v>
      </c>
    </row>
    <row r="17" spans="1:3" ht="19.8" thickBot="1">
      <c r="A17" s="15" t="s">
        <v>10</v>
      </c>
      <c r="B17" s="10">
        <f>FV(C5,30*12,C4,0,0)*-1</f>
        <v>1381792.3871704168</v>
      </c>
      <c r="C17" s="17">
        <f>B17*C5</f>
        <v>10777.980619929251</v>
      </c>
    </row>
  </sheetData>
  <mergeCells count="7">
    <mergeCell ref="A12:B12"/>
    <mergeCell ref="A3:C3"/>
    <mergeCell ref="A4:B4"/>
    <mergeCell ref="A6:B6"/>
    <mergeCell ref="A7:B7"/>
    <mergeCell ref="A8:B8"/>
    <mergeCell ref="A9:B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6B0A1-46F9-4E44-A8BD-3EA75F303836}">
  <dimension ref="A1:D19"/>
  <sheetViews>
    <sheetView workbookViewId="0">
      <selection activeCell="D7" sqref="D7"/>
    </sheetView>
  </sheetViews>
  <sheetFormatPr defaultRowHeight="13.8"/>
  <cols>
    <col min="1" max="1" width="21.69921875" customWidth="1"/>
    <col min="2" max="2" width="14.59765625" customWidth="1"/>
    <col min="3" max="3" width="25.796875" customWidth="1"/>
    <col min="4" max="4" width="14.296875" customWidth="1"/>
    <col min="8" max="10" width="8.796875" customWidth="1"/>
  </cols>
  <sheetData>
    <row r="1" spans="1:4">
      <c r="A1" s="42" t="s">
        <v>31</v>
      </c>
      <c r="B1" s="42" t="s">
        <v>20</v>
      </c>
      <c r="C1" s="43" t="s">
        <v>21</v>
      </c>
      <c r="D1" s="43" t="s">
        <v>30</v>
      </c>
    </row>
    <row r="2" spans="1:4">
      <c r="A2" t="str">
        <f>B2&amp;"-"&amp;C2</f>
        <v>Conservador-PAPEL</v>
      </c>
      <c r="B2" t="s">
        <v>16</v>
      </c>
      <c r="C2" s="2" t="s">
        <v>24</v>
      </c>
      <c r="D2" s="4">
        <v>0.3</v>
      </c>
    </row>
    <row r="3" spans="1:4">
      <c r="A3" t="str">
        <f t="shared" ref="A3:A19" si="0">B3&amp;"-"&amp;C3</f>
        <v>Conservador-TIJOLO</v>
      </c>
      <c r="B3" t="s">
        <v>16</v>
      </c>
      <c r="C3" s="2" t="s">
        <v>25</v>
      </c>
      <c r="D3" s="4">
        <v>0.5</v>
      </c>
    </row>
    <row r="4" spans="1:4">
      <c r="A4" t="str">
        <f t="shared" si="0"/>
        <v>Conservador-HÍBRIDOS</v>
      </c>
      <c r="B4" t="s">
        <v>16</v>
      </c>
      <c r="C4" s="2" t="s">
        <v>26</v>
      </c>
      <c r="D4" s="4">
        <v>0.1</v>
      </c>
    </row>
    <row r="5" spans="1:4">
      <c r="A5" t="str">
        <f t="shared" si="0"/>
        <v>Conservador-FOFs</v>
      </c>
      <c r="B5" t="s">
        <v>16</v>
      </c>
      <c r="C5" s="2" t="s">
        <v>27</v>
      </c>
      <c r="D5" s="4">
        <v>0.1</v>
      </c>
    </row>
    <row r="6" spans="1:4">
      <c r="A6" t="str">
        <f t="shared" si="0"/>
        <v>Conservador-DESENVOLVIMENTO</v>
      </c>
      <c r="B6" t="s">
        <v>16</v>
      </c>
      <c r="C6" s="2" t="s">
        <v>28</v>
      </c>
      <c r="D6" s="4">
        <v>0</v>
      </c>
    </row>
    <row r="7" spans="1:4" ht="14.4" thickBot="1">
      <c r="A7" s="36" t="str">
        <f t="shared" si="0"/>
        <v>Conservador-HOTELARIAS</v>
      </c>
      <c r="B7" s="36" t="s">
        <v>16</v>
      </c>
      <c r="C7" s="37" t="s">
        <v>29</v>
      </c>
      <c r="D7" s="38">
        <v>0</v>
      </c>
    </row>
    <row r="8" spans="1:4">
      <c r="A8" t="str">
        <f t="shared" si="0"/>
        <v>Moderado-PAPEL</v>
      </c>
      <c r="B8" t="s">
        <v>17</v>
      </c>
      <c r="C8" s="2" t="s">
        <v>24</v>
      </c>
      <c r="D8" s="4">
        <v>0.32</v>
      </c>
    </row>
    <row r="9" spans="1:4">
      <c r="A9" s="39" t="str">
        <f t="shared" si="0"/>
        <v>Moderado-TIJOLO</v>
      </c>
      <c r="B9" s="39" t="s">
        <v>17</v>
      </c>
      <c r="C9" s="40" t="s">
        <v>25</v>
      </c>
      <c r="D9" s="41">
        <v>0.35</v>
      </c>
    </row>
    <row r="10" spans="1:4">
      <c r="A10" t="str">
        <f t="shared" si="0"/>
        <v>Moderado-HÍBRIDOS</v>
      </c>
      <c r="B10" t="s">
        <v>17</v>
      </c>
      <c r="C10" s="2" t="s">
        <v>26</v>
      </c>
      <c r="D10" s="4">
        <v>0.08</v>
      </c>
    </row>
    <row r="11" spans="1:4">
      <c r="A11" t="str">
        <f t="shared" si="0"/>
        <v>Moderado-FOFs</v>
      </c>
      <c r="B11" t="s">
        <v>17</v>
      </c>
      <c r="C11" s="2" t="s">
        <v>27</v>
      </c>
      <c r="D11" s="4">
        <v>0.05</v>
      </c>
    </row>
    <row r="12" spans="1:4">
      <c r="A12" t="str">
        <f t="shared" si="0"/>
        <v>Moderado-DESENVOLVIMENTO</v>
      </c>
      <c r="B12" t="s">
        <v>17</v>
      </c>
      <c r="C12" s="2" t="s">
        <v>28</v>
      </c>
      <c r="D12" s="4">
        <v>0.1</v>
      </c>
    </row>
    <row r="13" spans="1:4" ht="14.4" thickBot="1">
      <c r="A13" s="36" t="str">
        <f t="shared" si="0"/>
        <v>Moderado-HOTELARIAS</v>
      </c>
      <c r="B13" s="36" t="s">
        <v>17</v>
      </c>
      <c r="C13" s="37" t="s">
        <v>29</v>
      </c>
      <c r="D13" s="38">
        <v>0.1</v>
      </c>
    </row>
    <row r="14" spans="1:4">
      <c r="A14" t="str">
        <f t="shared" si="0"/>
        <v>Agressivo-PAPEL</v>
      </c>
      <c r="B14" t="s">
        <v>18</v>
      </c>
      <c r="C14" s="2" t="s">
        <v>24</v>
      </c>
      <c r="D14" s="4">
        <v>0.5</v>
      </c>
    </row>
    <row r="15" spans="1:4">
      <c r="A15" t="str">
        <f t="shared" si="0"/>
        <v>Agressivo-TIJOLO</v>
      </c>
      <c r="B15" t="s">
        <v>18</v>
      </c>
      <c r="C15" s="2" t="s">
        <v>25</v>
      </c>
      <c r="D15" s="4">
        <v>0.1</v>
      </c>
    </row>
    <row r="16" spans="1:4">
      <c r="A16" t="str">
        <f t="shared" si="0"/>
        <v>Agressivo-HÍBRIDOS</v>
      </c>
      <c r="B16" t="s">
        <v>18</v>
      </c>
      <c r="C16" s="2" t="s">
        <v>26</v>
      </c>
      <c r="D16" s="4">
        <v>0.05</v>
      </c>
    </row>
    <row r="17" spans="1:4">
      <c r="A17" t="str">
        <f t="shared" si="0"/>
        <v>Agressivo-FOFs</v>
      </c>
      <c r="B17" t="s">
        <v>18</v>
      </c>
      <c r="C17" s="2" t="s">
        <v>27</v>
      </c>
      <c r="D17" s="4">
        <v>0.05</v>
      </c>
    </row>
    <row r="18" spans="1:4">
      <c r="A18" t="str">
        <f t="shared" si="0"/>
        <v>Agressivo-DESENVOLVIMENTO</v>
      </c>
      <c r="B18" t="s">
        <v>18</v>
      </c>
      <c r="C18" s="2" t="s">
        <v>28</v>
      </c>
      <c r="D18" s="4">
        <v>0.2</v>
      </c>
    </row>
    <row r="19" spans="1:4">
      <c r="A19" t="str">
        <f t="shared" si="0"/>
        <v>Agressivo-HOTELARIAS</v>
      </c>
      <c r="B19" t="s">
        <v>18</v>
      </c>
      <c r="C19" s="2" t="s">
        <v>29</v>
      </c>
      <c r="D19" s="4">
        <v>0.1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C38FA-AA91-4525-8074-2B26C6125B38}">
  <dimension ref="A3:C13"/>
  <sheetViews>
    <sheetView tabSelected="1" workbookViewId="0">
      <selection activeCell="A3" sqref="A3:C13"/>
    </sheetView>
  </sheetViews>
  <sheetFormatPr defaultRowHeight="13.8"/>
  <cols>
    <col min="1" max="1" width="41.796875" customWidth="1"/>
    <col min="2" max="2" width="21.8984375" customWidth="1"/>
    <col min="3" max="3" width="22.3984375" customWidth="1"/>
  </cols>
  <sheetData>
    <row r="3" spans="1:3">
      <c r="A3" s="28" t="s">
        <v>20</v>
      </c>
      <c r="B3" s="29" t="s">
        <v>17</v>
      </c>
      <c r="C3" s="28"/>
    </row>
    <row r="4" spans="1:3">
      <c r="A4" s="30" t="s">
        <v>19</v>
      </c>
      <c r="B4" s="31">
        <f>aporte</f>
        <v>200</v>
      </c>
      <c r="C4" s="30"/>
    </row>
    <row r="6" spans="1:3">
      <c r="A6" s="32" t="s">
        <v>21</v>
      </c>
      <c r="B6" s="32" t="s">
        <v>22</v>
      </c>
      <c r="C6" s="32" t="s">
        <v>23</v>
      </c>
    </row>
    <row r="7" spans="1:3">
      <c r="A7" s="2" t="s">
        <v>24</v>
      </c>
      <c r="B7" s="4">
        <f>IFERROR(VLOOKUP(DASHBOARD!B3 &amp; "-PAPEL", ATIVOS!A1:D19, 4, FALSE), 0)</f>
        <v>0.32</v>
      </c>
      <c r="C7" s="35">
        <f>B7*B4</f>
        <v>64</v>
      </c>
    </row>
    <row r="8" spans="1:3">
      <c r="A8" s="2" t="s">
        <v>25</v>
      </c>
      <c r="B8" s="4">
        <f>IFERROR(VLOOKUP(DASHBOARD!B3 &amp; "-TIJOLO", ATIVOS!A2:D20, 4, FALSE), 0)</f>
        <v>0.35</v>
      </c>
      <c r="C8" s="35">
        <f>B8*B4</f>
        <v>70</v>
      </c>
    </row>
    <row r="9" spans="1:3">
      <c r="A9" s="2" t="s">
        <v>26</v>
      </c>
      <c r="B9" s="4">
        <f>IFERROR(VLOOKUP(DASHBOARD!B3 &amp; "-HÍBRIDOS", ATIVOS!A3:D21, 4, FALSE), 0)</f>
        <v>0.08</v>
      </c>
      <c r="C9" s="35">
        <f>B9*B4</f>
        <v>16</v>
      </c>
    </row>
    <row r="10" spans="1:3">
      <c r="A10" s="2" t="s">
        <v>27</v>
      </c>
      <c r="B10" s="4">
        <f>IFERROR(VLOOKUP(DASHBOARD!B3 &amp; "-FOFs", ATIVOS!A4:D22, 4, FALSE), 0)</f>
        <v>0.05</v>
      </c>
      <c r="C10" s="35">
        <f>B10*B4</f>
        <v>10</v>
      </c>
    </row>
    <row r="11" spans="1:3">
      <c r="A11" s="2" t="s">
        <v>28</v>
      </c>
      <c r="B11" s="4">
        <f>IFERROR(VLOOKUP(DASHBOARD!B3 &amp; "-DESENVOLVIMENTO", ATIVOS!A5:D23, 4, FALSE), 0)</f>
        <v>0.1</v>
      </c>
      <c r="C11" s="35">
        <f>B11*B4</f>
        <v>20</v>
      </c>
    </row>
    <row r="12" spans="1:3">
      <c r="A12" s="2" t="s">
        <v>29</v>
      </c>
      <c r="B12" s="4">
        <f>IFERROR(VLOOKUP(DASHBOARD!B3 &amp; "-HOTELARIAS", ATIVOS!A6:D24, 4, FALSE), 0)</f>
        <v>0.1</v>
      </c>
      <c r="C12" s="35">
        <f>B12*B4</f>
        <v>20</v>
      </c>
    </row>
    <row r="13" spans="1:3">
      <c r="A13" s="33"/>
      <c r="B13" s="33"/>
      <c r="C13" s="34">
        <f>SUM(C7:C12)</f>
        <v>200</v>
      </c>
    </row>
  </sheetData>
  <dataValidations disablePrompts="1" count="1">
    <dataValidation type="list" allowBlank="1" showInputMessage="1" showErrorMessage="1" sqref="B3" xr:uid="{2561F211-6B26-4574-A857-1198F0BF49AB}">
      <formula1>"Conservador, Moderado, Agressivo"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7</vt:i4>
      </vt:variant>
    </vt:vector>
  </HeadingPairs>
  <TitlesOfParts>
    <vt:vector size="12" baseType="lpstr">
      <vt:lpstr>APP</vt:lpstr>
      <vt:lpstr>INPUTS</vt:lpstr>
      <vt:lpstr>SIMULAÇÃO</vt:lpstr>
      <vt:lpstr>ATIVOS</vt:lpstr>
      <vt:lpstr>DASHBOARD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Marcos Antônio</cp:lastModifiedBy>
  <dcterms:created xsi:type="dcterms:W3CDTF">2025-04-16T18:38:03Z</dcterms:created>
  <dcterms:modified xsi:type="dcterms:W3CDTF">2025-06-24T05:59:21Z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