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lo\Desktop\"/>
    </mc:Choice>
  </mc:AlternateContent>
  <xr:revisionPtr revIDLastSave="0" documentId="13_ncr:1_{DA147AA3-E631-4ABD-BACF-2E47717302EC}" xr6:coauthVersionLast="47" xr6:coauthVersionMax="47" xr10:uidLastSave="{00000000-0000-0000-0000-000000000000}"/>
  <bookViews>
    <workbookView xWindow="-108" yWindow="-108" windowWidth="23256" windowHeight="12576" firstSheet="5" activeTab="9" xr2:uid="{03FAF5C7-CB4D-416B-BC2F-2EB5D2E833CC}"/>
  </bookViews>
  <sheets>
    <sheet name="Data to Insights to Decision" sheetId="8" r:id="rId1"/>
    <sheet name="Data Exploration" sheetId="9" r:id="rId2"/>
    <sheet name="Decision Tree" sheetId="1" r:id="rId3"/>
    <sheet name="Naive Bayes" sheetId="2" r:id="rId4"/>
    <sheet name="Evaluation" sheetId="3" r:id="rId5"/>
    <sheet name="KNN" sheetId="4" r:id="rId6"/>
    <sheet name="Linear Regression" sheetId="5" r:id="rId7"/>
    <sheet name="NN" sheetId="6" r:id="rId8"/>
    <sheet name="Clustering" sheetId="7" r:id="rId9"/>
    <sheet name="Summar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6" l="1"/>
  <c r="O58" i="5"/>
  <c r="X47" i="5"/>
  <c r="K44" i="5"/>
  <c r="I44" i="5"/>
  <c r="K62" i="1"/>
  <c r="AA37" i="2"/>
  <c r="AA36" i="2"/>
  <c r="U22" i="2"/>
  <c r="T23" i="2"/>
  <c r="U23" i="2"/>
  <c r="U21" i="2"/>
  <c r="T21" i="2"/>
  <c r="U20" i="2"/>
  <c r="AA5" i="2"/>
  <c r="AB5" i="2"/>
  <c r="AG2" i="2"/>
  <c r="AA40" i="2"/>
  <c r="M3" i="2"/>
  <c r="AC32" i="2"/>
  <c r="AC33" i="2"/>
  <c r="AC34" i="2"/>
  <c r="AC31" i="2"/>
  <c r="AA39" i="2"/>
  <c r="AA38" i="2"/>
  <c r="AA29" i="2"/>
  <c r="N9" i="2"/>
  <c r="J63" i="1"/>
  <c r="J64" i="1"/>
  <c r="J62" i="1"/>
  <c r="N47" i="1"/>
  <c r="K64" i="1"/>
  <c r="K63" i="1"/>
  <c r="M47" i="1"/>
  <c r="I64" i="1" s="1"/>
  <c r="M59" i="1"/>
  <c r="M58" i="1"/>
  <c r="M57" i="1"/>
  <c r="M56" i="1"/>
  <c r="M55" i="1"/>
  <c r="M54" i="1"/>
  <c r="M53" i="1"/>
  <c r="M52" i="1"/>
  <c r="M51" i="1"/>
  <c r="M50" i="1"/>
  <c r="L51" i="1"/>
  <c r="L52" i="1"/>
  <c r="L53" i="1"/>
  <c r="L54" i="1"/>
  <c r="L55" i="1"/>
  <c r="L56" i="1"/>
  <c r="L57" i="1"/>
  <c r="L58" i="1"/>
  <c r="L59" i="1"/>
  <c r="L50" i="1"/>
  <c r="L47" i="1"/>
  <c r="I40" i="1"/>
  <c r="I41" i="1"/>
  <c r="I39" i="1"/>
  <c r="L34" i="1"/>
  <c r="L35" i="1"/>
  <c r="L36" i="1"/>
  <c r="L11" i="1"/>
  <c r="L7" i="1"/>
  <c r="L5" i="1"/>
  <c r="K36" i="1"/>
  <c r="K35" i="1"/>
  <c r="K31" i="1"/>
  <c r="L31" i="1" s="1"/>
  <c r="K34" i="1"/>
  <c r="O26" i="1"/>
  <c r="N27" i="1"/>
  <c r="M27" i="1"/>
  <c r="L27" i="1"/>
  <c r="K27" i="1"/>
  <c r="J27" i="1"/>
  <c r="O22" i="1"/>
  <c r="I23" i="1" s="1"/>
  <c r="K5" i="1"/>
  <c r="L6" i="1"/>
  <c r="L2" i="1"/>
  <c r="K23" i="1"/>
  <c r="K2" i="1"/>
  <c r="J11" i="1"/>
  <c r="K11" i="1" s="1"/>
  <c r="J10" i="1"/>
  <c r="J9" i="1"/>
  <c r="J8" i="1"/>
  <c r="J7" i="1"/>
  <c r="J6" i="1"/>
  <c r="J5" i="1"/>
  <c r="L8" i="1"/>
  <c r="I5" i="1"/>
  <c r="I11" i="1"/>
  <c r="I10" i="1"/>
  <c r="L10" i="1" s="1"/>
  <c r="I9" i="1"/>
  <c r="I8" i="1"/>
  <c r="I7" i="1"/>
  <c r="I6" i="1"/>
  <c r="B8" i="7"/>
  <c r="C8" i="7"/>
  <c r="I22" i="4"/>
  <c r="E26" i="6"/>
  <c r="F26" i="6" s="1"/>
  <c r="E25" i="6"/>
  <c r="F25" i="6" s="1"/>
  <c r="I25" i="6" s="1"/>
  <c r="J25" i="6" s="1"/>
  <c r="E22" i="6"/>
  <c r="F22" i="6" s="1"/>
  <c r="E21" i="6"/>
  <c r="F21" i="6" s="1"/>
  <c r="I21" i="6" s="1"/>
  <c r="J21" i="6" s="1"/>
  <c r="E18" i="6"/>
  <c r="F18" i="6" s="1"/>
  <c r="E17" i="6"/>
  <c r="F17" i="6" s="1"/>
  <c r="E14" i="6"/>
  <c r="F14" i="6" s="1"/>
  <c r="E13" i="6"/>
  <c r="F13" i="6" s="1"/>
  <c r="E10" i="6"/>
  <c r="F10" i="6" s="1"/>
  <c r="E9" i="6"/>
  <c r="J3" i="6"/>
  <c r="J4" i="6"/>
  <c r="J5" i="6"/>
  <c r="J2" i="6"/>
  <c r="O82" i="5"/>
  <c r="O81" i="5"/>
  <c r="O80" i="5"/>
  <c r="O79" i="5"/>
  <c r="O78" i="5"/>
  <c r="O71" i="5"/>
  <c r="O75" i="5" s="1"/>
  <c r="P75" i="5" s="1"/>
  <c r="O72" i="5"/>
  <c r="O73" i="5"/>
  <c r="O74" i="5"/>
  <c r="O70" i="5"/>
  <c r="O66" i="5"/>
  <c r="O65" i="5"/>
  <c r="O64" i="5"/>
  <c r="O59" i="5"/>
  <c r="O60" i="5"/>
  <c r="K48" i="5"/>
  <c r="L48" i="5"/>
  <c r="M48" i="5"/>
  <c r="N48" i="5"/>
  <c r="O48" i="5"/>
  <c r="W48" i="5" s="1"/>
  <c r="X48" i="5" s="1"/>
  <c r="Y48" i="5" s="1"/>
  <c r="P48" i="5"/>
  <c r="Q48" i="5"/>
  <c r="R48" i="5"/>
  <c r="S48" i="5"/>
  <c r="T48" i="5"/>
  <c r="U48" i="5"/>
  <c r="V48" i="5"/>
  <c r="K49" i="5"/>
  <c r="L49" i="5"/>
  <c r="W49" i="5" s="1"/>
  <c r="X49" i="5" s="1"/>
  <c r="Y49" i="5" s="1"/>
  <c r="M49" i="5"/>
  <c r="N49" i="5"/>
  <c r="O49" i="5"/>
  <c r="P49" i="5"/>
  <c r="Q49" i="5"/>
  <c r="R49" i="5"/>
  <c r="S49" i="5"/>
  <c r="T49" i="5"/>
  <c r="U49" i="5"/>
  <c r="V49" i="5"/>
  <c r="K50" i="5"/>
  <c r="W50" i="5" s="1"/>
  <c r="X50" i="5" s="1"/>
  <c r="Y50" i="5" s="1"/>
  <c r="L50" i="5"/>
  <c r="M50" i="5"/>
  <c r="N50" i="5"/>
  <c r="O50" i="5"/>
  <c r="P50" i="5"/>
  <c r="Q50" i="5"/>
  <c r="R50" i="5"/>
  <c r="S50" i="5"/>
  <c r="T50" i="5"/>
  <c r="U50" i="5"/>
  <c r="V50" i="5"/>
  <c r="K51" i="5"/>
  <c r="W51" i="5" s="1"/>
  <c r="X51" i="5" s="1"/>
  <c r="Y51" i="5" s="1"/>
  <c r="L51" i="5"/>
  <c r="M51" i="5"/>
  <c r="N51" i="5"/>
  <c r="O51" i="5"/>
  <c r="P51" i="5"/>
  <c r="Q51" i="5"/>
  <c r="R51" i="5"/>
  <c r="S51" i="5"/>
  <c r="T51" i="5"/>
  <c r="U51" i="5"/>
  <c r="V51" i="5"/>
  <c r="Q47" i="5"/>
  <c r="R47" i="5"/>
  <c r="P47" i="5"/>
  <c r="O47" i="5"/>
  <c r="V47" i="5"/>
  <c r="U47" i="5"/>
  <c r="T47" i="5"/>
  <c r="S47" i="5"/>
  <c r="N47" i="5"/>
  <c r="M47" i="5"/>
  <c r="L47" i="5"/>
  <c r="K47" i="5"/>
  <c r="M27" i="5"/>
  <c r="M28" i="5"/>
  <c r="M29" i="5"/>
  <c r="M30" i="5"/>
  <c r="M31" i="5"/>
  <c r="M32" i="5"/>
  <c r="M33" i="5"/>
  <c r="M34" i="5"/>
  <c r="M35" i="5"/>
  <c r="M36" i="5"/>
  <c r="M37" i="5"/>
  <c r="M26" i="5"/>
  <c r="L27" i="5"/>
  <c r="L28" i="5"/>
  <c r="L29" i="5"/>
  <c r="L30" i="5"/>
  <c r="L31" i="5"/>
  <c r="L32" i="5"/>
  <c r="L33" i="5"/>
  <c r="L34" i="5"/>
  <c r="L35" i="5"/>
  <c r="L36" i="5"/>
  <c r="L37" i="5"/>
  <c r="L26" i="5"/>
  <c r="K27" i="5"/>
  <c r="K28" i="5"/>
  <c r="K29" i="5"/>
  <c r="K30" i="5"/>
  <c r="K31" i="5"/>
  <c r="K32" i="5"/>
  <c r="K33" i="5"/>
  <c r="K34" i="5"/>
  <c r="K35" i="5"/>
  <c r="K36" i="5"/>
  <c r="K37" i="5"/>
  <c r="K26" i="5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10" i="5"/>
  <c r="O10" i="5" s="1"/>
  <c r="Q4" i="5"/>
  <c r="Q5" i="5"/>
  <c r="Q6" i="5"/>
  <c r="Q3" i="5"/>
  <c r="J22" i="4"/>
  <c r="K22" i="4"/>
  <c r="L22" i="4"/>
  <c r="M22" i="4"/>
  <c r="N22" i="4"/>
  <c r="O22" i="4"/>
  <c r="O21" i="4"/>
  <c r="I21" i="4"/>
  <c r="J21" i="4"/>
  <c r="K21" i="4"/>
  <c r="L21" i="4"/>
  <c r="M21" i="4"/>
  <c r="N21" i="4"/>
  <c r="I19" i="4"/>
  <c r="J19" i="4"/>
  <c r="K19" i="4"/>
  <c r="L19" i="4"/>
  <c r="M19" i="4"/>
  <c r="N19" i="4"/>
  <c r="O19" i="4"/>
  <c r="I20" i="4"/>
  <c r="J20" i="4"/>
  <c r="K20" i="4"/>
  <c r="L20" i="4"/>
  <c r="M20" i="4"/>
  <c r="N20" i="4"/>
  <c r="O20" i="4"/>
  <c r="J18" i="4"/>
  <c r="K18" i="4"/>
  <c r="L18" i="4"/>
  <c r="M18" i="4"/>
  <c r="N18" i="4"/>
  <c r="O18" i="4"/>
  <c r="I18" i="4"/>
  <c r="J13" i="4"/>
  <c r="K13" i="4"/>
  <c r="L13" i="4"/>
  <c r="M13" i="4"/>
  <c r="N13" i="4"/>
  <c r="O13" i="4"/>
  <c r="P13" i="4"/>
  <c r="I13" i="4"/>
  <c r="J12" i="4"/>
  <c r="K12" i="4"/>
  <c r="L12" i="4"/>
  <c r="M12" i="4"/>
  <c r="N12" i="4"/>
  <c r="O12" i="4"/>
  <c r="P12" i="4"/>
  <c r="I12" i="4"/>
  <c r="P11" i="4"/>
  <c r="Q3" i="4"/>
  <c r="Q4" i="4"/>
  <c r="Q5" i="4"/>
  <c r="J11" i="4"/>
  <c r="K11" i="4"/>
  <c r="L11" i="4"/>
  <c r="M11" i="4"/>
  <c r="N11" i="4"/>
  <c r="O11" i="4"/>
  <c r="I11" i="4"/>
  <c r="R4" i="4"/>
  <c r="R5" i="4"/>
  <c r="R3" i="4"/>
  <c r="H14" i="3"/>
  <c r="H12" i="3"/>
  <c r="H10" i="3"/>
  <c r="H9" i="3"/>
  <c r="H7" i="3"/>
  <c r="H6" i="3"/>
  <c r="H5" i="3"/>
  <c r="H3" i="3"/>
  <c r="H2" i="3"/>
  <c r="N8" i="2"/>
  <c r="O8" i="2"/>
  <c r="O9" i="2"/>
  <c r="N10" i="2"/>
  <c r="O10" i="2"/>
  <c r="N11" i="2"/>
  <c r="O11" i="2"/>
  <c r="N12" i="2"/>
  <c r="O12" i="2"/>
  <c r="N13" i="2"/>
  <c r="O13" i="2"/>
  <c r="M15" i="2"/>
  <c r="O15" i="2" s="1"/>
  <c r="M14" i="2"/>
  <c r="O14" i="2" s="1"/>
  <c r="L15" i="2"/>
  <c r="N15" i="2" s="1"/>
  <c r="L14" i="2"/>
  <c r="N14" i="2" s="1"/>
  <c r="M4" i="2"/>
  <c r="O4" i="2" s="1"/>
  <c r="M16" i="2"/>
  <c r="Q6" i="2" s="1"/>
  <c r="L16" i="2"/>
  <c r="P3" i="2" s="1"/>
  <c r="I9" i="6" l="1"/>
  <c r="K16" i="2"/>
  <c r="AC5" i="2"/>
  <c r="AD5" i="2" s="1"/>
  <c r="P13" i="2"/>
  <c r="T13" i="2" s="1"/>
  <c r="P9" i="2"/>
  <c r="T9" i="2" s="1"/>
  <c r="P5" i="2"/>
  <c r="P15" i="2"/>
  <c r="T15" i="2" s="1"/>
  <c r="P11" i="2"/>
  <c r="T11" i="2" s="1"/>
  <c r="P7" i="2"/>
  <c r="T16" i="2"/>
  <c r="P6" i="2"/>
  <c r="P14" i="2"/>
  <c r="T14" i="2" s="1"/>
  <c r="P10" i="2"/>
  <c r="T10" i="2" s="1"/>
  <c r="L3" i="2"/>
  <c r="N3" i="2" s="1"/>
  <c r="T3" i="2" s="1"/>
  <c r="Q12" i="2"/>
  <c r="U12" i="2" s="1"/>
  <c r="Q4" i="2"/>
  <c r="U4" i="2" s="1"/>
  <c r="L4" i="2"/>
  <c r="N4" i="2" s="1"/>
  <c r="T4" i="2" s="1"/>
  <c r="Q3" i="2"/>
  <c r="P12" i="2"/>
  <c r="T12" i="2" s="1"/>
  <c r="P8" i="2"/>
  <c r="T8" i="2" s="1"/>
  <c r="P4" i="2"/>
  <c r="Q13" i="2"/>
  <c r="U13" i="2" s="1"/>
  <c r="Q9" i="2"/>
  <c r="U9" i="2" s="1"/>
  <c r="Q5" i="2"/>
  <c r="Q8" i="2"/>
  <c r="U8" i="2" s="1"/>
  <c r="O3" i="2"/>
  <c r="U3" i="2" s="1"/>
  <c r="Q15" i="2"/>
  <c r="U15" i="2" s="1"/>
  <c r="Q11" i="2"/>
  <c r="U11" i="2" s="1"/>
  <c r="Q7" i="2"/>
  <c r="Q14" i="2"/>
  <c r="U14" i="2" s="1"/>
  <c r="Q10" i="2"/>
  <c r="U10" i="2" s="1"/>
  <c r="M5" i="2"/>
  <c r="O5" i="2" s="1"/>
  <c r="U5" i="2" s="1"/>
  <c r="M7" i="2"/>
  <c r="O7" i="2" s="1"/>
  <c r="U7" i="2" s="1"/>
  <c r="L7" i="2"/>
  <c r="N7" i="2" s="1"/>
  <c r="T7" i="2" s="1"/>
  <c r="M6" i="2"/>
  <c r="O6" i="2" s="1"/>
  <c r="U6" i="2" s="1"/>
  <c r="L5" i="2"/>
  <c r="N5" i="2" s="1"/>
  <c r="T5" i="2" s="1"/>
  <c r="L6" i="2"/>
  <c r="N6" i="2" s="1"/>
  <c r="T6" i="2" s="1"/>
  <c r="I62" i="1"/>
  <c r="I63" i="1"/>
  <c r="P27" i="1"/>
  <c r="P29" i="1" s="1"/>
  <c r="J23" i="1"/>
  <c r="N23" i="1"/>
  <c r="M23" i="1"/>
  <c r="L23" i="1"/>
  <c r="L9" i="1"/>
  <c r="K8" i="1"/>
  <c r="I17" i="6"/>
  <c r="J17" i="6" s="1"/>
  <c r="I13" i="6"/>
  <c r="J13" i="6" s="1"/>
  <c r="J9" i="6"/>
  <c r="O83" i="5"/>
  <c r="P83" i="5" s="1"/>
  <c r="M38" i="5"/>
  <c r="M41" i="5" s="1"/>
  <c r="L38" i="5"/>
  <c r="L41" i="5" s="1"/>
  <c r="K38" i="5"/>
  <c r="K41" i="5" s="1"/>
  <c r="H44" i="5" s="1"/>
  <c r="M44" i="5" s="1"/>
  <c r="O67" i="5"/>
  <c r="P67" i="5" s="1"/>
  <c r="O61" i="5"/>
  <c r="P61" i="5" s="1"/>
  <c r="W47" i="5"/>
  <c r="Y47" i="5" s="1"/>
  <c r="P17" i="5"/>
  <c r="P12" i="5"/>
  <c r="P19" i="5"/>
  <c r="P11" i="5"/>
  <c r="P15" i="5"/>
  <c r="P10" i="5"/>
  <c r="P14" i="5"/>
  <c r="P20" i="5"/>
  <c r="P16" i="5"/>
  <c r="P21" i="5"/>
  <c r="P13" i="5"/>
  <c r="P18" i="5"/>
  <c r="K10" i="1"/>
  <c r="K7" i="1"/>
  <c r="K6" i="1"/>
  <c r="K9" i="1"/>
  <c r="T20" i="2" l="1"/>
  <c r="U16" i="2"/>
  <c r="T22" i="2"/>
  <c r="P23" i="1"/>
  <c r="I15" i="1"/>
  <c r="I16" i="1"/>
  <c r="P22" i="5"/>
  <c r="P23" i="5" s="1"/>
  <c r="I14" i="1"/>
</calcChain>
</file>

<file path=xl/sharedStrings.xml><?xml version="1.0" encoding="utf-8"?>
<sst xmlns="http://schemas.openxmlformats.org/spreadsheetml/2006/main" count="645" uniqueCount="316">
  <si>
    <t>Customers</t>
  </si>
  <si>
    <t>Stars</t>
  </si>
  <si>
    <t>Pool</t>
  </si>
  <si>
    <t>Gym</t>
  </si>
  <si>
    <t>Book</t>
  </si>
  <si>
    <t>Overall Entropy</t>
  </si>
  <si>
    <t>Stars 2</t>
  </si>
  <si>
    <t>Stars 3</t>
  </si>
  <si>
    <t>Stars 4</t>
  </si>
  <si>
    <t>Pool 1</t>
  </si>
  <si>
    <t>Pool 0</t>
  </si>
  <si>
    <t>Gym 0</t>
  </si>
  <si>
    <t>Gym 1</t>
  </si>
  <si>
    <t>Total</t>
  </si>
  <si>
    <t>Information Gain</t>
  </si>
  <si>
    <t>Entropy</t>
  </si>
  <si>
    <t>Step 1</t>
  </si>
  <si>
    <t>Step 2</t>
  </si>
  <si>
    <t>Step 3</t>
  </si>
  <si>
    <t>Result</t>
  </si>
  <si>
    <t>Pool has highest info gain so is root node.</t>
  </si>
  <si>
    <t>Gender</t>
  </si>
  <si>
    <t>Hair</t>
  </si>
  <si>
    <t>Height</t>
  </si>
  <si>
    <t>Age</t>
  </si>
  <si>
    <t>City/Rural</t>
  </si>
  <si>
    <t>Outcome</t>
  </si>
  <si>
    <t>f</t>
  </si>
  <si>
    <t>m</t>
  </si>
  <si>
    <t>bl</t>
  </si>
  <si>
    <t>br</t>
  </si>
  <si>
    <t>re</t>
  </si>
  <si>
    <t>r</t>
  </si>
  <si>
    <t>c</t>
  </si>
  <si>
    <t>s</t>
  </si>
  <si>
    <t>n</t>
  </si>
  <si>
    <t>Contingency Table (c/w binning)</t>
  </si>
  <si>
    <t>Class</t>
  </si>
  <si>
    <t>#(F=S)</t>
  </si>
  <si>
    <t>#(F=N)</t>
  </si>
  <si>
    <t>D(F)</t>
  </si>
  <si>
    <t>LS(S)</t>
  </si>
  <si>
    <t>LS(N)</t>
  </si>
  <si>
    <t>Laplace Smoothing (k=2) : P(f=v|c) = {count(f=v|c)+k}/{count(f|c) + (k * |Domain(f)|)}</t>
  </si>
  <si>
    <t>k</t>
  </si>
  <si>
    <t>Take Query 1 and get product of probabilities</t>
  </si>
  <si>
    <t>Sun</t>
  </si>
  <si>
    <t>Non</t>
  </si>
  <si>
    <t>None</t>
  </si>
  <si>
    <t>Q1</t>
  </si>
  <si>
    <t>Q2</t>
  </si>
  <si>
    <t>Predicted Class</t>
  </si>
  <si>
    <t>Spam</t>
  </si>
  <si>
    <t>Non-Spam</t>
  </si>
  <si>
    <t>Actual</t>
  </si>
  <si>
    <t>Accuracy</t>
  </si>
  <si>
    <t>Misclassification Rate</t>
  </si>
  <si>
    <t>F1 Score (aka harmonic mean of P+R)</t>
  </si>
  <si>
    <t>TP</t>
  </si>
  <si>
    <t>TN</t>
  </si>
  <si>
    <t>FP</t>
  </si>
  <si>
    <t>FN</t>
  </si>
  <si>
    <t>TP Rate/Sensitivity/Recall = TP/TP+FN</t>
  </si>
  <si>
    <t>Precision = TP/TP+FP</t>
  </si>
  <si>
    <t>Recall = TP/TP+FN</t>
  </si>
  <si>
    <t>Focuses on FP. Want to be low</t>
  </si>
  <si>
    <t>Focuses on TN. Want to be high</t>
  </si>
  <si>
    <t>Focuses on TP. Want to be high</t>
  </si>
  <si>
    <t>TN Rate/Specificity/Negative Recall) = TN/TN+FP</t>
  </si>
  <si>
    <t>FP Rate = FP/TN+FP</t>
  </si>
  <si>
    <t>that were relevent</t>
  </si>
  <si>
    <t>out of all possible</t>
  </si>
  <si>
    <t>P/R Curve</t>
  </si>
  <si>
    <t xml:space="preserve"> </t>
  </si>
  <si>
    <t>Yes</t>
  </si>
  <si>
    <t>No</t>
  </si>
  <si>
    <t>Temp</t>
  </si>
  <si>
    <t>Id</t>
  </si>
  <si>
    <t>Humidity</t>
  </si>
  <si>
    <t>Windspeed</t>
  </si>
  <si>
    <t>Cloudy?</t>
  </si>
  <si>
    <t>Going-Out</t>
  </si>
  <si>
    <t>X</t>
  </si>
  <si>
    <t>Q</t>
  </si>
  <si>
    <t>?</t>
  </si>
  <si>
    <t>Max</t>
  </si>
  <si>
    <t>Min</t>
  </si>
  <si>
    <t>Z1</t>
  </si>
  <si>
    <t>Z2</t>
  </si>
  <si>
    <t>Z3</t>
  </si>
  <si>
    <t>Z4</t>
  </si>
  <si>
    <t>Z5</t>
  </si>
  <si>
    <t>Z6</t>
  </si>
  <si>
    <t>Z7</t>
  </si>
  <si>
    <t>Step 2: Min-Max Normalise Data</t>
  </si>
  <si>
    <t>ZQ</t>
  </si>
  <si>
    <t>Z</t>
  </si>
  <si>
    <t xml:space="preserve">  </t>
  </si>
  <si>
    <t>MD</t>
  </si>
  <si>
    <t>|Z7-ZQ|</t>
  </si>
  <si>
    <t>|Z6-ZQ|</t>
  </si>
  <si>
    <t>|Z5-ZQ|</t>
  </si>
  <si>
    <t>|Z4-ZQ|</t>
  </si>
  <si>
    <t>|Z3-ZQ|</t>
  </si>
  <si>
    <t>|Z2-ZQ|</t>
  </si>
  <si>
    <t>|Z1-ZQ|</t>
  </si>
  <si>
    <t>Step 3: Apply Manhattan Distance</t>
  </si>
  <si>
    <t>Step 1: Rewrite table horizontally</t>
  </si>
  <si>
    <t>Step 3: Rewrite Distance vertically and order by smallest</t>
  </si>
  <si>
    <t>X1</t>
  </si>
  <si>
    <t>X2</t>
  </si>
  <si>
    <t>X3</t>
  </si>
  <si>
    <t>X4</t>
  </si>
  <si>
    <t>X5</t>
  </si>
  <si>
    <t>X6</t>
  </si>
  <si>
    <t>X7</t>
  </si>
  <si>
    <t>K=1</t>
  </si>
  <si>
    <t>K=2</t>
  </si>
  <si>
    <t>Tie</t>
  </si>
  <si>
    <t>K=3</t>
  </si>
  <si>
    <t>x2 No, x1 Yes = No</t>
  </si>
  <si>
    <t>Surface Area</t>
  </si>
  <si>
    <t>Roof Area</t>
  </si>
  <si>
    <t>Glazing Area</t>
  </si>
  <si>
    <t>Residential Building Heating Load</t>
  </si>
  <si>
    <t>Heating Load</t>
  </si>
  <si>
    <t>W0</t>
  </si>
  <si>
    <t>W1</t>
  </si>
  <si>
    <t>W0+</t>
  </si>
  <si>
    <t>W1x</t>
  </si>
  <si>
    <t>Surface Area +</t>
  </si>
  <si>
    <t>Height-</t>
  </si>
  <si>
    <t>Roof Area+</t>
  </si>
  <si>
    <t>Age+</t>
  </si>
  <si>
    <t xml:space="preserve"> W2x</t>
  </si>
  <si>
    <t>W3x</t>
  </si>
  <si>
    <t>Heart Rate</t>
  </si>
  <si>
    <t>OxyCon</t>
  </si>
  <si>
    <t>Y^OxyCon</t>
  </si>
  <si>
    <t>Actual OxyCon</t>
  </si>
  <si>
    <t>Error</t>
  </si>
  <si>
    <t>Learning rate (a)</t>
  </si>
  <si>
    <t>Residual (Error)^2</t>
  </si>
  <si>
    <t>Y intercept or W0+</t>
  </si>
  <si>
    <t>SUM</t>
  </si>
  <si>
    <t>L2 (SSE)</t>
  </si>
  <si>
    <t>d[0] x error</t>
  </si>
  <si>
    <t>age x error</t>
  </si>
  <si>
    <t>heart rate x error</t>
  </si>
  <si>
    <t>Gradient Decent</t>
  </si>
  <si>
    <t>W2</t>
  </si>
  <si>
    <t>W0+a*(d[0] x error)</t>
  </si>
  <si>
    <t>W1+a*(age x error)</t>
  </si>
  <si>
    <t>W2+a*(heart rate x error)</t>
  </si>
  <si>
    <t xml:space="preserve">Linear Regression </t>
  </si>
  <si>
    <t>Sum of Squares Error</t>
  </si>
  <si>
    <t>Heating Load Model = W0+W1xSurface_Area+W2xHeight-W3xRoof_Area+W3xGlazing_Area</t>
  </si>
  <si>
    <t>Feature</t>
  </si>
  <si>
    <t>Weight</t>
  </si>
  <si>
    <t>Shop Freq.</t>
  </si>
  <si>
    <t>Shop Value</t>
  </si>
  <si>
    <t>SocioEconomic Band C</t>
  </si>
  <si>
    <t>SocioEconomic Band B</t>
  </si>
  <si>
    <t>Intercept(w[0])</t>
  </si>
  <si>
    <t>Multivariate Logistic Regression</t>
  </si>
  <si>
    <t>SE Band</t>
  </si>
  <si>
    <t>b</t>
  </si>
  <si>
    <t>a</t>
  </si>
  <si>
    <t>W[0]</t>
  </si>
  <si>
    <t>W[1]</t>
  </si>
  <si>
    <t>W[2]</t>
  </si>
  <si>
    <t>SE Band A</t>
  </si>
  <si>
    <t>SE Band B</t>
  </si>
  <si>
    <t>SE Band C</t>
  </si>
  <si>
    <t>W[3]</t>
  </si>
  <si>
    <t>W[4]</t>
  </si>
  <si>
    <t>W[5]</t>
  </si>
  <si>
    <t>W.Q</t>
  </si>
  <si>
    <t>Log Reg = 1/1+e^-WxQ</t>
  </si>
  <si>
    <t>Free Gift?</t>
  </si>
  <si>
    <t>Dose1</t>
  </si>
  <si>
    <t>Dose2</t>
  </si>
  <si>
    <t>Support Vector Machine</t>
  </si>
  <si>
    <t>x</t>
  </si>
  <si>
    <t>class (t)</t>
  </si>
  <si>
    <t>Sum</t>
  </si>
  <si>
    <t>Query 1a</t>
  </si>
  <si>
    <t>Query 1b</t>
  </si>
  <si>
    <t>Query 2a</t>
  </si>
  <si>
    <t>Query 2b</t>
  </si>
  <si>
    <t>Query 1 (page 365 book example)</t>
  </si>
  <si>
    <t>Query 1 (page 373 book example)</t>
  </si>
  <si>
    <t>Query 2 (page 373 book example)</t>
  </si>
  <si>
    <t>Pixel 1</t>
  </si>
  <si>
    <t>Pixel 2</t>
  </si>
  <si>
    <t>Pixel 3</t>
  </si>
  <si>
    <t>Pixel 4</t>
  </si>
  <si>
    <t>W3</t>
  </si>
  <si>
    <t>W4</t>
  </si>
  <si>
    <t>y</t>
  </si>
  <si>
    <t>h</t>
  </si>
  <si>
    <t>w1</t>
  </si>
  <si>
    <t>w2</t>
  </si>
  <si>
    <t>x input</t>
  </si>
  <si>
    <t>w3</t>
  </si>
  <si>
    <t>w4</t>
  </si>
  <si>
    <t>w0</t>
  </si>
  <si>
    <t>S(w*d)</t>
  </si>
  <si>
    <t>w*d</t>
  </si>
  <si>
    <t>Multilayer Network: Feedforward</t>
  </si>
  <si>
    <t>Athlete</t>
  </si>
  <si>
    <t>centroid</t>
  </si>
  <si>
    <t>speed</t>
  </si>
  <si>
    <t>agility</t>
  </si>
  <si>
    <t>k-means clustering</t>
  </si>
  <si>
    <t>id</t>
  </si>
  <si>
    <t>occupation</t>
  </si>
  <si>
    <t>gender</t>
  </si>
  <si>
    <t>age</t>
  </si>
  <si>
    <t>motor value</t>
  </si>
  <si>
    <t>policy type</t>
  </si>
  <si>
    <t>pref channel</t>
  </si>
  <si>
    <t>lab tech</t>
  </si>
  <si>
    <t>farmhand</t>
  </si>
  <si>
    <t>biophysicist</t>
  </si>
  <si>
    <t>sherrif</t>
  </si>
  <si>
    <t>painter</t>
  </si>
  <si>
    <t>manager</t>
  </si>
  <si>
    <t>geologist</t>
  </si>
  <si>
    <t>messenger</t>
  </si>
  <si>
    <t>nurse</t>
  </si>
  <si>
    <t>fire inspector</t>
  </si>
  <si>
    <t>female</t>
  </si>
  <si>
    <t>male</t>
  </si>
  <si>
    <t>planC</t>
  </si>
  <si>
    <t>planA</t>
  </si>
  <si>
    <t>planB</t>
  </si>
  <si>
    <t>sms</t>
  </si>
  <si>
    <t>phone</t>
  </si>
  <si>
    <t>email</t>
  </si>
  <si>
    <t>O</t>
  </si>
  <si>
    <t>Y</t>
  </si>
  <si>
    <t>M</t>
  </si>
  <si>
    <t>R</t>
  </si>
  <si>
    <t>N</t>
  </si>
  <si>
    <t>Total entropy for Book</t>
  </si>
  <si>
    <t>letter</t>
  </si>
  <si>
    <t>freq.</t>
  </si>
  <si>
    <t>entropy forletters in  scrabble</t>
  </si>
  <si>
    <t>feature entropy</t>
  </si>
  <si>
    <t>If vowls were split out</t>
  </si>
  <si>
    <t>change in entropy</t>
  </si>
  <si>
    <t>Good Behavior</t>
  </si>
  <si>
    <t>Age &lt; 30</t>
  </si>
  <si>
    <t>Recidivist</t>
  </si>
  <si>
    <t>Drug Dependent</t>
  </si>
  <si>
    <t>Total entropy for Recidivist</t>
  </si>
  <si>
    <t>Drug Dependent has highest info gain so is root node.</t>
  </si>
  <si>
    <t>education</t>
  </si>
  <si>
    <t>marital status</t>
  </si>
  <si>
    <t>annual income</t>
  </si>
  <si>
    <t>bachelors</t>
  </si>
  <si>
    <t>high school</t>
  </si>
  <si>
    <t>doctorate</t>
  </si>
  <si>
    <t>never married</t>
  </si>
  <si>
    <t>married</t>
  </si>
  <si>
    <t>divorced</t>
  </si>
  <si>
    <t>transport</t>
  </si>
  <si>
    <t>professional</t>
  </si>
  <si>
    <t>agriculture</t>
  </si>
  <si>
    <t>armed forces</t>
  </si>
  <si>
    <t>25k-50k</t>
  </si>
  <si>
    <t>&lt;25k</t>
  </si>
  <si>
    <t>&gt;50k</t>
  </si>
  <si>
    <t>Total entropy for annual income</t>
  </si>
  <si>
    <t>feature entropy for annual income</t>
  </si>
  <si>
    <t>feature entropy for Recidivist</t>
  </si>
  <si>
    <t>Occupation has highest info gain so is root node.</t>
  </si>
  <si>
    <t>Information Gain: info gain</t>
  </si>
  <si>
    <t>Information Gain: GINI</t>
  </si>
  <si>
    <t>Info Gain</t>
  </si>
  <si>
    <t>IG ration</t>
  </si>
  <si>
    <t>total</t>
  </si>
  <si>
    <t>prob 2 out of 3 ppl getting heads</t>
  </si>
  <si>
    <t>prob 8 out of 20 ppl getting heads</t>
  </si>
  <si>
    <t>prob 4 out of 20 ppl getting heads</t>
  </si>
  <si>
    <t>headache</t>
  </si>
  <si>
    <t>fever</t>
  </si>
  <si>
    <t>vomiting</t>
  </si>
  <si>
    <t>menigintis</t>
  </si>
  <si>
    <t>not-menigintis</t>
  </si>
  <si>
    <t>P(v=T)</t>
  </si>
  <si>
    <t>P(h=f)</t>
  </si>
  <si>
    <t>P(h=t | v=f)</t>
  </si>
  <si>
    <t>P(v=f | h=t)</t>
  </si>
  <si>
    <t>P(m=t | f=t,v=f)</t>
  </si>
  <si>
    <t>nCk(P)^k(1-P)^(n-k)</t>
  </si>
  <si>
    <t>n = #trials</t>
  </si>
  <si>
    <t>k = success</t>
  </si>
  <si>
    <t>P=prob of success</t>
  </si>
  <si>
    <t>1-P = prob of failure</t>
  </si>
  <si>
    <t>n-k</t>
  </si>
  <si>
    <t>10C9</t>
  </si>
  <si>
    <t>(p)^k</t>
  </si>
  <si>
    <t>(1-p)^n-k</t>
  </si>
  <si>
    <t>#(F=V/Sun)</t>
  </si>
  <si>
    <t>#(F=V/Not)</t>
  </si>
  <si>
    <t>P(f,bl,136,50,c|sun &amp; non)</t>
  </si>
  <si>
    <t>P(m,re,185,16,r|sun &amp; non)</t>
  </si>
  <si>
    <t>Normalise</t>
  </si>
  <si>
    <t>P(headache= t)</t>
  </si>
  <si>
    <t>P(headache=f)</t>
  </si>
  <si>
    <t>P(fever t)</t>
  </si>
  <si>
    <t>P(fever f)</t>
  </si>
  <si>
    <t>P(vomiting t)</t>
  </si>
  <si>
    <t>P(vomiting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</si>
</sst>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%"/>
    <numFmt numFmtId="166" formatCode="_-* #,##0.000_-;\-* #,##0.000_-;_-* &quot;-&quot;??_-;_-@_-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2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9" fontId="0" fillId="0" borderId="0" xfId="2" applyFont="1"/>
    <xf numFmtId="0" fontId="0" fillId="2" borderId="0" xfId="0" applyFill="1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2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vertical="center"/>
    </xf>
    <xf numFmtId="43" fontId="3" fillId="0" borderId="0" xfId="1" applyFont="1" applyAlignment="1">
      <alignment horizontal="center"/>
    </xf>
    <xf numFmtId="43" fontId="1" fillId="0" borderId="0" xfId="1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166" fontId="0" fillId="0" borderId="0" xfId="1" applyNumberFormat="1" applyFont="1" applyBorder="1" applyAlignment="1">
      <alignment horizontal="right" vertical="top"/>
    </xf>
    <xf numFmtId="43" fontId="0" fillId="0" borderId="5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166" fontId="0" fillId="0" borderId="7" xfId="1" applyNumberFormat="1" applyFont="1" applyBorder="1" applyAlignment="1">
      <alignment horizontal="right" vertical="top"/>
    </xf>
    <xf numFmtId="43" fontId="0" fillId="0" borderId="8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2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2" fontId="1" fillId="0" borderId="0" xfId="0" applyNumberFormat="1" applyFont="1" applyBorder="1" applyAlignment="1">
      <alignment horizontal="right" vertical="top"/>
    </xf>
    <xf numFmtId="2" fontId="0" fillId="0" borderId="7" xfId="0" applyNumberFormat="1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167" fontId="0" fillId="0" borderId="0" xfId="0" applyNumberFormat="1" applyBorder="1" applyAlignment="1">
      <alignment horizontal="right" vertical="top"/>
    </xf>
    <xf numFmtId="2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167" fontId="0" fillId="0" borderId="0" xfId="0" applyNumberForma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1" fillId="0" borderId="3" xfId="0" applyFont="1" applyBorder="1" applyAlignment="1">
      <alignment horizontal="right" vertical="top"/>
    </xf>
    <xf numFmtId="0" fontId="0" fillId="0" borderId="7" xfId="0" applyBorder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164" fontId="0" fillId="0" borderId="0" xfId="0" applyNumberFormat="1"/>
    <xf numFmtId="2" fontId="0" fillId="0" borderId="0" xfId="0" applyNumberFormat="1" applyAlignment="1">
      <alignment horizontal="center" vertical="top"/>
    </xf>
    <xf numFmtId="0" fontId="4" fillId="0" borderId="0" xfId="0" applyFont="1"/>
    <xf numFmtId="2" fontId="0" fillId="0" borderId="0" xfId="0" applyNumberFormat="1" applyFill="1"/>
    <xf numFmtId="0" fontId="1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3" fontId="0" fillId="0" borderId="0" xfId="1" applyFont="1" applyAlignment="1">
      <alignment horizontal="left" vertical="top"/>
    </xf>
    <xf numFmtId="43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2" fontId="0" fillId="0" borderId="7" xfId="0" applyNumberFormat="1" applyBorder="1"/>
    <xf numFmtId="0" fontId="1" fillId="0" borderId="0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3" fontId="0" fillId="0" borderId="5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85ED351-82D0-42EB-8551-35214A3C0D2E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B24F25AA-D6FE-4ED6-AF44-781F2DD6BA47}">
      <dgm:prSet phldrT="[Text]"/>
      <dgm:spPr/>
      <dgm:t>
        <a:bodyPr/>
        <a:lstStyle/>
        <a:p>
          <a:r>
            <a:rPr lang="en-GB"/>
            <a:t>Drug dependent</a:t>
          </a:r>
        </a:p>
      </dgm:t>
    </dgm:pt>
    <dgm:pt modelId="{ECEDF836-8D38-44BA-89D3-E05A6FDCDE01}" type="parTrans" cxnId="{C68E09BF-B842-41F4-9B0C-941A4667C9F1}">
      <dgm:prSet/>
      <dgm:spPr/>
      <dgm:t>
        <a:bodyPr/>
        <a:lstStyle/>
        <a:p>
          <a:endParaRPr lang="en-GB"/>
        </a:p>
      </dgm:t>
    </dgm:pt>
    <dgm:pt modelId="{B50EB910-F390-457C-886D-BC67196A26F0}" type="sibTrans" cxnId="{C68E09BF-B842-41F4-9B0C-941A4667C9F1}">
      <dgm:prSet/>
      <dgm:spPr/>
      <dgm:t>
        <a:bodyPr/>
        <a:lstStyle/>
        <a:p>
          <a:endParaRPr lang="en-GB"/>
        </a:p>
      </dgm:t>
    </dgm:pt>
    <dgm:pt modelId="{FCF84433-18BB-4383-AFF7-20FB55CC1758}">
      <dgm:prSet phldrT="[Text]"/>
      <dgm:spPr/>
      <dgm:t>
        <a:bodyPr/>
        <a:lstStyle/>
        <a:p>
          <a:r>
            <a:rPr lang="en-GB"/>
            <a:t>Yes</a:t>
          </a:r>
        </a:p>
      </dgm:t>
    </dgm:pt>
    <dgm:pt modelId="{8015516C-1C5F-4466-93A5-34ECF136ACE6}" type="sibTrans" cxnId="{1D991166-F8FB-4710-8D39-98CC116C1D7A}">
      <dgm:prSet/>
      <dgm:spPr/>
      <dgm:t>
        <a:bodyPr/>
        <a:lstStyle/>
        <a:p>
          <a:endParaRPr lang="en-GB"/>
        </a:p>
      </dgm:t>
    </dgm:pt>
    <dgm:pt modelId="{FB2588CF-160B-4C17-AA50-7C3D44BD981A}" type="parTrans" cxnId="{1D991166-F8FB-4710-8D39-98CC116C1D7A}">
      <dgm:prSet/>
      <dgm:spPr/>
      <dgm:t>
        <a:bodyPr/>
        <a:lstStyle/>
        <a:p>
          <a:endParaRPr lang="en-GB"/>
        </a:p>
      </dgm:t>
    </dgm:pt>
    <dgm:pt modelId="{D8857EE9-951B-4B98-9836-FD25C67684AC}">
      <dgm:prSet phldrT="[Text]"/>
      <dgm:spPr/>
      <dgm:t>
        <a:bodyPr/>
        <a:lstStyle/>
        <a:p>
          <a:r>
            <a:rPr lang="en-GB"/>
            <a:t>Age&lt;30</a:t>
          </a:r>
        </a:p>
      </dgm:t>
    </dgm:pt>
    <dgm:pt modelId="{A1033407-1FE8-4636-9B0E-215D92CFA162}" type="sibTrans" cxnId="{C3EC8905-6916-412D-B01C-1231E64FAB38}">
      <dgm:prSet/>
      <dgm:spPr/>
      <dgm:t>
        <a:bodyPr/>
        <a:lstStyle/>
        <a:p>
          <a:endParaRPr lang="en-GB"/>
        </a:p>
      </dgm:t>
    </dgm:pt>
    <dgm:pt modelId="{7A5704D7-871C-4AA5-9A84-EFD4122A3B1C}" type="parTrans" cxnId="{C3EC8905-6916-412D-B01C-1231E64FAB38}">
      <dgm:prSet/>
      <dgm:spPr/>
      <dgm:t>
        <a:bodyPr/>
        <a:lstStyle/>
        <a:p>
          <a:endParaRPr lang="en-GB"/>
        </a:p>
      </dgm:t>
    </dgm:pt>
    <dgm:pt modelId="{8040EB22-7F64-4D8E-B249-EEDF0A377F9E}">
      <dgm:prSet phldrT="[Text]"/>
      <dgm:spPr/>
      <dgm:t>
        <a:bodyPr/>
        <a:lstStyle/>
        <a:p>
          <a:r>
            <a:rPr lang="en-GB"/>
            <a:t>No</a:t>
          </a:r>
        </a:p>
      </dgm:t>
    </dgm:pt>
    <dgm:pt modelId="{27CA937B-6089-4655-97F4-F6AB56C28C1C}" type="sibTrans" cxnId="{8FF8F36B-571C-4B74-9B05-CA1A6D5CAC45}">
      <dgm:prSet/>
      <dgm:spPr/>
      <dgm:t>
        <a:bodyPr/>
        <a:lstStyle/>
        <a:p>
          <a:endParaRPr lang="en-GB"/>
        </a:p>
      </dgm:t>
    </dgm:pt>
    <dgm:pt modelId="{C5D93E21-4156-4CED-961A-13529FC0304D}" type="parTrans" cxnId="{8FF8F36B-571C-4B74-9B05-CA1A6D5CAC45}">
      <dgm:prSet/>
      <dgm:spPr/>
      <dgm:t>
        <a:bodyPr/>
        <a:lstStyle/>
        <a:p>
          <a:endParaRPr lang="en-GB"/>
        </a:p>
      </dgm:t>
    </dgm:pt>
    <dgm:pt modelId="{8EB9AD22-6643-44E1-83C6-0EB9C9B2E736}">
      <dgm:prSet phldrT="[Text]"/>
      <dgm:spPr/>
      <dgm:t>
        <a:bodyPr/>
        <a:lstStyle/>
        <a:p>
          <a:r>
            <a:rPr lang="en-GB"/>
            <a:t>Good Behavior</a:t>
          </a:r>
        </a:p>
      </dgm:t>
    </dgm:pt>
    <dgm:pt modelId="{69F420C9-5DA1-43B5-A1A7-0A5F4AE665D9}" type="parTrans" cxnId="{2B1CC9C2-1DF8-4073-82B1-4FB191A25E14}">
      <dgm:prSet/>
      <dgm:spPr/>
      <dgm:t>
        <a:bodyPr/>
        <a:lstStyle/>
        <a:p>
          <a:endParaRPr lang="en-GB"/>
        </a:p>
      </dgm:t>
    </dgm:pt>
    <dgm:pt modelId="{D84CFCEB-E6AB-452B-B58D-EAB9B75EB591}" type="sibTrans" cxnId="{2B1CC9C2-1DF8-4073-82B1-4FB191A25E14}">
      <dgm:prSet/>
      <dgm:spPr/>
      <dgm:t>
        <a:bodyPr/>
        <a:lstStyle/>
        <a:p>
          <a:endParaRPr lang="en-GB"/>
        </a:p>
      </dgm:t>
    </dgm:pt>
    <dgm:pt modelId="{5590F46B-F8AF-480B-ADF9-4E0A8256CB38}">
      <dgm:prSet phldrT="[Text]"/>
      <dgm:spPr/>
      <dgm:t>
        <a:bodyPr/>
        <a:lstStyle/>
        <a:p>
          <a:r>
            <a:rPr lang="en-GB"/>
            <a:t>yes</a:t>
          </a:r>
        </a:p>
      </dgm:t>
    </dgm:pt>
    <dgm:pt modelId="{AE6ACC87-2284-4F01-BC97-410E96C5B094}" type="parTrans" cxnId="{E1BAD3EF-D46E-4C60-A087-F2A47619B663}">
      <dgm:prSet/>
      <dgm:spPr/>
      <dgm:t>
        <a:bodyPr/>
        <a:lstStyle/>
        <a:p>
          <a:endParaRPr lang="en-GB"/>
        </a:p>
      </dgm:t>
    </dgm:pt>
    <dgm:pt modelId="{0D8F8325-8AD8-44A3-9574-53AD1D71087D}" type="sibTrans" cxnId="{E1BAD3EF-D46E-4C60-A087-F2A47619B663}">
      <dgm:prSet/>
      <dgm:spPr/>
      <dgm:t>
        <a:bodyPr/>
        <a:lstStyle/>
        <a:p>
          <a:endParaRPr lang="en-GB"/>
        </a:p>
      </dgm:t>
    </dgm:pt>
    <dgm:pt modelId="{B5753C18-0D33-4252-88C4-ACC895FBF64F}">
      <dgm:prSet phldrT="[Text]"/>
      <dgm:spPr/>
      <dgm:t>
        <a:bodyPr/>
        <a:lstStyle/>
        <a:p>
          <a:r>
            <a:rPr lang="en-GB"/>
            <a:t>no</a:t>
          </a:r>
        </a:p>
      </dgm:t>
    </dgm:pt>
    <dgm:pt modelId="{C6E77762-37B3-4728-A5AE-C21AEB5D8193}" type="parTrans" cxnId="{8C14A522-6D22-46AD-870A-DC93D72201DF}">
      <dgm:prSet/>
      <dgm:spPr/>
      <dgm:t>
        <a:bodyPr/>
        <a:lstStyle/>
        <a:p>
          <a:endParaRPr lang="en-GB"/>
        </a:p>
      </dgm:t>
    </dgm:pt>
    <dgm:pt modelId="{6251E472-DCDA-454C-AD6B-A3EDEB49E72D}" type="sibTrans" cxnId="{8C14A522-6D22-46AD-870A-DC93D72201DF}">
      <dgm:prSet/>
      <dgm:spPr/>
      <dgm:t>
        <a:bodyPr/>
        <a:lstStyle/>
        <a:p>
          <a:endParaRPr lang="en-GB"/>
        </a:p>
      </dgm:t>
    </dgm:pt>
    <dgm:pt modelId="{8CA18C76-98B6-4760-ACF4-5E902077477A}">
      <dgm:prSet phldrT="[Text]"/>
      <dgm:spPr/>
      <dgm:t>
        <a:bodyPr/>
        <a:lstStyle/>
        <a:p>
          <a:r>
            <a:rPr lang="en-GB"/>
            <a:t>no</a:t>
          </a:r>
        </a:p>
      </dgm:t>
    </dgm:pt>
    <dgm:pt modelId="{5B6AB32A-5A96-4E2D-B45A-3D2A995E2A16}" type="parTrans" cxnId="{2AFD15E6-90C4-4576-8027-4C1AF70CA8F3}">
      <dgm:prSet/>
      <dgm:spPr/>
      <dgm:t>
        <a:bodyPr/>
        <a:lstStyle/>
        <a:p>
          <a:endParaRPr lang="en-GB"/>
        </a:p>
      </dgm:t>
    </dgm:pt>
    <dgm:pt modelId="{DE4B3409-16D0-4AAE-B72E-65B7BF062EFF}" type="sibTrans" cxnId="{2AFD15E6-90C4-4576-8027-4C1AF70CA8F3}">
      <dgm:prSet/>
      <dgm:spPr/>
      <dgm:t>
        <a:bodyPr/>
        <a:lstStyle/>
        <a:p>
          <a:endParaRPr lang="en-GB"/>
        </a:p>
      </dgm:t>
    </dgm:pt>
    <dgm:pt modelId="{A4CDD63A-7FCB-4121-BC49-71AB829EF211}">
      <dgm:prSet phldrT="[Text]"/>
      <dgm:spPr/>
      <dgm:t>
        <a:bodyPr/>
        <a:lstStyle/>
        <a:p>
          <a:r>
            <a:rPr lang="en-GB"/>
            <a:t>Recidivist</a:t>
          </a:r>
        </a:p>
      </dgm:t>
    </dgm:pt>
    <dgm:pt modelId="{1503FC5C-DFC0-49A4-B4B8-DAFC4569FCA1}" type="parTrans" cxnId="{745BF3B7-5C22-4A4A-A733-9AD316C0544C}">
      <dgm:prSet/>
      <dgm:spPr/>
      <dgm:t>
        <a:bodyPr/>
        <a:lstStyle/>
        <a:p>
          <a:endParaRPr lang="en-GB"/>
        </a:p>
      </dgm:t>
    </dgm:pt>
    <dgm:pt modelId="{93FF624C-CC9B-4005-A75E-7681F117E0A1}" type="sibTrans" cxnId="{745BF3B7-5C22-4A4A-A733-9AD316C0544C}">
      <dgm:prSet/>
      <dgm:spPr/>
      <dgm:t>
        <a:bodyPr/>
        <a:lstStyle/>
        <a:p>
          <a:endParaRPr lang="en-GB"/>
        </a:p>
      </dgm:t>
    </dgm:pt>
    <dgm:pt modelId="{D5E7F3E6-CB73-4825-A32C-BF4E54DA19EB}">
      <dgm:prSet phldrT="[Text]"/>
      <dgm:spPr/>
      <dgm:t>
        <a:bodyPr/>
        <a:lstStyle/>
        <a:p>
          <a:r>
            <a:rPr lang="en-GB"/>
            <a:t>Yes</a:t>
          </a:r>
        </a:p>
      </dgm:t>
    </dgm:pt>
    <dgm:pt modelId="{CBD27575-5692-4F04-9B3A-0A9C95934706}" type="parTrans" cxnId="{2661C899-5E3E-4685-85A8-869AAB60BE5B}">
      <dgm:prSet/>
      <dgm:spPr/>
      <dgm:t>
        <a:bodyPr/>
        <a:lstStyle/>
        <a:p>
          <a:endParaRPr lang="en-GB"/>
        </a:p>
      </dgm:t>
    </dgm:pt>
    <dgm:pt modelId="{2F634D4A-7A47-4AD5-B962-EE85D717B81C}" type="sibTrans" cxnId="{2661C899-5E3E-4685-85A8-869AAB60BE5B}">
      <dgm:prSet/>
      <dgm:spPr/>
      <dgm:t>
        <a:bodyPr/>
        <a:lstStyle/>
        <a:p>
          <a:endParaRPr lang="en-GB"/>
        </a:p>
      </dgm:t>
    </dgm:pt>
    <dgm:pt modelId="{AE9F3BDF-E549-4E85-BB35-006BA3954C9F}">
      <dgm:prSet phldrT="[Text]"/>
      <dgm:spPr/>
      <dgm:t>
        <a:bodyPr/>
        <a:lstStyle/>
        <a:p>
          <a:r>
            <a:rPr lang="en-GB"/>
            <a:t>Recidivist</a:t>
          </a:r>
        </a:p>
      </dgm:t>
    </dgm:pt>
    <dgm:pt modelId="{F0B291FB-EA4A-437A-A5E9-E9D5388A5791}" type="parTrans" cxnId="{A31436B6-CD7E-4240-AB6C-27E5BA15D255}">
      <dgm:prSet/>
      <dgm:spPr/>
      <dgm:t>
        <a:bodyPr/>
        <a:lstStyle/>
        <a:p>
          <a:endParaRPr lang="en-GB"/>
        </a:p>
      </dgm:t>
    </dgm:pt>
    <dgm:pt modelId="{E2A6CAB4-19EC-4F17-A836-F6A2336B21FD}" type="sibTrans" cxnId="{A31436B6-CD7E-4240-AB6C-27E5BA15D255}">
      <dgm:prSet/>
      <dgm:spPr/>
      <dgm:t>
        <a:bodyPr/>
        <a:lstStyle/>
        <a:p>
          <a:endParaRPr lang="en-GB"/>
        </a:p>
      </dgm:t>
    </dgm:pt>
    <dgm:pt modelId="{80B3B28D-036C-433D-9FC3-DED3CB8498AE}">
      <dgm:prSet phldrT="[Text]"/>
      <dgm:spPr/>
      <dgm:t>
        <a:bodyPr/>
        <a:lstStyle/>
        <a:p>
          <a:r>
            <a:rPr lang="en-GB"/>
            <a:t>Recidivist</a:t>
          </a:r>
        </a:p>
      </dgm:t>
    </dgm:pt>
    <dgm:pt modelId="{3598095D-EB0F-42A1-9CC6-3944A29DCBF9}" type="parTrans" cxnId="{4B166F8D-7510-419F-9B28-F1CB481F3A88}">
      <dgm:prSet/>
      <dgm:spPr/>
      <dgm:t>
        <a:bodyPr/>
        <a:lstStyle/>
        <a:p>
          <a:endParaRPr lang="en-GB"/>
        </a:p>
      </dgm:t>
    </dgm:pt>
    <dgm:pt modelId="{00DFD1AD-3C39-45AC-9366-C3E123F97630}" type="sibTrans" cxnId="{4B166F8D-7510-419F-9B28-F1CB481F3A88}">
      <dgm:prSet/>
      <dgm:spPr/>
      <dgm:t>
        <a:bodyPr/>
        <a:lstStyle/>
        <a:p>
          <a:endParaRPr lang="en-GB"/>
        </a:p>
      </dgm:t>
    </dgm:pt>
    <dgm:pt modelId="{1BA6BB95-E10F-4342-A0FD-D23E61A94D5D}" type="pres">
      <dgm:prSet presAssocID="{E85ED351-82D0-42EB-8551-35214A3C0D2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AF9E52D-F2E7-4967-A4DB-786E95AEDA36}" type="pres">
      <dgm:prSet presAssocID="{B24F25AA-D6FE-4ED6-AF44-781F2DD6BA47}" presName="hierRoot1" presStyleCnt="0">
        <dgm:presLayoutVars>
          <dgm:hierBranch val="init"/>
        </dgm:presLayoutVars>
      </dgm:prSet>
      <dgm:spPr/>
    </dgm:pt>
    <dgm:pt modelId="{70631B7B-EF85-4E21-AE27-A20A6F0F1FFD}" type="pres">
      <dgm:prSet presAssocID="{B24F25AA-D6FE-4ED6-AF44-781F2DD6BA47}" presName="rootComposite1" presStyleCnt="0"/>
      <dgm:spPr/>
    </dgm:pt>
    <dgm:pt modelId="{3834534A-7A48-4DC1-BA85-490676234511}" type="pres">
      <dgm:prSet presAssocID="{B24F25AA-D6FE-4ED6-AF44-781F2DD6BA47}" presName="rootText1" presStyleLbl="node0" presStyleIdx="0" presStyleCnt="1">
        <dgm:presLayoutVars>
          <dgm:chPref val="3"/>
        </dgm:presLayoutVars>
      </dgm:prSet>
      <dgm:spPr/>
    </dgm:pt>
    <dgm:pt modelId="{5C2488B4-C709-4CFB-AC13-615568F1D889}" type="pres">
      <dgm:prSet presAssocID="{B24F25AA-D6FE-4ED6-AF44-781F2DD6BA47}" presName="rootConnector1" presStyleLbl="node1" presStyleIdx="0" presStyleCnt="0"/>
      <dgm:spPr/>
    </dgm:pt>
    <dgm:pt modelId="{A6678C9E-A511-4036-9853-C4530B44556A}" type="pres">
      <dgm:prSet presAssocID="{B24F25AA-D6FE-4ED6-AF44-781F2DD6BA47}" presName="hierChild2" presStyleCnt="0"/>
      <dgm:spPr/>
    </dgm:pt>
    <dgm:pt modelId="{AACE9A51-0BE7-4293-AA12-29B28D556D94}" type="pres">
      <dgm:prSet presAssocID="{FB2588CF-160B-4C17-AA50-7C3D44BD981A}" presName="Name37" presStyleLbl="parChTrans1D2" presStyleIdx="0" presStyleCnt="2"/>
      <dgm:spPr/>
    </dgm:pt>
    <dgm:pt modelId="{A90A57AB-76D5-4117-B646-CD458030D1B6}" type="pres">
      <dgm:prSet presAssocID="{FCF84433-18BB-4383-AFF7-20FB55CC1758}" presName="hierRoot2" presStyleCnt="0">
        <dgm:presLayoutVars>
          <dgm:hierBranch val="init"/>
        </dgm:presLayoutVars>
      </dgm:prSet>
      <dgm:spPr/>
    </dgm:pt>
    <dgm:pt modelId="{2D243CC8-9C93-47F6-9CAF-7E83E7AA5696}" type="pres">
      <dgm:prSet presAssocID="{FCF84433-18BB-4383-AFF7-20FB55CC1758}" presName="rootComposite" presStyleCnt="0"/>
      <dgm:spPr/>
    </dgm:pt>
    <dgm:pt modelId="{52A8E25F-1448-494E-B7BA-BDC696B50CEB}" type="pres">
      <dgm:prSet presAssocID="{FCF84433-18BB-4383-AFF7-20FB55CC1758}" presName="rootText" presStyleLbl="node2" presStyleIdx="0" presStyleCnt="2">
        <dgm:presLayoutVars>
          <dgm:chPref val="3"/>
        </dgm:presLayoutVars>
      </dgm:prSet>
      <dgm:spPr/>
    </dgm:pt>
    <dgm:pt modelId="{D799CE85-C468-48D4-A6F2-226C7207619F}" type="pres">
      <dgm:prSet presAssocID="{FCF84433-18BB-4383-AFF7-20FB55CC1758}" presName="rootConnector" presStyleLbl="node2" presStyleIdx="0" presStyleCnt="2"/>
      <dgm:spPr/>
    </dgm:pt>
    <dgm:pt modelId="{4450A535-EA6F-4995-8229-11608A689BE8}" type="pres">
      <dgm:prSet presAssocID="{FCF84433-18BB-4383-AFF7-20FB55CC1758}" presName="hierChild4" presStyleCnt="0"/>
      <dgm:spPr/>
    </dgm:pt>
    <dgm:pt modelId="{E1646EB3-E4A4-4525-BF57-81915D734D8E}" type="pres">
      <dgm:prSet presAssocID="{1503FC5C-DFC0-49A4-B4B8-DAFC4569FCA1}" presName="Name37" presStyleLbl="parChTrans1D3" presStyleIdx="0" presStyleCnt="2"/>
      <dgm:spPr/>
    </dgm:pt>
    <dgm:pt modelId="{D07F6131-E7A7-443C-9F83-0401305E1773}" type="pres">
      <dgm:prSet presAssocID="{A4CDD63A-7FCB-4121-BC49-71AB829EF211}" presName="hierRoot2" presStyleCnt="0">
        <dgm:presLayoutVars>
          <dgm:hierBranch val="init"/>
        </dgm:presLayoutVars>
      </dgm:prSet>
      <dgm:spPr/>
    </dgm:pt>
    <dgm:pt modelId="{C23B13CE-20D7-4B60-8F9A-E4A52D3A1BF7}" type="pres">
      <dgm:prSet presAssocID="{A4CDD63A-7FCB-4121-BC49-71AB829EF211}" presName="rootComposite" presStyleCnt="0"/>
      <dgm:spPr/>
    </dgm:pt>
    <dgm:pt modelId="{FFCC76B1-8CA7-4952-902D-F9A862F8DF33}" type="pres">
      <dgm:prSet presAssocID="{A4CDD63A-7FCB-4121-BC49-71AB829EF211}" presName="rootText" presStyleLbl="node3" presStyleIdx="0" presStyleCnt="2">
        <dgm:presLayoutVars>
          <dgm:chPref val="3"/>
        </dgm:presLayoutVars>
      </dgm:prSet>
      <dgm:spPr/>
    </dgm:pt>
    <dgm:pt modelId="{639EE2D8-52DF-44D8-AB57-937EF9CF44A8}" type="pres">
      <dgm:prSet presAssocID="{A4CDD63A-7FCB-4121-BC49-71AB829EF211}" presName="rootConnector" presStyleLbl="node3" presStyleIdx="0" presStyleCnt="2"/>
      <dgm:spPr/>
    </dgm:pt>
    <dgm:pt modelId="{205309D1-1F7C-4FDC-9B1A-3C26F21944F5}" type="pres">
      <dgm:prSet presAssocID="{A4CDD63A-7FCB-4121-BC49-71AB829EF211}" presName="hierChild4" presStyleCnt="0"/>
      <dgm:spPr/>
    </dgm:pt>
    <dgm:pt modelId="{11618E97-B637-4F05-A1C4-A792503F75E1}" type="pres">
      <dgm:prSet presAssocID="{A4CDD63A-7FCB-4121-BC49-71AB829EF211}" presName="hierChild5" presStyleCnt="0"/>
      <dgm:spPr/>
    </dgm:pt>
    <dgm:pt modelId="{35199CFC-DE46-481D-A964-10822A322B62}" type="pres">
      <dgm:prSet presAssocID="{FCF84433-18BB-4383-AFF7-20FB55CC1758}" presName="hierChild5" presStyleCnt="0"/>
      <dgm:spPr/>
    </dgm:pt>
    <dgm:pt modelId="{EA77149A-BEDD-42D2-9BA6-DADB6F23E55B}" type="pres">
      <dgm:prSet presAssocID="{C5D93E21-4156-4CED-961A-13529FC0304D}" presName="Name37" presStyleLbl="parChTrans1D2" presStyleIdx="1" presStyleCnt="2"/>
      <dgm:spPr/>
    </dgm:pt>
    <dgm:pt modelId="{5965A3FF-2913-4537-B200-007B07C89ADA}" type="pres">
      <dgm:prSet presAssocID="{8040EB22-7F64-4D8E-B249-EEDF0A377F9E}" presName="hierRoot2" presStyleCnt="0">
        <dgm:presLayoutVars>
          <dgm:hierBranch val="init"/>
        </dgm:presLayoutVars>
      </dgm:prSet>
      <dgm:spPr/>
    </dgm:pt>
    <dgm:pt modelId="{23A07C9A-876B-45AC-ADB3-12075FCDDB40}" type="pres">
      <dgm:prSet presAssocID="{8040EB22-7F64-4D8E-B249-EEDF0A377F9E}" presName="rootComposite" presStyleCnt="0"/>
      <dgm:spPr/>
    </dgm:pt>
    <dgm:pt modelId="{BE191F41-9566-4545-9E24-F59E3F12EDF4}" type="pres">
      <dgm:prSet presAssocID="{8040EB22-7F64-4D8E-B249-EEDF0A377F9E}" presName="rootText" presStyleLbl="node2" presStyleIdx="1" presStyleCnt="2">
        <dgm:presLayoutVars>
          <dgm:chPref val="3"/>
        </dgm:presLayoutVars>
      </dgm:prSet>
      <dgm:spPr/>
    </dgm:pt>
    <dgm:pt modelId="{09F67C92-A445-44A0-B2DA-974CD0BB3C9B}" type="pres">
      <dgm:prSet presAssocID="{8040EB22-7F64-4D8E-B249-EEDF0A377F9E}" presName="rootConnector" presStyleLbl="node2" presStyleIdx="1" presStyleCnt="2"/>
      <dgm:spPr/>
    </dgm:pt>
    <dgm:pt modelId="{27CAE6F9-D6D5-48BF-BA75-90A9734749D2}" type="pres">
      <dgm:prSet presAssocID="{8040EB22-7F64-4D8E-B249-EEDF0A377F9E}" presName="hierChild4" presStyleCnt="0"/>
      <dgm:spPr/>
    </dgm:pt>
    <dgm:pt modelId="{4BB99700-EA79-4199-83B7-9901F4960CB4}" type="pres">
      <dgm:prSet presAssocID="{7A5704D7-871C-4AA5-9A84-EFD4122A3B1C}" presName="Name37" presStyleLbl="parChTrans1D3" presStyleIdx="1" presStyleCnt="2"/>
      <dgm:spPr/>
    </dgm:pt>
    <dgm:pt modelId="{84B49BEE-B18F-47CE-8F04-7AFD6EA501E5}" type="pres">
      <dgm:prSet presAssocID="{D8857EE9-951B-4B98-9836-FD25C67684AC}" presName="hierRoot2" presStyleCnt="0">
        <dgm:presLayoutVars>
          <dgm:hierBranch val="init"/>
        </dgm:presLayoutVars>
      </dgm:prSet>
      <dgm:spPr/>
    </dgm:pt>
    <dgm:pt modelId="{95D7C38F-0A81-4C85-B92E-F3E4FA1CB97C}" type="pres">
      <dgm:prSet presAssocID="{D8857EE9-951B-4B98-9836-FD25C67684AC}" presName="rootComposite" presStyleCnt="0"/>
      <dgm:spPr/>
    </dgm:pt>
    <dgm:pt modelId="{819A430A-2BEA-4605-A07A-DCE94974F703}" type="pres">
      <dgm:prSet presAssocID="{D8857EE9-951B-4B98-9836-FD25C67684AC}" presName="rootText" presStyleLbl="node3" presStyleIdx="1" presStyleCnt="2">
        <dgm:presLayoutVars>
          <dgm:chPref val="3"/>
        </dgm:presLayoutVars>
      </dgm:prSet>
      <dgm:spPr/>
    </dgm:pt>
    <dgm:pt modelId="{098606D5-1263-40AB-B14D-606F38F2199B}" type="pres">
      <dgm:prSet presAssocID="{D8857EE9-951B-4B98-9836-FD25C67684AC}" presName="rootConnector" presStyleLbl="node3" presStyleIdx="1" presStyleCnt="2"/>
      <dgm:spPr/>
    </dgm:pt>
    <dgm:pt modelId="{1E708FE7-B5AE-4345-A238-7F17DE2F271D}" type="pres">
      <dgm:prSet presAssocID="{D8857EE9-951B-4B98-9836-FD25C67684AC}" presName="hierChild4" presStyleCnt="0"/>
      <dgm:spPr/>
    </dgm:pt>
    <dgm:pt modelId="{E5733DDD-72FC-4563-9D5C-DC0C3D41F8B3}" type="pres">
      <dgm:prSet presAssocID="{CBD27575-5692-4F04-9B3A-0A9C95934706}" presName="Name37" presStyleLbl="parChTrans1D4" presStyleIdx="0" presStyleCnt="7"/>
      <dgm:spPr/>
    </dgm:pt>
    <dgm:pt modelId="{09F53F46-FB03-4B66-9238-421764FDE8B2}" type="pres">
      <dgm:prSet presAssocID="{D5E7F3E6-CB73-4825-A32C-BF4E54DA19EB}" presName="hierRoot2" presStyleCnt="0">
        <dgm:presLayoutVars>
          <dgm:hierBranch val="init"/>
        </dgm:presLayoutVars>
      </dgm:prSet>
      <dgm:spPr/>
    </dgm:pt>
    <dgm:pt modelId="{031C8AFF-7054-4ED7-BCE2-DB240D125AF0}" type="pres">
      <dgm:prSet presAssocID="{D5E7F3E6-CB73-4825-A32C-BF4E54DA19EB}" presName="rootComposite" presStyleCnt="0"/>
      <dgm:spPr/>
    </dgm:pt>
    <dgm:pt modelId="{ED475466-FEEC-41F5-BD0D-3A6A515490AA}" type="pres">
      <dgm:prSet presAssocID="{D5E7F3E6-CB73-4825-A32C-BF4E54DA19EB}" presName="rootText" presStyleLbl="node4" presStyleIdx="0" presStyleCnt="7">
        <dgm:presLayoutVars>
          <dgm:chPref val="3"/>
        </dgm:presLayoutVars>
      </dgm:prSet>
      <dgm:spPr/>
    </dgm:pt>
    <dgm:pt modelId="{C94CEB6C-7571-4761-88CC-ABA23CE4FEC4}" type="pres">
      <dgm:prSet presAssocID="{D5E7F3E6-CB73-4825-A32C-BF4E54DA19EB}" presName="rootConnector" presStyleLbl="node4" presStyleIdx="0" presStyleCnt="7"/>
      <dgm:spPr/>
    </dgm:pt>
    <dgm:pt modelId="{D6ED3292-9E89-42E2-A493-9A8BFB1A5567}" type="pres">
      <dgm:prSet presAssocID="{D5E7F3E6-CB73-4825-A32C-BF4E54DA19EB}" presName="hierChild4" presStyleCnt="0"/>
      <dgm:spPr/>
    </dgm:pt>
    <dgm:pt modelId="{26F8583E-D3E6-472B-B77B-33232305A595}" type="pres">
      <dgm:prSet presAssocID="{3598095D-EB0F-42A1-9CC6-3944A29DCBF9}" presName="Name37" presStyleLbl="parChTrans1D4" presStyleIdx="1" presStyleCnt="7"/>
      <dgm:spPr/>
    </dgm:pt>
    <dgm:pt modelId="{55647304-68C5-4C84-B2BE-3A3594F52404}" type="pres">
      <dgm:prSet presAssocID="{80B3B28D-036C-433D-9FC3-DED3CB8498AE}" presName="hierRoot2" presStyleCnt="0">
        <dgm:presLayoutVars>
          <dgm:hierBranch val="init"/>
        </dgm:presLayoutVars>
      </dgm:prSet>
      <dgm:spPr/>
    </dgm:pt>
    <dgm:pt modelId="{97FCD82D-4C19-4DBC-8C79-06434E4F9815}" type="pres">
      <dgm:prSet presAssocID="{80B3B28D-036C-433D-9FC3-DED3CB8498AE}" presName="rootComposite" presStyleCnt="0"/>
      <dgm:spPr/>
    </dgm:pt>
    <dgm:pt modelId="{C357EAA8-1829-4503-9669-094D518BB90A}" type="pres">
      <dgm:prSet presAssocID="{80B3B28D-036C-433D-9FC3-DED3CB8498AE}" presName="rootText" presStyleLbl="node4" presStyleIdx="1" presStyleCnt="7">
        <dgm:presLayoutVars>
          <dgm:chPref val="3"/>
        </dgm:presLayoutVars>
      </dgm:prSet>
      <dgm:spPr/>
    </dgm:pt>
    <dgm:pt modelId="{B5868382-476D-432E-BEA7-D4646DA102F4}" type="pres">
      <dgm:prSet presAssocID="{80B3B28D-036C-433D-9FC3-DED3CB8498AE}" presName="rootConnector" presStyleLbl="node4" presStyleIdx="1" presStyleCnt="7"/>
      <dgm:spPr/>
    </dgm:pt>
    <dgm:pt modelId="{995352D6-34AD-47CB-AAB4-52EA441EB221}" type="pres">
      <dgm:prSet presAssocID="{80B3B28D-036C-433D-9FC3-DED3CB8498AE}" presName="hierChild4" presStyleCnt="0"/>
      <dgm:spPr/>
    </dgm:pt>
    <dgm:pt modelId="{F0BD0C27-D370-4849-BD74-60308F7EC3EA}" type="pres">
      <dgm:prSet presAssocID="{80B3B28D-036C-433D-9FC3-DED3CB8498AE}" presName="hierChild5" presStyleCnt="0"/>
      <dgm:spPr/>
    </dgm:pt>
    <dgm:pt modelId="{EAF964A1-F6E6-403F-B577-051D265C6694}" type="pres">
      <dgm:prSet presAssocID="{D5E7F3E6-CB73-4825-A32C-BF4E54DA19EB}" presName="hierChild5" presStyleCnt="0"/>
      <dgm:spPr/>
    </dgm:pt>
    <dgm:pt modelId="{0588E0C0-4849-4637-87D9-8C11F2B214A5}" type="pres">
      <dgm:prSet presAssocID="{5B6AB32A-5A96-4E2D-B45A-3D2A995E2A16}" presName="Name37" presStyleLbl="parChTrans1D4" presStyleIdx="2" presStyleCnt="7"/>
      <dgm:spPr/>
    </dgm:pt>
    <dgm:pt modelId="{F2FD8FED-35CE-4B9A-8CB0-938E45CFF503}" type="pres">
      <dgm:prSet presAssocID="{8CA18C76-98B6-4760-ACF4-5E902077477A}" presName="hierRoot2" presStyleCnt="0">
        <dgm:presLayoutVars>
          <dgm:hierBranch val="init"/>
        </dgm:presLayoutVars>
      </dgm:prSet>
      <dgm:spPr/>
    </dgm:pt>
    <dgm:pt modelId="{03E25817-2BDC-45B1-A1C6-E946C26EC08B}" type="pres">
      <dgm:prSet presAssocID="{8CA18C76-98B6-4760-ACF4-5E902077477A}" presName="rootComposite" presStyleCnt="0"/>
      <dgm:spPr/>
    </dgm:pt>
    <dgm:pt modelId="{3FA10F6F-8215-421B-B4A3-42DB02F82E77}" type="pres">
      <dgm:prSet presAssocID="{8CA18C76-98B6-4760-ACF4-5E902077477A}" presName="rootText" presStyleLbl="node4" presStyleIdx="2" presStyleCnt="7">
        <dgm:presLayoutVars>
          <dgm:chPref val="3"/>
        </dgm:presLayoutVars>
      </dgm:prSet>
      <dgm:spPr/>
    </dgm:pt>
    <dgm:pt modelId="{AF6AB5FE-1303-4440-B96D-2AE5414DD611}" type="pres">
      <dgm:prSet presAssocID="{8CA18C76-98B6-4760-ACF4-5E902077477A}" presName="rootConnector" presStyleLbl="node4" presStyleIdx="2" presStyleCnt="7"/>
      <dgm:spPr/>
    </dgm:pt>
    <dgm:pt modelId="{4B9A8897-608A-48CB-8F75-9F22A2D5E396}" type="pres">
      <dgm:prSet presAssocID="{8CA18C76-98B6-4760-ACF4-5E902077477A}" presName="hierChild4" presStyleCnt="0"/>
      <dgm:spPr/>
    </dgm:pt>
    <dgm:pt modelId="{79B7B0DB-8F88-4B81-9C54-635B95A5D87C}" type="pres">
      <dgm:prSet presAssocID="{69F420C9-5DA1-43B5-A1A7-0A5F4AE665D9}" presName="Name37" presStyleLbl="parChTrans1D4" presStyleIdx="3" presStyleCnt="7"/>
      <dgm:spPr/>
    </dgm:pt>
    <dgm:pt modelId="{5E56AC80-FA69-47C4-B12F-523EC7D38FFF}" type="pres">
      <dgm:prSet presAssocID="{8EB9AD22-6643-44E1-83C6-0EB9C9B2E736}" presName="hierRoot2" presStyleCnt="0">
        <dgm:presLayoutVars>
          <dgm:hierBranch val="init"/>
        </dgm:presLayoutVars>
      </dgm:prSet>
      <dgm:spPr/>
    </dgm:pt>
    <dgm:pt modelId="{27903897-02A6-47A5-B777-521CBB20E796}" type="pres">
      <dgm:prSet presAssocID="{8EB9AD22-6643-44E1-83C6-0EB9C9B2E736}" presName="rootComposite" presStyleCnt="0"/>
      <dgm:spPr/>
    </dgm:pt>
    <dgm:pt modelId="{6A041CD1-6CF2-4CCF-92DE-BDBCF7869797}" type="pres">
      <dgm:prSet presAssocID="{8EB9AD22-6643-44E1-83C6-0EB9C9B2E736}" presName="rootText" presStyleLbl="node4" presStyleIdx="3" presStyleCnt="7">
        <dgm:presLayoutVars>
          <dgm:chPref val="3"/>
        </dgm:presLayoutVars>
      </dgm:prSet>
      <dgm:spPr/>
    </dgm:pt>
    <dgm:pt modelId="{D1A6339B-A478-4C02-A35D-0963466892F3}" type="pres">
      <dgm:prSet presAssocID="{8EB9AD22-6643-44E1-83C6-0EB9C9B2E736}" presName="rootConnector" presStyleLbl="node4" presStyleIdx="3" presStyleCnt="7"/>
      <dgm:spPr/>
    </dgm:pt>
    <dgm:pt modelId="{DABF41AF-B62F-4C86-9313-1321B8E78710}" type="pres">
      <dgm:prSet presAssocID="{8EB9AD22-6643-44E1-83C6-0EB9C9B2E736}" presName="hierChild4" presStyleCnt="0"/>
      <dgm:spPr/>
    </dgm:pt>
    <dgm:pt modelId="{3067469A-F2FC-4E82-A9DB-B7477C0F0E81}" type="pres">
      <dgm:prSet presAssocID="{AE6ACC87-2284-4F01-BC97-410E96C5B094}" presName="Name37" presStyleLbl="parChTrans1D4" presStyleIdx="4" presStyleCnt="7"/>
      <dgm:spPr/>
    </dgm:pt>
    <dgm:pt modelId="{27DF994C-E642-4809-9364-82C216B7AA0B}" type="pres">
      <dgm:prSet presAssocID="{5590F46B-F8AF-480B-ADF9-4E0A8256CB38}" presName="hierRoot2" presStyleCnt="0">
        <dgm:presLayoutVars>
          <dgm:hierBranch val="init"/>
        </dgm:presLayoutVars>
      </dgm:prSet>
      <dgm:spPr/>
    </dgm:pt>
    <dgm:pt modelId="{90A7762A-B0A2-4872-8EAB-55436BECA377}" type="pres">
      <dgm:prSet presAssocID="{5590F46B-F8AF-480B-ADF9-4E0A8256CB38}" presName="rootComposite" presStyleCnt="0"/>
      <dgm:spPr/>
    </dgm:pt>
    <dgm:pt modelId="{26ED70BA-0417-49E8-A719-8EEA21E91623}" type="pres">
      <dgm:prSet presAssocID="{5590F46B-F8AF-480B-ADF9-4E0A8256CB38}" presName="rootText" presStyleLbl="node4" presStyleIdx="4" presStyleCnt="7">
        <dgm:presLayoutVars>
          <dgm:chPref val="3"/>
        </dgm:presLayoutVars>
      </dgm:prSet>
      <dgm:spPr/>
    </dgm:pt>
    <dgm:pt modelId="{67D16064-1F82-4B42-BCF7-1666FEB8D0CB}" type="pres">
      <dgm:prSet presAssocID="{5590F46B-F8AF-480B-ADF9-4E0A8256CB38}" presName="rootConnector" presStyleLbl="node4" presStyleIdx="4" presStyleCnt="7"/>
      <dgm:spPr/>
    </dgm:pt>
    <dgm:pt modelId="{2D174505-3684-4AE3-AE7C-9C1C287FC680}" type="pres">
      <dgm:prSet presAssocID="{5590F46B-F8AF-480B-ADF9-4E0A8256CB38}" presName="hierChild4" presStyleCnt="0"/>
      <dgm:spPr/>
    </dgm:pt>
    <dgm:pt modelId="{3CBF9906-88D5-4979-907C-7AD1035437CB}" type="pres">
      <dgm:prSet presAssocID="{5590F46B-F8AF-480B-ADF9-4E0A8256CB38}" presName="hierChild5" presStyleCnt="0"/>
      <dgm:spPr/>
    </dgm:pt>
    <dgm:pt modelId="{D098AD9C-20C9-4257-816F-7E5FDE787B30}" type="pres">
      <dgm:prSet presAssocID="{C6E77762-37B3-4728-A5AE-C21AEB5D8193}" presName="Name37" presStyleLbl="parChTrans1D4" presStyleIdx="5" presStyleCnt="7"/>
      <dgm:spPr/>
    </dgm:pt>
    <dgm:pt modelId="{8888849D-4DBC-4D9B-B2B1-A41DCB5229F1}" type="pres">
      <dgm:prSet presAssocID="{B5753C18-0D33-4252-88C4-ACC895FBF64F}" presName="hierRoot2" presStyleCnt="0">
        <dgm:presLayoutVars>
          <dgm:hierBranch val="init"/>
        </dgm:presLayoutVars>
      </dgm:prSet>
      <dgm:spPr/>
    </dgm:pt>
    <dgm:pt modelId="{6FF4BD35-E3EF-4591-9554-0142BE06E39A}" type="pres">
      <dgm:prSet presAssocID="{B5753C18-0D33-4252-88C4-ACC895FBF64F}" presName="rootComposite" presStyleCnt="0"/>
      <dgm:spPr/>
    </dgm:pt>
    <dgm:pt modelId="{1B150F33-09AB-4FDB-AD22-F7ABC1397A44}" type="pres">
      <dgm:prSet presAssocID="{B5753C18-0D33-4252-88C4-ACC895FBF64F}" presName="rootText" presStyleLbl="node4" presStyleIdx="5" presStyleCnt="7">
        <dgm:presLayoutVars>
          <dgm:chPref val="3"/>
        </dgm:presLayoutVars>
      </dgm:prSet>
      <dgm:spPr/>
    </dgm:pt>
    <dgm:pt modelId="{E2494F4C-F5BC-428F-B41E-19D6AC35B3B1}" type="pres">
      <dgm:prSet presAssocID="{B5753C18-0D33-4252-88C4-ACC895FBF64F}" presName="rootConnector" presStyleLbl="node4" presStyleIdx="5" presStyleCnt="7"/>
      <dgm:spPr/>
    </dgm:pt>
    <dgm:pt modelId="{C1EC3DB4-5643-4945-8162-A4DC54BF8ED2}" type="pres">
      <dgm:prSet presAssocID="{B5753C18-0D33-4252-88C4-ACC895FBF64F}" presName="hierChild4" presStyleCnt="0"/>
      <dgm:spPr/>
    </dgm:pt>
    <dgm:pt modelId="{271FE74F-BAA5-4F5B-82AB-BD83021F0589}" type="pres">
      <dgm:prSet presAssocID="{F0B291FB-EA4A-437A-A5E9-E9D5388A5791}" presName="Name37" presStyleLbl="parChTrans1D4" presStyleIdx="6" presStyleCnt="7"/>
      <dgm:spPr/>
    </dgm:pt>
    <dgm:pt modelId="{5C828C8C-48F5-4FB5-B377-5DC9A4ACA78B}" type="pres">
      <dgm:prSet presAssocID="{AE9F3BDF-E549-4E85-BB35-006BA3954C9F}" presName="hierRoot2" presStyleCnt="0">
        <dgm:presLayoutVars>
          <dgm:hierBranch val="init"/>
        </dgm:presLayoutVars>
      </dgm:prSet>
      <dgm:spPr/>
    </dgm:pt>
    <dgm:pt modelId="{BCA7B218-5EA7-4522-8386-40CC1BBC83EA}" type="pres">
      <dgm:prSet presAssocID="{AE9F3BDF-E549-4E85-BB35-006BA3954C9F}" presName="rootComposite" presStyleCnt="0"/>
      <dgm:spPr/>
    </dgm:pt>
    <dgm:pt modelId="{80A80235-EC93-439E-8F44-7F1E97883DC8}" type="pres">
      <dgm:prSet presAssocID="{AE9F3BDF-E549-4E85-BB35-006BA3954C9F}" presName="rootText" presStyleLbl="node4" presStyleIdx="6" presStyleCnt="7">
        <dgm:presLayoutVars>
          <dgm:chPref val="3"/>
        </dgm:presLayoutVars>
      </dgm:prSet>
      <dgm:spPr/>
    </dgm:pt>
    <dgm:pt modelId="{1F00643C-2C5A-4595-A72B-C6DF17D68BEB}" type="pres">
      <dgm:prSet presAssocID="{AE9F3BDF-E549-4E85-BB35-006BA3954C9F}" presName="rootConnector" presStyleLbl="node4" presStyleIdx="6" presStyleCnt="7"/>
      <dgm:spPr/>
    </dgm:pt>
    <dgm:pt modelId="{27EAA437-6B41-4AB2-B530-571DD034886E}" type="pres">
      <dgm:prSet presAssocID="{AE9F3BDF-E549-4E85-BB35-006BA3954C9F}" presName="hierChild4" presStyleCnt="0"/>
      <dgm:spPr/>
    </dgm:pt>
    <dgm:pt modelId="{2E8AEB76-3E45-4F1F-9A34-9DB6D00A800E}" type="pres">
      <dgm:prSet presAssocID="{AE9F3BDF-E549-4E85-BB35-006BA3954C9F}" presName="hierChild5" presStyleCnt="0"/>
      <dgm:spPr/>
    </dgm:pt>
    <dgm:pt modelId="{F1A1E92A-5428-41BA-9FAF-396068896D15}" type="pres">
      <dgm:prSet presAssocID="{B5753C18-0D33-4252-88C4-ACC895FBF64F}" presName="hierChild5" presStyleCnt="0"/>
      <dgm:spPr/>
    </dgm:pt>
    <dgm:pt modelId="{51A3D65D-F4C7-4F0B-8B71-CFC240899151}" type="pres">
      <dgm:prSet presAssocID="{8EB9AD22-6643-44E1-83C6-0EB9C9B2E736}" presName="hierChild5" presStyleCnt="0"/>
      <dgm:spPr/>
    </dgm:pt>
    <dgm:pt modelId="{279CAD28-01DD-4361-9047-57CE44785EC3}" type="pres">
      <dgm:prSet presAssocID="{8CA18C76-98B6-4760-ACF4-5E902077477A}" presName="hierChild5" presStyleCnt="0"/>
      <dgm:spPr/>
    </dgm:pt>
    <dgm:pt modelId="{785318B0-B479-4F37-A58E-8B66F2831DDD}" type="pres">
      <dgm:prSet presAssocID="{D8857EE9-951B-4B98-9836-FD25C67684AC}" presName="hierChild5" presStyleCnt="0"/>
      <dgm:spPr/>
    </dgm:pt>
    <dgm:pt modelId="{6CB866EA-091F-4E6C-B4F8-058ED2647006}" type="pres">
      <dgm:prSet presAssocID="{8040EB22-7F64-4D8E-B249-EEDF0A377F9E}" presName="hierChild5" presStyleCnt="0"/>
      <dgm:spPr/>
    </dgm:pt>
    <dgm:pt modelId="{4458F405-98FE-46E4-B292-A21897DCC421}" type="pres">
      <dgm:prSet presAssocID="{B24F25AA-D6FE-4ED6-AF44-781F2DD6BA47}" presName="hierChild3" presStyleCnt="0"/>
      <dgm:spPr/>
    </dgm:pt>
  </dgm:ptLst>
  <dgm:cxnLst>
    <dgm:cxn modelId="{CCF1EA01-FBAC-462A-B9BE-6C414CD077C8}" type="presOf" srcId="{B24F25AA-D6FE-4ED6-AF44-781F2DD6BA47}" destId="{5C2488B4-C709-4CFB-AC13-615568F1D889}" srcOrd="1" destOrd="0" presId="urn:microsoft.com/office/officeart/2005/8/layout/orgChart1"/>
    <dgm:cxn modelId="{C3EC8905-6916-412D-B01C-1231E64FAB38}" srcId="{8040EB22-7F64-4D8E-B249-EEDF0A377F9E}" destId="{D8857EE9-951B-4B98-9836-FD25C67684AC}" srcOrd="0" destOrd="0" parTransId="{7A5704D7-871C-4AA5-9A84-EFD4122A3B1C}" sibTransId="{A1033407-1FE8-4636-9B0E-215D92CFA162}"/>
    <dgm:cxn modelId="{B7C97E1D-2E7E-4BC0-BAF4-ADC982807254}" type="presOf" srcId="{5590F46B-F8AF-480B-ADF9-4E0A8256CB38}" destId="{26ED70BA-0417-49E8-A719-8EEA21E91623}" srcOrd="0" destOrd="0" presId="urn:microsoft.com/office/officeart/2005/8/layout/orgChart1"/>
    <dgm:cxn modelId="{2F43BB1F-FD8D-4415-88FF-67ED4122D1B4}" type="presOf" srcId="{8CA18C76-98B6-4760-ACF4-5E902077477A}" destId="{3FA10F6F-8215-421B-B4A3-42DB02F82E77}" srcOrd="0" destOrd="0" presId="urn:microsoft.com/office/officeart/2005/8/layout/orgChart1"/>
    <dgm:cxn modelId="{8C14A522-6D22-46AD-870A-DC93D72201DF}" srcId="{8EB9AD22-6643-44E1-83C6-0EB9C9B2E736}" destId="{B5753C18-0D33-4252-88C4-ACC895FBF64F}" srcOrd="1" destOrd="0" parTransId="{C6E77762-37B3-4728-A5AE-C21AEB5D8193}" sibTransId="{6251E472-DCDA-454C-AD6B-A3EDEB49E72D}"/>
    <dgm:cxn modelId="{A6257B25-FBDC-4CEE-8C80-D3D5BE4C70C6}" type="presOf" srcId="{8CA18C76-98B6-4760-ACF4-5E902077477A}" destId="{AF6AB5FE-1303-4440-B96D-2AE5414DD611}" srcOrd="1" destOrd="0" presId="urn:microsoft.com/office/officeart/2005/8/layout/orgChart1"/>
    <dgm:cxn modelId="{68123D2A-9F90-492A-8073-945C5E55606C}" type="presOf" srcId="{A4CDD63A-7FCB-4121-BC49-71AB829EF211}" destId="{FFCC76B1-8CA7-4952-902D-F9A862F8DF33}" srcOrd="0" destOrd="0" presId="urn:microsoft.com/office/officeart/2005/8/layout/orgChart1"/>
    <dgm:cxn modelId="{06504E32-237F-4257-9A47-957221502538}" type="presOf" srcId="{5590F46B-F8AF-480B-ADF9-4E0A8256CB38}" destId="{67D16064-1F82-4B42-BCF7-1666FEB8D0CB}" srcOrd="1" destOrd="0" presId="urn:microsoft.com/office/officeart/2005/8/layout/orgChart1"/>
    <dgm:cxn modelId="{953C2535-3A23-4426-96AD-E3DF1E7D2FE4}" type="presOf" srcId="{8040EB22-7F64-4D8E-B249-EEDF0A377F9E}" destId="{BE191F41-9566-4545-9E24-F59E3F12EDF4}" srcOrd="0" destOrd="0" presId="urn:microsoft.com/office/officeart/2005/8/layout/orgChart1"/>
    <dgm:cxn modelId="{1D991166-F8FB-4710-8D39-98CC116C1D7A}" srcId="{B24F25AA-D6FE-4ED6-AF44-781F2DD6BA47}" destId="{FCF84433-18BB-4383-AFF7-20FB55CC1758}" srcOrd="0" destOrd="0" parTransId="{FB2588CF-160B-4C17-AA50-7C3D44BD981A}" sibTransId="{8015516C-1C5F-4466-93A5-34ECF136ACE6}"/>
    <dgm:cxn modelId="{60DC6668-99E3-4F18-B895-488E6317AB1A}" type="presOf" srcId="{D8857EE9-951B-4B98-9836-FD25C67684AC}" destId="{819A430A-2BEA-4605-A07A-DCE94974F703}" srcOrd="0" destOrd="0" presId="urn:microsoft.com/office/officeart/2005/8/layout/orgChart1"/>
    <dgm:cxn modelId="{76162349-596C-4DE7-9F26-D43DF1D3D597}" type="presOf" srcId="{D5E7F3E6-CB73-4825-A32C-BF4E54DA19EB}" destId="{ED475466-FEEC-41F5-BD0D-3A6A515490AA}" srcOrd="0" destOrd="0" presId="urn:microsoft.com/office/officeart/2005/8/layout/orgChart1"/>
    <dgm:cxn modelId="{8FF8F36B-571C-4B74-9B05-CA1A6D5CAC45}" srcId="{B24F25AA-D6FE-4ED6-AF44-781F2DD6BA47}" destId="{8040EB22-7F64-4D8E-B249-EEDF0A377F9E}" srcOrd="1" destOrd="0" parTransId="{C5D93E21-4156-4CED-961A-13529FC0304D}" sibTransId="{27CA937B-6089-4655-97F4-F6AB56C28C1C}"/>
    <dgm:cxn modelId="{E82F2E4F-41D5-4E41-A1F2-22DFA059695D}" type="presOf" srcId="{B5753C18-0D33-4252-88C4-ACC895FBF64F}" destId="{1B150F33-09AB-4FDB-AD22-F7ABC1397A44}" srcOrd="0" destOrd="0" presId="urn:microsoft.com/office/officeart/2005/8/layout/orgChart1"/>
    <dgm:cxn modelId="{4A204350-3144-45C3-8F35-B77FA9781A28}" type="presOf" srcId="{B5753C18-0D33-4252-88C4-ACC895FBF64F}" destId="{E2494F4C-F5BC-428F-B41E-19D6AC35B3B1}" srcOrd="1" destOrd="0" presId="urn:microsoft.com/office/officeart/2005/8/layout/orgChart1"/>
    <dgm:cxn modelId="{5698C170-A660-4797-9FBE-23CCBA34749C}" type="presOf" srcId="{8EB9AD22-6643-44E1-83C6-0EB9C9B2E736}" destId="{6A041CD1-6CF2-4CCF-92DE-BDBCF7869797}" srcOrd="0" destOrd="0" presId="urn:microsoft.com/office/officeart/2005/8/layout/orgChart1"/>
    <dgm:cxn modelId="{47EF1B51-62F2-4E19-9A5B-E52C758FDFE5}" type="presOf" srcId="{AE9F3BDF-E549-4E85-BB35-006BA3954C9F}" destId="{80A80235-EC93-439E-8F44-7F1E97883DC8}" srcOrd="0" destOrd="0" presId="urn:microsoft.com/office/officeart/2005/8/layout/orgChart1"/>
    <dgm:cxn modelId="{B574D773-B47E-4F73-80D8-3FDDCDC7C66B}" type="presOf" srcId="{A4CDD63A-7FCB-4121-BC49-71AB829EF211}" destId="{639EE2D8-52DF-44D8-AB57-937EF9CF44A8}" srcOrd="1" destOrd="0" presId="urn:microsoft.com/office/officeart/2005/8/layout/orgChart1"/>
    <dgm:cxn modelId="{BCECAD75-579C-483B-AFBE-B6768C225DA2}" type="presOf" srcId="{AE6ACC87-2284-4F01-BC97-410E96C5B094}" destId="{3067469A-F2FC-4E82-A9DB-B7477C0F0E81}" srcOrd="0" destOrd="0" presId="urn:microsoft.com/office/officeart/2005/8/layout/orgChart1"/>
    <dgm:cxn modelId="{E03F6658-F793-413E-8CCE-8E5182F4B5C9}" type="presOf" srcId="{C5D93E21-4156-4CED-961A-13529FC0304D}" destId="{EA77149A-BEDD-42D2-9BA6-DADB6F23E55B}" srcOrd="0" destOrd="0" presId="urn:microsoft.com/office/officeart/2005/8/layout/orgChart1"/>
    <dgm:cxn modelId="{1B3E4485-B58F-4068-9177-E51793CBE7C0}" type="presOf" srcId="{E85ED351-82D0-42EB-8551-35214A3C0D2E}" destId="{1BA6BB95-E10F-4342-A0FD-D23E61A94D5D}" srcOrd="0" destOrd="0" presId="urn:microsoft.com/office/officeart/2005/8/layout/orgChart1"/>
    <dgm:cxn modelId="{38756F89-3C1A-4D60-BFE4-6E94447EC381}" type="presOf" srcId="{69F420C9-5DA1-43B5-A1A7-0A5F4AE665D9}" destId="{79B7B0DB-8F88-4B81-9C54-635B95A5D87C}" srcOrd="0" destOrd="0" presId="urn:microsoft.com/office/officeart/2005/8/layout/orgChart1"/>
    <dgm:cxn modelId="{FB97B089-6C5A-4CB3-BD3C-376A0AC32B89}" type="presOf" srcId="{F0B291FB-EA4A-437A-A5E9-E9D5388A5791}" destId="{271FE74F-BAA5-4F5B-82AB-BD83021F0589}" srcOrd="0" destOrd="0" presId="urn:microsoft.com/office/officeart/2005/8/layout/orgChart1"/>
    <dgm:cxn modelId="{4B166F8D-7510-419F-9B28-F1CB481F3A88}" srcId="{D5E7F3E6-CB73-4825-A32C-BF4E54DA19EB}" destId="{80B3B28D-036C-433D-9FC3-DED3CB8498AE}" srcOrd="0" destOrd="0" parTransId="{3598095D-EB0F-42A1-9CC6-3944A29DCBF9}" sibTransId="{00DFD1AD-3C39-45AC-9366-C3E123F97630}"/>
    <dgm:cxn modelId="{3726BC95-B96E-4CE3-964B-945E8E8D5C5F}" type="presOf" srcId="{1503FC5C-DFC0-49A4-B4B8-DAFC4569FCA1}" destId="{E1646EB3-E4A4-4525-BF57-81915D734D8E}" srcOrd="0" destOrd="0" presId="urn:microsoft.com/office/officeart/2005/8/layout/orgChart1"/>
    <dgm:cxn modelId="{2661C899-5E3E-4685-85A8-869AAB60BE5B}" srcId="{D8857EE9-951B-4B98-9836-FD25C67684AC}" destId="{D5E7F3E6-CB73-4825-A32C-BF4E54DA19EB}" srcOrd="0" destOrd="0" parTransId="{CBD27575-5692-4F04-9B3A-0A9C95934706}" sibTransId="{2F634D4A-7A47-4AD5-B962-EE85D717B81C}"/>
    <dgm:cxn modelId="{4838E79A-A40F-4661-AA36-E9737794CD57}" type="presOf" srcId="{8EB9AD22-6643-44E1-83C6-0EB9C9B2E736}" destId="{D1A6339B-A478-4C02-A35D-0963466892F3}" srcOrd="1" destOrd="0" presId="urn:microsoft.com/office/officeart/2005/8/layout/orgChart1"/>
    <dgm:cxn modelId="{D553BE9C-090A-43E3-B666-8395D530A0B7}" type="presOf" srcId="{FB2588CF-160B-4C17-AA50-7C3D44BD981A}" destId="{AACE9A51-0BE7-4293-AA12-29B28D556D94}" srcOrd="0" destOrd="0" presId="urn:microsoft.com/office/officeart/2005/8/layout/orgChart1"/>
    <dgm:cxn modelId="{5C3CD1A0-4E14-4640-B842-6D0BB99CA44E}" type="presOf" srcId="{80B3B28D-036C-433D-9FC3-DED3CB8498AE}" destId="{B5868382-476D-432E-BEA7-D4646DA102F4}" srcOrd="1" destOrd="0" presId="urn:microsoft.com/office/officeart/2005/8/layout/orgChart1"/>
    <dgm:cxn modelId="{AB94FEA0-2869-49DA-A5FE-4E52526F2F6D}" type="presOf" srcId="{AE9F3BDF-E549-4E85-BB35-006BA3954C9F}" destId="{1F00643C-2C5A-4595-A72B-C6DF17D68BEB}" srcOrd="1" destOrd="0" presId="urn:microsoft.com/office/officeart/2005/8/layout/orgChart1"/>
    <dgm:cxn modelId="{82EE4DA5-63F0-4C8E-ACE2-F110AD542C41}" type="presOf" srcId="{80B3B28D-036C-433D-9FC3-DED3CB8498AE}" destId="{C357EAA8-1829-4503-9669-094D518BB90A}" srcOrd="0" destOrd="0" presId="urn:microsoft.com/office/officeart/2005/8/layout/orgChart1"/>
    <dgm:cxn modelId="{A31436B6-CD7E-4240-AB6C-27E5BA15D255}" srcId="{B5753C18-0D33-4252-88C4-ACC895FBF64F}" destId="{AE9F3BDF-E549-4E85-BB35-006BA3954C9F}" srcOrd="0" destOrd="0" parTransId="{F0B291FB-EA4A-437A-A5E9-E9D5388A5791}" sibTransId="{E2A6CAB4-19EC-4F17-A836-F6A2336B21FD}"/>
    <dgm:cxn modelId="{745BF3B7-5C22-4A4A-A733-9AD316C0544C}" srcId="{FCF84433-18BB-4383-AFF7-20FB55CC1758}" destId="{A4CDD63A-7FCB-4121-BC49-71AB829EF211}" srcOrd="0" destOrd="0" parTransId="{1503FC5C-DFC0-49A4-B4B8-DAFC4569FCA1}" sibTransId="{93FF624C-CC9B-4005-A75E-7681F117E0A1}"/>
    <dgm:cxn modelId="{BC4223BB-6B51-48C1-8DC7-0B0AECF6D368}" type="presOf" srcId="{8040EB22-7F64-4D8E-B249-EEDF0A377F9E}" destId="{09F67C92-A445-44A0-B2DA-974CD0BB3C9B}" srcOrd="1" destOrd="0" presId="urn:microsoft.com/office/officeart/2005/8/layout/orgChart1"/>
    <dgm:cxn modelId="{C68E09BF-B842-41F4-9B0C-941A4667C9F1}" srcId="{E85ED351-82D0-42EB-8551-35214A3C0D2E}" destId="{B24F25AA-D6FE-4ED6-AF44-781F2DD6BA47}" srcOrd="0" destOrd="0" parTransId="{ECEDF836-8D38-44BA-89D3-E05A6FDCDE01}" sibTransId="{B50EB910-F390-457C-886D-BC67196A26F0}"/>
    <dgm:cxn modelId="{5D524FBF-2D02-4A60-B5F3-F7A998F44F08}" type="presOf" srcId="{FCF84433-18BB-4383-AFF7-20FB55CC1758}" destId="{D799CE85-C468-48D4-A6F2-226C7207619F}" srcOrd="1" destOrd="0" presId="urn:microsoft.com/office/officeart/2005/8/layout/orgChart1"/>
    <dgm:cxn modelId="{2B1CC9C2-1DF8-4073-82B1-4FB191A25E14}" srcId="{8CA18C76-98B6-4760-ACF4-5E902077477A}" destId="{8EB9AD22-6643-44E1-83C6-0EB9C9B2E736}" srcOrd="0" destOrd="0" parTransId="{69F420C9-5DA1-43B5-A1A7-0A5F4AE665D9}" sibTransId="{D84CFCEB-E6AB-452B-B58D-EAB9B75EB591}"/>
    <dgm:cxn modelId="{C184FFCC-7202-49F1-BDAF-F88B512248EE}" type="presOf" srcId="{D8857EE9-951B-4B98-9836-FD25C67684AC}" destId="{098606D5-1263-40AB-B14D-606F38F2199B}" srcOrd="1" destOrd="0" presId="urn:microsoft.com/office/officeart/2005/8/layout/orgChart1"/>
    <dgm:cxn modelId="{233692D2-E108-4AB4-A671-EC811597A744}" type="presOf" srcId="{C6E77762-37B3-4728-A5AE-C21AEB5D8193}" destId="{D098AD9C-20C9-4257-816F-7E5FDE787B30}" srcOrd="0" destOrd="0" presId="urn:microsoft.com/office/officeart/2005/8/layout/orgChart1"/>
    <dgm:cxn modelId="{E31A7FD3-CC9A-4ADD-9CE5-AEA852EC6A3B}" type="presOf" srcId="{3598095D-EB0F-42A1-9CC6-3944A29DCBF9}" destId="{26F8583E-D3E6-472B-B77B-33232305A595}" srcOrd="0" destOrd="0" presId="urn:microsoft.com/office/officeart/2005/8/layout/orgChart1"/>
    <dgm:cxn modelId="{C96CEED8-64D4-4E54-916C-3C1BA3DA5022}" type="presOf" srcId="{CBD27575-5692-4F04-9B3A-0A9C95934706}" destId="{E5733DDD-72FC-4563-9D5C-DC0C3D41F8B3}" srcOrd="0" destOrd="0" presId="urn:microsoft.com/office/officeart/2005/8/layout/orgChart1"/>
    <dgm:cxn modelId="{24976FDD-1856-49FE-9F31-3DE1E84FB219}" type="presOf" srcId="{FCF84433-18BB-4383-AFF7-20FB55CC1758}" destId="{52A8E25F-1448-494E-B7BA-BDC696B50CEB}" srcOrd="0" destOrd="0" presId="urn:microsoft.com/office/officeart/2005/8/layout/orgChart1"/>
    <dgm:cxn modelId="{938DA6DE-0DB5-469E-9BBF-18EB7E974A57}" type="presOf" srcId="{5B6AB32A-5A96-4E2D-B45A-3D2A995E2A16}" destId="{0588E0C0-4849-4637-87D9-8C11F2B214A5}" srcOrd="0" destOrd="0" presId="urn:microsoft.com/office/officeart/2005/8/layout/orgChart1"/>
    <dgm:cxn modelId="{2AFD15E6-90C4-4576-8027-4C1AF70CA8F3}" srcId="{D8857EE9-951B-4B98-9836-FD25C67684AC}" destId="{8CA18C76-98B6-4760-ACF4-5E902077477A}" srcOrd="1" destOrd="0" parTransId="{5B6AB32A-5A96-4E2D-B45A-3D2A995E2A16}" sibTransId="{DE4B3409-16D0-4AAE-B72E-65B7BF062EFF}"/>
    <dgm:cxn modelId="{95766CE6-6B91-41A8-A6B5-3FA48B6F183B}" type="presOf" srcId="{7A5704D7-871C-4AA5-9A84-EFD4122A3B1C}" destId="{4BB99700-EA79-4199-83B7-9901F4960CB4}" srcOrd="0" destOrd="0" presId="urn:microsoft.com/office/officeart/2005/8/layout/orgChart1"/>
    <dgm:cxn modelId="{7B5C2DEB-9CEC-4B94-A328-F2ABAE282A60}" type="presOf" srcId="{B24F25AA-D6FE-4ED6-AF44-781F2DD6BA47}" destId="{3834534A-7A48-4DC1-BA85-490676234511}" srcOrd="0" destOrd="0" presId="urn:microsoft.com/office/officeart/2005/8/layout/orgChart1"/>
    <dgm:cxn modelId="{8CA481EE-E945-400C-9E0E-5F26BB4556C8}" type="presOf" srcId="{D5E7F3E6-CB73-4825-A32C-BF4E54DA19EB}" destId="{C94CEB6C-7571-4761-88CC-ABA23CE4FEC4}" srcOrd="1" destOrd="0" presId="urn:microsoft.com/office/officeart/2005/8/layout/orgChart1"/>
    <dgm:cxn modelId="{E1BAD3EF-D46E-4C60-A087-F2A47619B663}" srcId="{8EB9AD22-6643-44E1-83C6-0EB9C9B2E736}" destId="{5590F46B-F8AF-480B-ADF9-4E0A8256CB38}" srcOrd="0" destOrd="0" parTransId="{AE6ACC87-2284-4F01-BC97-410E96C5B094}" sibTransId="{0D8F8325-8AD8-44A3-9574-53AD1D71087D}"/>
    <dgm:cxn modelId="{11BD4740-ADA9-4905-9299-02AF69DCA9A3}" type="presParOf" srcId="{1BA6BB95-E10F-4342-A0FD-D23E61A94D5D}" destId="{CAF9E52D-F2E7-4967-A4DB-786E95AEDA36}" srcOrd="0" destOrd="0" presId="urn:microsoft.com/office/officeart/2005/8/layout/orgChart1"/>
    <dgm:cxn modelId="{572536EA-68D9-4515-A015-4A497BA92BAE}" type="presParOf" srcId="{CAF9E52D-F2E7-4967-A4DB-786E95AEDA36}" destId="{70631B7B-EF85-4E21-AE27-A20A6F0F1FFD}" srcOrd="0" destOrd="0" presId="urn:microsoft.com/office/officeart/2005/8/layout/orgChart1"/>
    <dgm:cxn modelId="{82607BB5-9D17-4797-866C-B9708F95D575}" type="presParOf" srcId="{70631B7B-EF85-4E21-AE27-A20A6F0F1FFD}" destId="{3834534A-7A48-4DC1-BA85-490676234511}" srcOrd="0" destOrd="0" presId="urn:microsoft.com/office/officeart/2005/8/layout/orgChart1"/>
    <dgm:cxn modelId="{1461C70B-96AE-4428-8742-B23644A124E6}" type="presParOf" srcId="{70631B7B-EF85-4E21-AE27-A20A6F0F1FFD}" destId="{5C2488B4-C709-4CFB-AC13-615568F1D889}" srcOrd="1" destOrd="0" presId="urn:microsoft.com/office/officeart/2005/8/layout/orgChart1"/>
    <dgm:cxn modelId="{8A6DE0DA-51A4-49AE-9D53-76136E8A33DF}" type="presParOf" srcId="{CAF9E52D-F2E7-4967-A4DB-786E95AEDA36}" destId="{A6678C9E-A511-4036-9853-C4530B44556A}" srcOrd="1" destOrd="0" presId="urn:microsoft.com/office/officeart/2005/8/layout/orgChart1"/>
    <dgm:cxn modelId="{CCD6878A-A12F-4C11-BA16-683762272054}" type="presParOf" srcId="{A6678C9E-A511-4036-9853-C4530B44556A}" destId="{AACE9A51-0BE7-4293-AA12-29B28D556D94}" srcOrd="0" destOrd="0" presId="urn:microsoft.com/office/officeart/2005/8/layout/orgChart1"/>
    <dgm:cxn modelId="{A8888049-813D-4A51-80A1-E9E8543A40DC}" type="presParOf" srcId="{A6678C9E-A511-4036-9853-C4530B44556A}" destId="{A90A57AB-76D5-4117-B646-CD458030D1B6}" srcOrd="1" destOrd="0" presId="urn:microsoft.com/office/officeart/2005/8/layout/orgChart1"/>
    <dgm:cxn modelId="{4FA3EF08-D86F-4852-9D90-09637FA52B83}" type="presParOf" srcId="{A90A57AB-76D5-4117-B646-CD458030D1B6}" destId="{2D243CC8-9C93-47F6-9CAF-7E83E7AA5696}" srcOrd="0" destOrd="0" presId="urn:microsoft.com/office/officeart/2005/8/layout/orgChart1"/>
    <dgm:cxn modelId="{C50ADDCA-B305-474A-949F-2C5F2C4E7308}" type="presParOf" srcId="{2D243CC8-9C93-47F6-9CAF-7E83E7AA5696}" destId="{52A8E25F-1448-494E-B7BA-BDC696B50CEB}" srcOrd="0" destOrd="0" presId="urn:microsoft.com/office/officeart/2005/8/layout/orgChart1"/>
    <dgm:cxn modelId="{F607A329-6CCC-4BFC-B2EC-A425CBD7D3BC}" type="presParOf" srcId="{2D243CC8-9C93-47F6-9CAF-7E83E7AA5696}" destId="{D799CE85-C468-48D4-A6F2-226C7207619F}" srcOrd="1" destOrd="0" presId="urn:microsoft.com/office/officeart/2005/8/layout/orgChart1"/>
    <dgm:cxn modelId="{AC413997-31AF-4E9A-BC39-41B00AF17DCF}" type="presParOf" srcId="{A90A57AB-76D5-4117-B646-CD458030D1B6}" destId="{4450A535-EA6F-4995-8229-11608A689BE8}" srcOrd="1" destOrd="0" presId="urn:microsoft.com/office/officeart/2005/8/layout/orgChart1"/>
    <dgm:cxn modelId="{7FD58437-4F86-4AA5-A0FF-138A974CCD0A}" type="presParOf" srcId="{4450A535-EA6F-4995-8229-11608A689BE8}" destId="{E1646EB3-E4A4-4525-BF57-81915D734D8E}" srcOrd="0" destOrd="0" presId="urn:microsoft.com/office/officeart/2005/8/layout/orgChart1"/>
    <dgm:cxn modelId="{C4F8CDC2-8838-4150-A0F0-36EFB79E2CBC}" type="presParOf" srcId="{4450A535-EA6F-4995-8229-11608A689BE8}" destId="{D07F6131-E7A7-443C-9F83-0401305E1773}" srcOrd="1" destOrd="0" presId="urn:microsoft.com/office/officeart/2005/8/layout/orgChart1"/>
    <dgm:cxn modelId="{A403940B-EE2F-43B6-B7A2-E381F6692869}" type="presParOf" srcId="{D07F6131-E7A7-443C-9F83-0401305E1773}" destId="{C23B13CE-20D7-4B60-8F9A-E4A52D3A1BF7}" srcOrd="0" destOrd="0" presId="urn:microsoft.com/office/officeart/2005/8/layout/orgChart1"/>
    <dgm:cxn modelId="{BA9A2AC9-33FA-4E5F-AD82-8001494D3514}" type="presParOf" srcId="{C23B13CE-20D7-4B60-8F9A-E4A52D3A1BF7}" destId="{FFCC76B1-8CA7-4952-902D-F9A862F8DF33}" srcOrd="0" destOrd="0" presId="urn:microsoft.com/office/officeart/2005/8/layout/orgChart1"/>
    <dgm:cxn modelId="{18A5A07D-BFEE-432E-9599-BE2D28FC2E82}" type="presParOf" srcId="{C23B13CE-20D7-4B60-8F9A-E4A52D3A1BF7}" destId="{639EE2D8-52DF-44D8-AB57-937EF9CF44A8}" srcOrd="1" destOrd="0" presId="urn:microsoft.com/office/officeart/2005/8/layout/orgChart1"/>
    <dgm:cxn modelId="{CE3A6942-AFD1-499C-B365-A026486234F7}" type="presParOf" srcId="{D07F6131-E7A7-443C-9F83-0401305E1773}" destId="{205309D1-1F7C-4FDC-9B1A-3C26F21944F5}" srcOrd="1" destOrd="0" presId="urn:microsoft.com/office/officeart/2005/8/layout/orgChart1"/>
    <dgm:cxn modelId="{05DBA99F-048B-4EB0-BA1D-DB8AA8F662CF}" type="presParOf" srcId="{D07F6131-E7A7-443C-9F83-0401305E1773}" destId="{11618E97-B637-4F05-A1C4-A792503F75E1}" srcOrd="2" destOrd="0" presId="urn:microsoft.com/office/officeart/2005/8/layout/orgChart1"/>
    <dgm:cxn modelId="{0F9EEB61-D3B6-4E66-9F79-B6C9BDD344A9}" type="presParOf" srcId="{A90A57AB-76D5-4117-B646-CD458030D1B6}" destId="{35199CFC-DE46-481D-A964-10822A322B62}" srcOrd="2" destOrd="0" presId="urn:microsoft.com/office/officeart/2005/8/layout/orgChart1"/>
    <dgm:cxn modelId="{42AB1B00-78F2-474E-9EA8-8F5D9A628C04}" type="presParOf" srcId="{A6678C9E-A511-4036-9853-C4530B44556A}" destId="{EA77149A-BEDD-42D2-9BA6-DADB6F23E55B}" srcOrd="2" destOrd="0" presId="urn:microsoft.com/office/officeart/2005/8/layout/orgChart1"/>
    <dgm:cxn modelId="{0187181A-F02A-4B4B-93BD-7BC623705C33}" type="presParOf" srcId="{A6678C9E-A511-4036-9853-C4530B44556A}" destId="{5965A3FF-2913-4537-B200-007B07C89ADA}" srcOrd="3" destOrd="0" presId="urn:microsoft.com/office/officeart/2005/8/layout/orgChart1"/>
    <dgm:cxn modelId="{840AC822-18C4-4603-A156-3E503218BA08}" type="presParOf" srcId="{5965A3FF-2913-4537-B200-007B07C89ADA}" destId="{23A07C9A-876B-45AC-ADB3-12075FCDDB40}" srcOrd="0" destOrd="0" presId="urn:microsoft.com/office/officeart/2005/8/layout/orgChart1"/>
    <dgm:cxn modelId="{64F63644-4DBE-439A-AEA7-F93EEAF4B34A}" type="presParOf" srcId="{23A07C9A-876B-45AC-ADB3-12075FCDDB40}" destId="{BE191F41-9566-4545-9E24-F59E3F12EDF4}" srcOrd="0" destOrd="0" presId="urn:microsoft.com/office/officeart/2005/8/layout/orgChart1"/>
    <dgm:cxn modelId="{69F93345-A4F0-4ED4-9E7A-3B89E5B4D47E}" type="presParOf" srcId="{23A07C9A-876B-45AC-ADB3-12075FCDDB40}" destId="{09F67C92-A445-44A0-B2DA-974CD0BB3C9B}" srcOrd="1" destOrd="0" presId="urn:microsoft.com/office/officeart/2005/8/layout/orgChart1"/>
    <dgm:cxn modelId="{3F532EAD-2624-443C-B888-1F4E9F6717E3}" type="presParOf" srcId="{5965A3FF-2913-4537-B200-007B07C89ADA}" destId="{27CAE6F9-D6D5-48BF-BA75-90A9734749D2}" srcOrd="1" destOrd="0" presId="urn:microsoft.com/office/officeart/2005/8/layout/orgChart1"/>
    <dgm:cxn modelId="{469AC1E4-7BC3-441D-9F32-3FC9367DD280}" type="presParOf" srcId="{27CAE6F9-D6D5-48BF-BA75-90A9734749D2}" destId="{4BB99700-EA79-4199-83B7-9901F4960CB4}" srcOrd="0" destOrd="0" presId="urn:microsoft.com/office/officeart/2005/8/layout/orgChart1"/>
    <dgm:cxn modelId="{27EC0BA2-5087-457A-9E1F-E51AB985AAAF}" type="presParOf" srcId="{27CAE6F9-D6D5-48BF-BA75-90A9734749D2}" destId="{84B49BEE-B18F-47CE-8F04-7AFD6EA501E5}" srcOrd="1" destOrd="0" presId="urn:microsoft.com/office/officeart/2005/8/layout/orgChart1"/>
    <dgm:cxn modelId="{0B0ACC56-91C7-4958-A537-23DA011CF517}" type="presParOf" srcId="{84B49BEE-B18F-47CE-8F04-7AFD6EA501E5}" destId="{95D7C38F-0A81-4C85-B92E-F3E4FA1CB97C}" srcOrd="0" destOrd="0" presId="urn:microsoft.com/office/officeart/2005/8/layout/orgChart1"/>
    <dgm:cxn modelId="{63FD1A69-7AEA-4D2A-B5F8-48B88576BE1C}" type="presParOf" srcId="{95D7C38F-0A81-4C85-B92E-F3E4FA1CB97C}" destId="{819A430A-2BEA-4605-A07A-DCE94974F703}" srcOrd="0" destOrd="0" presId="urn:microsoft.com/office/officeart/2005/8/layout/orgChart1"/>
    <dgm:cxn modelId="{AE9906BD-D499-47A0-A552-0F7FF2E314AB}" type="presParOf" srcId="{95D7C38F-0A81-4C85-B92E-F3E4FA1CB97C}" destId="{098606D5-1263-40AB-B14D-606F38F2199B}" srcOrd="1" destOrd="0" presId="urn:microsoft.com/office/officeart/2005/8/layout/orgChart1"/>
    <dgm:cxn modelId="{2A7943BE-E275-4FDF-BA6A-E7F77098AD88}" type="presParOf" srcId="{84B49BEE-B18F-47CE-8F04-7AFD6EA501E5}" destId="{1E708FE7-B5AE-4345-A238-7F17DE2F271D}" srcOrd="1" destOrd="0" presId="urn:microsoft.com/office/officeart/2005/8/layout/orgChart1"/>
    <dgm:cxn modelId="{6A29F079-896D-4662-94CB-BFFBC3E6239A}" type="presParOf" srcId="{1E708FE7-B5AE-4345-A238-7F17DE2F271D}" destId="{E5733DDD-72FC-4563-9D5C-DC0C3D41F8B3}" srcOrd="0" destOrd="0" presId="urn:microsoft.com/office/officeart/2005/8/layout/orgChart1"/>
    <dgm:cxn modelId="{849C5ECB-5710-4C7D-BE6A-094E98A321A3}" type="presParOf" srcId="{1E708FE7-B5AE-4345-A238-7F17DE2F271D}" destId="{09F53F46-FB03-4B66-9238-421764FDE8B2}" srcOrd="1" destOrd="0" presId="urn:microsoft.com/office/officeart/2005/8/layout/orgChart1"/>
    <dgm:cxn modelId="{F9CD4F16-714F-41A6-8AD9-68B952E0744C}" type="presParOf" srcId="{09F53F46-FB03-4B66-9238-421764FDE8B2}" destId="{031C8AFF-7054-4ED7-BCE2-DB240D125AF0}" srcOrd="0" destOrd="0" presId="urn:microsoft.com/office/officeart/2005/8/layout/orgChart1"/>
    <dgm:cxn modelId="{E969BFE2-DCAC-43C6-BAE2-F0B59E726756}" type="presParOf" srcId="{031C8AFF-7054-4ED7-BCE2-DB240D125AF0}" destId="{ED475466-FEEC-41F5-BD0D-3A6A515490AA}" srcOrd="0" destOrd="0" presId="urn:microsoft.com/office/officeart/2005/8/layout/orgChart1"/>
    <dgm:cxn modelId="{12ECD4EF-0AEF-41D9-A4E8-D8E02259537B}" type="presParOf" srcId="{031C8AFF-7054-4ED7-BCE2-DB240D125AF0}" destId="{C94CEB6C-7571-4761-88CC-ABA23CE4FEC4}" srcOrd="1" destOrd="0" presId="urn:microsoft.com/office/officeart/2005/8/layout/orgChart1"/>
    <dgm:cxn modelId="{57A98F34-91CE-467C-90C5-7CC195315E40}" type="presParOf" srcId="{09F53F46-FB03-4B66-9238-421764FDE8B2}" destId="{D6ED3292-9E89-42E2-A493-9A8BFB1A5567}" srcOrd="1" destOrd="0" presId="urn:microsoft.com/office/officeart/2005/8/layout/orgChart1"/>
    <dgm:cxn modelId="{85934562-1257-4625-8C36-8DA944724C64}" type="presParOf" srcId="{D6ED3292-9E89-42E2-A493-9A8BFB1A5567}" destId="{26F8583E-D3E6-472B-B77B-33232305A595}" srcOrd="0" destOrd="0" presId="urn:microsoft.com/office/officeart/2005/8/layout/orgChart1"/>
    <dgm:cxn modelId="{BDBA7053-CC55-4667-8C1E-2F138EEA7273}" type="presParOf" srcId="{D6ED3292-9E89-42E2-A493-9A8BFB1A5567}" destId="{55647304-68C5-4C84-B2BE-3A3594F52404}" srcOrd="1" destOrd="0" presId="urn:microsoft.com/office/officeart/2005/8/layout/orgChart1"/>
    <dgm:cxn modelId="{20AE7A0D-C8E1-4975-B37A-8591142E921C}" type="presParOf" srcId="{55647304-68C5-4C84-B2BE-3A3594F52404}" destId="{97FCD82D-4C19-4DBC-8C79-06434E4F9815}" srcOrd="0" destOrd="0" presId="urn:microsoft.com/office/officeart/2005/8/layout/orgChart1"/>
    <dgm:cxn modelId="{1F16C119-CE53-45BD-8E99-49B12878422B}" type="presParOf" srcId="{97FCD82D-4C19-4DBC-8C79-06434E4F9815}" destId="{C357EAA8-1829-4503-9669-094D518BB90A}" srcOrd="0" destOrd="0" presId="urn:microsoft.com/office/officeart/2005/8/layout/orgChart1"/>
    <dgm:cxn modelId="{7B8E89B8-7E14-4648-A24B-CD96A0022AE7}" type="presParOf" srcId="{97FCD82D-4C19-4DBC-8C79-06434E4F9815}" destId="{B5868382-476D-432E-BEA7-D4646DA102F4}" srcOrd="1" destOrd="0" presId="urn:microsoft.com/office/officeart/2005/8/layout/orgChart1"/>
    <dgm:cxn modelId="{99D72216-8B04-46E6-A6AD-452C6D3EA6C5}" type="presParOf" srcId="{55647304-68C5-4C84-B2BE-3A3594F52404}" destId="{995352D6-34AD-47CB-AAB4-52EA441EB221}" srcOrd="1" destOrd="0" presId="urn:microsoft.com/office/officeart/2005/8/layout/orgChart1"/>
    <dgm:cxn modelId="{E9278852-DC5E-4DE7-A096-CFC70A6875EF}" type="presParOf" srcId="{55647304-68C5-4C84-B2BE-3A3594F52404}" destId="{F0BD0C27-D370-4849-BD74-60308F7EC3EA}" srcOrd="2" destOrd="0" presId="urn:microsoft.com/office/officeart/2005/8/layout/orgChart1"/>
    <dgm:cxn modelId="{771F6EB0-0291-4517-A68E-0125373C0B54}" type="presParOf" srcId="{09F53F46-FB03-4B66-9238-421764FDE8B2}" destId="{EAF964A1-F6E6-403F-B577-051D265C6694}" srcOrd="2" destOrd="0" presId="urn:microsoft.com/office/officeart/2005/8/layout/orgChart1"/>
    <dgm:cxn modelId="{8FEC878F-8DE9-4DB2-9599-8181E0048033}" type="presParOf" srcId="{1E708FE7-B5AE-4345-A238-7F17DE2F271D}" destId="{0588E0C0-4849-4637-87D9-8C11F2B214A5}" srcOrd="2" destOrd="0" presId="urn:microsoft.com/office/officeart/2005/8/layout/orgChart1"/>
    <dgm:cxn modelId="{E4E4A2F1-1214-440A-8C1B-4C4E6662D85B}" type="presParOf" srcId="{1E708FE7-B5AE-4345-A238-7F17DE2F271D}" destId="{F2FD8FED-35CE-4B9A-8CB0-938E45CFF503}" srcOrd="3" destOrd="0" presId="urn:microsoft.com/office/officeart/2005/8/layout/orgChart1"/>
    <dgm:cxn modelId="{DB9F8B27-1C5F-45CC-AF33-ED024AD9C903}" type="presParOf" srcId="{F2FD8FED-35CE-4B9A-8CB0-938E45CFF503}" destId="{03E25817-2BDC-45B1-A1C6-E946C26EC08B}" srcOrd="0" destOrd="0" presId="urn:microsoft.com/office/officeart/2005/8/layout/orgChart1"/>
    <dgm:cxn modelId="{7312376D-E905-4324-AD60-CB3F2A167E7E}" type="presParOf" srcId="{03E25817-2BDC-45B1-A1C6-E946C26EC08B}" destId="{3FA10F6F-8215-421B-B4A3-42DB02F82E77}" srcOrd="0" destOrd="0" presId="urn:microsoft.com/office/officeart/2005/8/layout/orgChart1"/>
    <dgm:cxn modelId="{D7762442-5E87-4CD8-9B76-6FE7CA617232}" type="presParOf" srcId="{03E25817-2BDC-45B1-A1C6-E946C26EC08B}" destId="{AF6AB5FE-1303-4440-B96D-2AE5414DD611}" srcOrd="1" destOrd="0" presId="urn:microsoft.com/office/officeart/2005/8/layout/orgChart1"/>
    <dgm:cxn modelId="{8BDB1D2B-AA3C-46CC-AE5B-5FAFE42FA0B9}" type="presParOf" srcId="{F2FD8FED-35CE-4B9A-8CB0-938E45CFF503}" destId="{4B9A8897-608A-48CB-8F75-9F22A2D5E396}" srcOrd="1" destOrd="0" presId="urn:microsoft.com/office/officeart/2005/8/layout/orgChart1"/>
    <dgm:cxn modelId="{E7BED8EA-136F-477E-9000-EF67EADC8398}" type="presParOf" srcId="{4B9A8897-608A-48CB-8F75-9F22A2D5E396}" destId="{79B7B0DB-8F88-4B81-9C54-635B95A5D87C}" srcOrd="0" destOrd="0" presId="urn:microsoft.com/office/officeart/2005/8/layout/orgChart1"/>
    <dgm:cxn modelId="{6CAD8DA2-0862-4F26-A4A0-911BB82775EE}" type="presParOf" srcId="{4B9A8897-608A-48CB-8F75-9F22A2D5E396}" destId="{5E56AC80-FA69-47C4-B12F-523EC7D38FFF}" srcOrd="1" destOrd="0" presId="urn:microsoft.com/office/officeart/2005/8/layout/orgChart1"/>
    <dgm:cxn modelId="{4B305279-E64F-4546-96A2-99FA215F8212}" type="presParOf" srcId="{5E56AC80-FA69-47C4-B12F-523EC7D38FFF}" destId="{27903897-02A6-47A5-B777-521CBB20E796}" srcOrd="0" destOrd="0" presId="urn:microsoft.com/office/officeart/2005/8/layout/orgChart1"/>
    <dgm:cxn modelId="{025ECCF6-4756-4C1E-AFD5-96D54205C12B}" type="presParOf" srcId="{27903897-02A6-47A5-B777-521CBB20E796}" destId="{6A041CD1-6CF2-4CCF-92DE-BDBCF7869797}" srcOrd="0" destOrd="0" presId="urn:microsoft.com/office/officeart/2005/8/layout/orgChart1"/>
    <dgm:cxn modelId="{F47BCB68-1A2A-48D5-9E2A-1965F443C516}" type="presParOf" srcId="{27903897-02A6-47A5-B777-521CBB20E796}" destId="{D1A6339B-A478-4C02-A35D-0963466892F3}" srcOrd="1" destOrd="0" presId="urn:microsoft.com/office/officeart/2005/8/layout/orgChart1"/>
    <dgm:cxn modelId="{7C1F7F27-90F3-4DA5-83B2-D9858F376EA0}" type="presParOf" srcId="{5E56AC80-FA69-47C4-B12F-523EC7D38FFF}" destId="{DABF41AF-B62F-4C86-9313-1321B8E78710}" srcOrd="1" destOrd="0" presId="urn:microsoft.com/office/officeart/2005/8/layout/orgChart1"/>
    <dgm:cxn modelId="{C88EFB94-A3BE-4C9F-894B-D797C5F0F9BA}" type="presParOf" srcId="{DABF41AF-B62F-4C86-9313-1321B8E78710}" destId="{3067469A-F2FC-4E82-A9DB-B7477C0F0E81}" srcOrd="0" destOrd="0" presId="urn:microsoft.com/office/officeart/2005/8/layout/orgChart1"/>
    <dgm:cxn modelId="{15C1764A-DAFB-445A-A7C7-25F60033770D}" type="presParOf" srcId="{DABF41AF-B62F-4C86-9313-1321B8E78710}" destId="{27DF994C-E642-4809-9364-82C216B7AA0B}" srcOrd="1" destOrd="0" presId="urn:microsoft.com/office/officeart/2005/8/layout/orgChart1"/>
    <dgm:cxn modelId="{3A4060C5-3E93-42AF-9DDB-9AA5C27E05E2}" type="presParOf" srcId="{27DF994C-E642-4809-9364-82C216B7AA0B}" destId="{90A7762A-B0A2-4872-8EAB-55436BECA377}" srcOrd="0" destOrd="0" presId="urn:microsoft.com/office/officeart/2005/8/layout/orgChart1"/>
    <dgm:cxn modelId="{EC5CCAEC-27B2-4D60-ABF6-33E8B26126F1}" type="presParOf" srcId="{90A7762A-B0A2-4872-8EAB-55436BECA377}" destId="{26ED70BA-0417-49E8-A719-8EEA21E91623}" srcOrd="0" destOrd="0" presId="urn:microsoft.com/office/officeart/2005/8/layout/orgChart1"/>
    <dgm:cxn modelId="{442A8B6F-49EC-4FA9-BEC9-D16F07D9BE4C}" type="presParOf" srcId="{90A7762A-B0A2-4872-8EAB-55436BECA377}" destId="{67D16064-1F82-4B42-BCF7-1666FEB8D0CB}" srcOrd="1" destOrd="0" presId="urn:microsoft.com/office/officeart/2005/8/layout/orgChart1"/>
    <dgm:cxn modelId="{868CFF27-1E0C-4778-8D46-FC52CC86749A}" type="presParOf" srcId="{27DF994C-E642-4809-9364-82C216B7AA0B}" destId="{2D174505-3684-4AE3-AE7C-9C1C287FC680}" srcOrd="1" destOrd="0" presId="urn:microsoft.com/office/officeart/2005/8/layout/orgChart1"/>
    <dgm:cxn modelId="{F9D4EEF0-B81E-40FE-87C6-1D1BEC6C849F}" type="presParOf" srcId="{27DF994C-E642-4809-9364-82C216B7AA0B}" destId="{3CBF9906-88D5-4979-907C-7AD1035437CB}" srcOrd="2" destOrd="0" presId="urn:microsoft.com/office/officeart/2005/8/layout/orgChart1"/>
    <dgm:cxn modelId="{4A68B1EA-811F-4CB2-97D4-241C3D41E086}" type="presParOf" srcId="{DABF41AF-B62F-4C86-9313-1321B8E78710}" destId="{D098AD9C-20C9-4257-816F-7E5FDE787B30}" srcOrd="2" destOrd="0" presId="urn:microsoft.com/office/officeart/2005/8/layout/orgChart1"/>
    <dgm:cxn modelId="{A8C958F7-3BCD-49FB-A100-F0394C7B2443}" type="presParOf" srcId="{DABF41AF-B62F-4C86-9313-1321B8E78710}" destId="{8888849D-4DBC-4D9B-B2B1-A41DCB5229F1}" srcOrd="3" destOrd="0" presId="urn:microsoft.com/office/officeart/2005/8/layout/orgChart1"/>
    <dgm:cxn modelId="{87A9EA3C-4E7A-47B2-8677-4EF5303997FC}" type="presParOf" srcId="{8888849D-4DBC-4D9B-B2B1-A41DCB5229F1}" destId="{6FF4BD35-E3EF-4591-9554-0142BE06E39A}" srcOrd="0" destOrd="0" presId="urn:microsoft.com/office/officeart/2005/8/layout/orgChart1"/>
    <dgm:cxn modelId="{69F5A83F-5A3D-4C95-B09B-4CDC8B7B651F}" type="presParOf" srcId="{6FF4BD35-E3EF-4591-9554-0142BE06E39A}" destId="{1B150F33-09AB-4FDB-AD22-F7ABC1397A44}" srcOrd="0" destOrd="0" presId="urn:microsoft.com/office/officeart/2005/8/layout/orgChart1"/>
    <dgm:cxn modelId="{BD3C7274-5416-4F1B-8E89-2A646532B695}" type="presParOf" srcId="{6FF4BD35-E3EF-4591-9554-0142BE06E39A}" destId="{E2494F4C-F5BC-428F-B41E-19D6AC35B3B1}" srcOrd="1" destOrd="0" presId="urn:microsoft.com/office/officeart/2005/8/layout/orgChart1"/>
    <dgm:cxn modelId="{7752F1E9-5E8A-4DCE-B04D-1AB249A06BEA}" type="presParOf" srcId="{8888849D-4DBC-4D9B-B2B1-A41DCB5229F1}" destId="{C1EC3DB4-5643-4945-8162-A4DC54BF8ED2}" srcOrd="1" destOrd="0" presId="urn:microsoft.com/office/officeart/2005/8/layout/orgChart1"/>
    <dgm:cxn modelId="{814BFE57-A453-406B-9B73-B061413DF703}" type="presParOf" srcId="{C1EC3DB4-5643-4945-8162-A4DC54BF8ED2}" destId="{271FE74F-BAA5-4F5B-82AB-BD83021F0589}" srcOrd="0" destOrd="0" presId="urn:microsoft.com/office/officeart/2005/8/layout/orgChart1"/>
    <dgm:cxn modelId="{440D0478-2381-4BB1-8C20-13509A220745}" type="presParOf" srcId="{C1EC3DB4-5643-4945-8162-A4DC54BF8ED2}" destId="{5C828C8C-48F5-4FB5-B377-5DC9A4ACA78B}" srcOrd="1" destOrd="0" presId="urn:microsoft.com/office/officeart/2005/8/layout/orgChart1"/>
    <dgm:cxn modelId="{084E7E86-8E3B-47FE-8410-D830D424584E}" type="presParOf" srcId="{5C828C8C-48F5-4FB5-B377-5DC9A4ACA78B}" destId="{BCA7B218-5EA7-4522-8386-40CC1BBC83EA}" srcOrd="0" destOrd="0" presId="urn:microsoft.com/office/officeart/2005/8/layout/orgChart1"/>
    <dgm:cxn modelId="{A0041777-0157-4D00-B81A-971EF41FAA9B}" type="presParOf" srcId="{BCA7B218-5EA7-4522-8386-40CC1BBC83EA}" destId="{80A80235-EC93-439E-8F44-7F1E97883DC8}" srcOrd="0" destOrd="0" presId="urn:microsoft.com/office/officeart/2005/8/layout/orgChart1"/>
    <dgm:cxn modelId="{7AF4003E-F748-4F82-B38F-E1ABB38927BD}" type="presParOf" srcId="{BCA7B218-5EA7-4522-8386-40CC1BBC83EA}" destId="{1F00643C-2C5A-4595-A72B-C6DF17D68BEB}" srcOrd="1" destOrd="0" presId="urn:microsoft.com/office/officeart/2005/8/layout/orgChart1"/>
    <dgm:cxn modelId="{B47E3313-E674-4A7E-BC0C-EEC60CE3C229}" type="presParOf" srcId="{5C828C8C-48F5-4FB5-B377-5DC9A4ACA78B}" destId="{27EAA437-6B41-4AB2-B530-571DD034886E}" srcOrd="1" destOrd="0" presId="urn:microsoft.com/office/officeart/2005/8/layout/orgChart1"/>
    <dgm:cxn modelId="{E1A2F7DC-06C7-46DD-B82B-53F8D0D9ED1D}" type="presParOf" srcId="{5C828C8C-48F5-4FB5-B377-5DC9A4ACA78B}" destId="{2E8AEB76-3E45-4F1F-9A34-9DB6D00A800E}" srcOrd="2" destOrd="0" presId="urn:microsoft.com/office/officeart/2005/8/layout/orgChart1"/>
    <dgm:cxn modelId="{55E6BBDF-E4D9-47C7-9F09-227C517054A5}" type="presParOf" srcId="{8888849D-4DBC-4D9B-B2B1-A41DCB5229F1}" destId="{F1A1E92A-5428-41BA-9FAF-396068896D15}" srcOrd="2" destOrd="0" presId="urn:microsoft.com/office/officeart/2005/8/layout/orgChart1"/>
    <dgm:cxn modelId="{18B7CFA4-CAC8-4ADD-94FC-43B2D83F7D18}" type="presParOf" srcId="{5E56AC80-FA69-47C4-B12F-523EC7D38FFF}" destId="{51A3D65D-F4C7-4F0B-8B71-CFC240899151}" srcOrd="2" destOrd="0" presId="urn:microsoft.com/office/officeart/2005/8/layout/orgChart1"/>
    <dgm:cxn modelId="{20AD86A0-101D-4484-AB97-A5FF3A9E0E43}" type="presParOf" srcId="{F2FD8FED-35CE-4B9A-8CB0-938E45CFF503}" destId="{279CAD28-01DD-4361-9047-57CE44785EC3}" srcOrd="2" destOrd="0" presId="urn:microsoft.com/office/officeart/2005/8/layout/orgChart1"/>
    <dgm:cxn modelId="{2B06E539-DF52-4F09-B0F1-CB82ABB09FA0}" type="presParOf" srcId="{84B49BEE-B18F-47CE-8F04-7AFD6EA501E5}" destId="{785318B0-B479-4F37-A58E-8B66F2831DDD}" srcOrd="2" destOrd="0" presId="urn:microsoft.com/office/officeart/2005/8/layout/orgChart1"/>
    <dgm:cxn modelId="{1A955F0B-F76D-4A7F-8D8D-52969A0D8B0C}" type="presParOf" srcId="{5965A3FF-2913-4537-B200-007B07C89ADA}" destId="{6CB866EA-091F-4E6C-B4F8-058ED2647006}" srcOrd="2" destOrd="0" presId="urn:microsoft.com/office/officeart/2005/8/layout/orgChart1"/>
    <dgm:cxn modelId="{5C8BC31E-5FC6-4F04-8215-0015A0AE84FA}" type="presParOf" srcId="{CAF9E52D-F2E7-4967-A4DB-786E95AEDA36}" destId="{4458F405-98FE-46E4-B292-A21897DCC42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1FE74F-BAA5-4F5B-82AB-BD83021F0589}">
      <dsp:nvSpPr>
        <dsp:cNvPr id="0" name=""/>
        <dsp:cNvSpPr/>
      </dsp:nvSpPr>
      <dsp:spPr>
        <a:xfrm>
          <a:off x="2750596" y="2378693"/>
          <a:ext cx="91440" cy="2699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9994"/>
              </a:lnTo>
              <a:lnTo>
                <a:pt x="133761" y="26999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098AD9C-20C9-4257-816F-7E5FDE787B30}">
      <dsp:nvSpPr>
        <dsp:cNvPr id="0" name=""/>
        <dsp:cNvSpPr/>
      </dsp:nvSpPr>
      <dsp:spPr>
        <a:xfrm>
          <a:off x="2675992" y="1961961"/>
          <a:ext cx="355101" cy="1232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629"/>
              </a:lnTo>
              <a:lnTo>
                <a:pt x="355101" y="61629"/>
              </a:lnTo>
              <a:lnTo>
                <a:pt x="355101" y="1232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67469A-F2FC-4E82-A9DB-B7477C0F0E81}">
      <dsp:nvSpPr>
        <dsp:cNvPr id="0" name=""/>
        <dsp:cNvSpPr/>
      </dsp:nvSpPr>
      <dsp:spPr>
        <a:xfrm>
          <a:off x="2320891" y="1961961"/>
          <a:ext cx="355101" cy="123258"/>
        </a:xfrm>
        <a:custGeom>
          <a:avLst/>
          <a:gdLst/>
          <a:ahLst/>
          <a:cxnLst/>
          <a:rect l="0" t="0" r="0" b="0"/>
          <a:pathLst>
            <a:path>
              <a:moveTo>
                <a:pt x="355101" y="0"/>
              </a:moveTo>
              <a:lnTo>
                <a:pt x="355101" y="61629"/>
              </a:lnTo>
              <a:lnTo>
                <a:pt x="0" y="61629"/>
              </a:lnTo>
              <a:lnTo>
                <a:pt x="0" y="1232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B7B0DB-8F88-4B81-9C54-635B95A5D87C}">
      <dsp:nvSpPr>
        <dsp:cNvPr id="0" name=""/>
        <dsp:cNvSpPr/>
      </dsp:nvSpPr>
      <dsp:spPr>
        <a:xfrm>
          <a:off x="2630272" y="1545230"/>
          <a:ext cx="91440" cy="12325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32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88E0C0-4849-4637-87D9-8C11F2B214A5}">
      <dsp:nvSpPr>
        <dsp:cNvPr id="0" name=""/>
        <dsp:cNvSpPr/>
      </dsp:nvSpPr>
      <dsp:spPr>
        <a:xfrm>
          <a:off x="2247522" y="1128499"/>
          <a:ext cx="428470" cy="1232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629"/>
              </a:lnTo>
              <a:lnTo>
                <a:pt x="428470" y="61629"/>
              </a:lnTo>
              <a:lnTo>
                <a:pt x="428470" y="1232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F8583E-D3E6-472B-B77B-33232305A595}">
      <dsp:nvSpPr>
        <dsp:cNvPr id="0" name=""/>
        <dsp:cNvSpPr/>
      </dsp:nvSpPr>
      <dsp:spPr>
        <a:xfrm>
          <a:off x="1538554" y="1545230"/>
          <a:ext cx="91440" cy="2699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9994"/>
              </a:lnTo>
              <a:lnTo>
                <a:pt x="133761" y="26999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733DDD-72FC-4563-9D5C-DC0C3D41F8B3}">
      <dsp:nvSpPr>
        <dsp:cNvPr id="0" name=""/>
        <dsp:cNvSpPr/>
      </dsp:nvSpPr>
      <dsp:spPr>
        <a:xfrm>
          <a:off x="1819052" y="1128499"/>
          <a:ext cx="428470" cy="123258"/>
        </a:xfrm>
        <a:custGeom>
          <a:avLst/>
          <a:gdLst/>
          <a:ahLst/>
          <a:cxnLst/>
          <a:rect l="0" t="0" r="0" b="0"/>
          <a:pathLst>
            <a:path>
              <a:moveTo>
                <a:pt x="428470" y="0"/>
              </a:moveTo>
              <a:lnTo>
                <a:pt x="428470" y="61629"/>
              </a:lnTo>
              <a:lnTo>
                <a:pt x="0" y="61629"/>
              </a:lnTo>
              <a:lnTo>
                <a:pt x="0" y="1232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B99700-EA79-4199-83B7-9901F4960CB4}">
      <dsp:nvSpPr>
        <dsp:cNvPr id="0" name=""/>
        <dsp:cNvSpPr/>
      </dsp:nvSpPr>
      <dsp:spPr>
        <a:xfrm>
          <a:off x="2201802" y="711768"/>
          <a:ext cx="91440" cy="12325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325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A77149A-BEDD-42D2-9BA6-DADB6F23E55B}">
      <dsp:nvSpPr>
        <dsp:cNvPr id="0" name=""/>
        <dsp:cNvSpPr/>
      </dsp:nvSpPr>
      <dsp:spPr>
        <a:xfrm>
          <a:off x="1819052" y="295037"/>
          <a:ext cx="428470" cy="1232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629"/>
              </a:lnTo>
              <a:lnTo>
                <a:pt x="428470" y="61629"/>
              </a:lnTo>
              <a:lnTo>
                <a:pt x="428470" y="12325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646EB3-E4A4-4525-BF57-81915D734D8E}">
      <dsp:nvSpPr>
        <dsp:cNvPr id="0" name=""/>
        <dsp:cNvSpPr/>
      </dsp:nvSpPr>
      <dsp:spPr>
        <a:xfrm>
          <a:off x="1110084" y="711768"/>
          <a:ext cx="91440" cy="2699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69994"/>
              </a:lnTo>
              <a:lnTo>
                <a:pt x="133761" y="26999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ACE9A51-0BE7-4293-AA12-29B28D556D94}">
      <dsp:nvSpPr>
        <dsp:cNvPr id="0" name=""/>
        <dsp:cNvSpPr/>
      </dsp:nvSpPr>
      <dsp:spPr>
        <a:xfrm>
          <a:off x="1390582" y="295037"/>
          <a:ext cx="428470" cy="123258"/>
        </a:xfrm>
        <a:custGeom>
          <a:avLst/>
          <a:gdLst/>
          <a:ahLst/>
          <a:cxnLst/>
          <a:rect l="0" t="0" r="0" b="0"/>
          <a:pathLst>
            <a:path>
              <a:moveTo>
                <a:pt x="428470" y="0"/>
              </a:moveTo>
              <a:lnTo>
                <a:pt x="428470" y="61629"/>
              </a:lnTo>
              <a:lnTo>
                <a:pt x="0" y="61629"/>
              </a:lnTo>
              <a:lnTo>
                <a:pt x="0" y="12325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34534A-7A48-4DC1-BA85-490676234511}">
      <dsp:nvSpPr>
        <dsp:cNvPr id="0" name=""/>
        <dsp:cNvSpPr/>
      </dsp:nvSpPr>
      <dsp:spPr>
        <a:xfrm>
          <a:off x="1525580" y="1564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Drug dependent</a:t>
          </a:r>
        </a:p>
      </dsp:txBody>
      <dsp:txXfrm>
        <a:off x="1525580" y="1564"/>
        <a:ext cx="586945" cy="293472"/>
      </dsp:txXfrm>
    </dsp:sp>
    <dsp:sp modelId="{52A8E25F-1448-494E-B7BA-BDC696B50CEB}">
      <dsp:nvSpPr>
        <dsp:cNvPr id="0" name=""/>
        <dsp:cNvSpPr/>
      </dsp:nvSpPr>
      <dsp:spPr>
        <a:xfrm>
          <a:off x="1097110" y="418295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Yes</a:t>
          </a:r>
        </a:p>
      </dsp:txBody>
      <dsp:txXfrm>
        <a:off x="1097110" y="418295"/>
        <a:ext cx="586945" cy="293472"/>
      </dsp:txXfrm>
    </dsp:sp>
    <dsp:sp modelId="{FFCC76B1-8CA7-4952-902D-F9A862F8DF33}">
      <dsp:nvSpPr>
        <dsp:cNvPr id="0" name=""/>
        <dsp:cNvSpPr/>
      </dsp:nvSpPr>
      <dsp:spPr>
        <a:xfrm>
          <a:off x="1243846" y="835027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Recidivist</a:t>
          </a:r>
        </a:p>
      </dsp:txBody>
      <dsp:txXfrm>
        <a:off x="1243846" y="835027"/>
        <a:ext cx="586945" cy="293472"/>
      </dsp:txXfrm>
    </dsp:sp>
    <dsp:sp modelId="{BE191F41-9566-4545-9E24-F59E3F12EDF4}">
      <dsp:nvSpPr>
        <dsp:cNvPr id="0" name=""/>
        <dsp:cNvSpPr/>
      </dsp:nvSpPr>
      <dsp:spPr>
        <a:xfrm>
          <a:off x="1954050" y="418295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No</a:t>
          </a:r>
        </a:p>
      </dsp:txBody>
      <dsp:txXfrm>
        <a:off x="1954050" y="418295"/>
        <a:ext cx="586945" cy="293472"/>
      </dsp:txXfrm>
    </dsp:sp>
    <dsp:sp modelId="{819A430A-2BEA-4605-A07A-DCE94974F703}">
      <dsp:nvSpPr>
        <dsp:cNvPr id="0" name=""/>
        <dsp:cNvSpPr/>
      </dsp:nvSpPr>
      <dsp:spPr>
        <a:xfrm>
          <a:off x="1954050" y="835027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Age&lt;30</a:t>
          </a:r>
        </a:p>
      </dsp:txBody>
      <dsp:txXfrm>
        <a:off x="1954050" y="835027"/>
        <a:ext cx="586945" cy="293472"/>
      </dsp:txXfrm>
    </dsp:sp>
    <dsp:sp modelId="{ED475466-FEEC-41F5-BD0D-3A6A515490AA}">
      <dsp:nvSpPr>
        <dsp:cNvPr id="0" name=""/>
        <dsp:cNvSpPr/>
      </dsp:nvSpPr>
      <dsp:spPr>
        <a:xfrm>
          <a:off x="1525580" y="1251758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Yes</a:t>
          </a:r>
        </a:p>
      </dsp:txBody>
      <dsp:txXfrm>
        <a:off x="1525580" y="1251758"/>
        <a:ext cx="586945" cy="293472"/>
      </dsp:txXfrm>
    </dsp:sp>
    <dsp:sp modelId="{C357EAA8-1829-4503-9669-094D518BB90A}">
      <dsp:nvSpPr>
        <dsp:cNvPr id="0" name=""/>
        <dsp:cNvSpPr/>
      </dsp:nvSpPr>
      <dsp:spPr>
        <a:xfrm>
          <a:off x="1672316" y="1668489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Recidivist</a:t>
          </a:r>
        </a:p>
      </dsp:txBody>
      <dsp:txXfrm>
        <a:off x="1672316" y="1668489"/>
        <a:ext cx="586945" cy="293472"/>
      </dsp:txXfrm>
    </dsp:sp>
    <dsp:sp modelId="{3FA10F6F-8215-421B-B4A3-42DB02F82E77}">
      <dsp:nvSpPr>
        <dsp:cNvPr id="0" name=""/>
        <dsp:cNvSpPr/>
      </dsp:nvSpPr>
      <dsp:spPr>
        <a:xfrm>
          <a:off x="2382520" y="1251758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no</a:t>
          </a:r>
        </a:p>
      </dsp:txBody>
      <dsp:txXfrm>
        <a:off x="2382520" y="1251758"/>
        <a:ext cx="586945" cy="293472"/>
      </dsp:txXfrm>
    </dsp:sp>
    <dsp:sp modelId="{6A041CD1-6CF2-4CCF-92DE-BDBCF7869797}">
      <dsp:nvSpPr>
        <dsp:cNvPr id="0" name=""/>
        <dsp:cNvSpPr/>
      </dsp:nvSpPr>
      <dsp:spPr>
        <a:xfrm>
          <a:off x="2382520" y="1668489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Good Behavior</a:t>
          </a:r>
        </a:p>
      </dsp:txBody>
      <dsp:txXfrm>
        <a:off x="2382520" y="1668489"/>
        <a:ext cx="586945" cy="293472"/>
      </dsp:txXfrm>
    </dsp:sp>
    <dsp:sp modelId="{26ED70BA-0417-49E8-A719-8EEA21E91623}">
      <dsp:nvSpPr>
        <dsp:cNvPr id="0" name=""/>
        <dsp:cNvSpPr/>
      </dsp:nvSpPr>
      <dsp:spPr>
        <a:xfrm>
          <a:off x="2027418" y="2085220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yes</a:t>
          </a:r>
        </a:p>
      </dsp:txBody>
      <dsp:txXfrm>
        <a:off x="2027418" y="2085220"/>
        <a:ext cx="586945" cy="293472"/>
      </dsp:txXfrm>
    </dsp:sp>
    <dsp:sp modelId="{1B150F33-09AB-4FDB-AD22-F7ABC1397A44}">
      <dsp:nvSpPr>
        <dsp:cNvPr id="0" name=""/>
        <dsp:cNvSpPr/>
      </dsp:nvSpPr>
      <dsp:spPr>
        <a:xfrm>
          <a:off x="2737622" y="2085220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no</a:t>
          </a:r>
        </a:p>
      </dsp:txBody>
      <dsp:txXfrm>
        <a:off x="2737622" y="2085220"/>
        <a:ext cx="586945" cy="293472"/>
      </dsp:txXfrm>
    </dsp:sp>
    <dsp:sp modelId="{80A80235-EC93-439E-8F44-7F1E97883DC8}">
      <dsp:nvSpPr>
        <dsp:cNvPr id="0" name=""/>
        <dsp:cNvSpPr/>
      </dsp:nvSpPr>
      <dsp:spPr>
        <a:xfrm>
          <a:off x="2884358" y="2501951"/>
          <a:ext cx="586945" cy="29347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000" kern="1200"/>
            <a:t>Recidivist</a:t>
          </a:r>
        </a:p>
      </dsp:txBody>
      <dsp:txXfrm>
        <a:off x="2884358" y="2501951"/>
        <a:ext cx="586945" cy="29347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398929</xdr:colOff>
      <xdr:row>30</xdr:row>
      <xdr:rowOff>13447</xdr:rowOff>
    </xdr:from>
    <xdr:to>
      <xdr:col>22</xdr:col>
      <xdr:colOff>273423</xdr:colOff>
      <xdr:row>45</xdr:row>
      <xdr:rowOff>67236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54E5BF-AC7A-50D3-1B4B-215BA9C39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80</xdr:col>
      <xdr:colOff>182880</xdr:colOff>
      <xdr:row>128</xdr:row>
      <xdr:rowOff>66040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4BEE9D08-643C-7E22-8F77-8AC05C73B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50880" cy="2347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D4FE-379C-4118-ACCE-D7EFA900C83F}">
  <dimension ref="A1:G11"/>
  <sheetViews>
    <sheetView workbookViewId="0">
      <selection activeCell="D28" sqref="D28"/>
    </sheetView>
  </sheetViews>
  <sheetFormatPr defaultRowHeight="14.4" x14ac:dyDescent="0.3"/>
  <sheetData>
    <row r="1" spans="1:7" x14ac:dyDescent="0.3">
      <c r="A1" s="62" t="s">
        <v>215</v>
      </c>
      <c r="B1" s="62" t="s">
        <v>216</v>
      </c>
      <c r="C1" s="62" t="s">
        <v>217</v>
      </c>
      <c r="D1" s="62" t="s">
        <v>218</v>
      </c>
      <c r="E1" s="62" t="s">
        <v>219</v>
      </c>
      <c r="F1" s="62" t="s">
        <v>220</v>
      </c>
      <c r="G1" s="62" t="s">
        <v>221</v>
      </c>
    </row>
    <row r="2" spans="1:7" x14ac:dyDescent="0.3">
      <c r="A2" s="5">
        <v>1</v>
      </c>
      <c r="B2" s="5" t="s">
        <v>222</v>
      </c>
      <c r="C2" s="5" t="s">
        <v>232</v>
      </c>
      <c r="D2" s="5">
        <v>43</v>
      </c>
      <c r="E2" s="5">
        <v>42632</v>
      </c>
      <c r="F2" s="5" t="s">
        <v>234</v>
      </c>
      <c r="G2" s="5" t="s">
        <v>237</v>
      </c>
    </row>
    <row r="3" spans="1:7" x14ac:dyDescent="0.3">
      <c r="A3" s="5">
        <v>2</v>
      </c>
      <c r="B3" s="5" t="s">
        <v>223</v>
      </c>
      <c r="C3" s="5" t="s">
        <v>232</v>
      </c>
      <c r="D3" s="5">
        <v>57</v>
      </c>
      <c r="E3" s="5">
        <v>22096</v>
      </c>
      <c r="F3" s="5" t="s">
        <v>235</v>
      </c>
      <c r="G3" s="5" t="s">
        <v>238</v>
      </c>
    </row>
    <row r="4" spans="1:7" x14ac:dyDescent="0.3">
      <c r="A4" s="5">
        <v>3</v>
      </c>
      <c r="B4" s="5" t="s">
        <v>224</v>
      </c>
      <c r="C4" s="5" t="s">
        <v>233</v>
      </c>
      <c r="D4" s="5">
        <v>21</v>
      </c>
      <c r="E4" s="5">
        <v>27221</v>
      </c>
      <c r="F4" s="5" t="s">
        <v>235</v>
      </c>
      <c r="G4" s="5" t="s">
        <v>238</v>
      </c>
    </row>
    <row r="5" spans="1:7" x14ac:dyDescent="0.3">
      <c r="A5" s="5">
        <v>4</v>
      </c>
      <c r="B5" s="5" t="s">
        <v>225</v>
      </c>
      <c r="C5" s="5" t="s">
        <v>232</v>
      </c>
      <c r="D5" s="5">
        <v>47</v>
      </c>
      <c r="E5" s="5">
        <v>21460</v>
      </c>
      <c r="F5" s="5" t="s">
        <v>236</v>
      </c>
      <c r="G5" s="5" t="s">
        <v>238</v>
      </c>
    </row>
    <row r="6" spans="1:7" x14ac:dyDescent="0.3">
      <c r="A6" s="5">
        <v>5</v>
      </c>
      <c r="B6" s="5" t="s">
        <v>226</v>
      </c>
      <c r="C6" s="5" t="s">
        <v>233</v>
      </c>
      <c r="D6" s="5">
        <v>55</v>
      </c>
      <c r="E6" s="5">
        <v>13976</v>
      </c>
      <c r="F6" s="5" t="s">
        <v>234</v>
      </c>
      <c r="G6" s="5" t="s">
        <v>238</v>
      </c>
    </row>
    <row r="7" spans="1:7" x14ac:dyDescent="0.3">
      <c r="A7" s="5">
        <v>6</v>
      </c>
      <c r="B7" s="5" t="s">
        <v>227</v>
      </c>
      <c r="C7" s="5" t="s">
        <v>233</v>
      </c>
      <c r="D7" s="5">
        <v>19</v>
      </c>
      <c r="E7" s="5">
        <v>4866</v>
      </c>
      <c r="F7" s="5" t="s">
        <v>235</v>
      </c>
      <c r="G7" s="5" t="s">
        <v>239</v>
      </c>
    </row>
    <row r="8" spans="1:7" x14ac:dyDescent="0.3">
      <c r="A8" s="5">
        <v>7</v>
      </c>
      <c r="B8" s="5" t="s">
        <v>228</v>
      </c>
      <c r="C8" s="5" t="s">
        <v>233</v>
      </c>
      <c r="D8" s="5">
        <v>51</v>
      </c>
      <c r="E8" s="5">
        <v>12759</v>
      </c>
      <c r="F8" s="5" t="s">
        <v>234</v>
      </c>
      <c r="G8" s="5" t="s">
        <v>238</v>
      </c>
    </row>
    <row r="9" spans="1:7" x14ac:dyDescent="0.3">
      <c r="A9" s="5">
        <v>8</v>
      </c>
      <c r="B9" s="5" t="s">
        <v>229</v>
      </c>
      <c r="C9" s="5" t="s">
        <v>233</v>
      </c>
      <c r="D9" s="5">
        <v>49</v>
      </c>
      <c r="E9" s="5">
        <v>15672</v>
      </c>
      <c r="F9" s="5" t="s">
        <v>236</v>
      </c>
      <c r="G9" s="5" t="s">
        <v>238</v>
      </c>
    </row>
    <row r="10" spans="1:7" x14ac:dyDescent="0.3">
      <c r="A10" s="5">
        <v>9</v>
      </c>
      <c r="B10" s="5" t="s">
        <v>230</v>
      </c>
      <c r="C10" s="5" t="s">
        <v>232</v>
      </c>
      <c r="D10" s="5">
        <v>18</v>
      </c>
      <c r="E10" s="5">
        <v>16399</v>
      </c>
      <c r="F10" s="5" t="s">
        <v>234</v>
      </c>
      <c r="G10" s="5" t="s">
        <v>237</v>
      </c>
    </row>
    <row r="11" spans="1:7" x14ac:dyDescent="0.3">
      <c r="A11" s="5">
        <v>10</v>
      </c>
      <c r="B11" s="5" t="s">
        <v>231</v>
      </c>
      <c r="C11" s="5" t="s">
        <v>233</v>
      </c>
      <c r="D11" s="5">
        <v>47</v>
      </c>
      <c r="E11" s="5">
        <v>14767</v>
      </c>
      <c r="F11" s="5" t="s">
        <v>234</v>
      </c>
      <c r="G11" s="5" t="s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1EED-9993-4499-86B0-09999CEE348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8C65-BB82-485D-9DBF-6AB9FB9F3195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E243-A009-491D-9499-98FBC320C21A}">
  <dimension ref="A1:P66"/>
  <sheetViews>
    <sheetView topLeftCell="I39" zoomScale="85" zoomScaleNormal="85" workbookViewId="0">
      <selection activeCell="K62" sqref="K62"/>
    </sheetView>
  </sheetViews>
  <sheetFormatPr defaultRowHeight="14.4" x14ac:dyDescent="0.3"/>
  <cols>
    <col min="1" max="1" width="9.88671875" style="5" bestFit="1" customWidth="1"/>
    <col min="2" max="2" width="13.33203125" style="5" bestFit="1" customWidth="1"/>
    <col min="3" max="3" width="10.5546875" style="5" bestFit="1" customWidth="1"/>
    <col min="4" max="4" width="14.88671875" style="5" bestFit="1" customWidth="1"/>
    <col min="5" max="5" width="12" style="5" bestFit="1" customWidth="1"/>
    <col min="6" max="6" width="14.21875" style="5" bestFit="1" customWidth="1"/>
    <col min="7" max="7" width="6.33203125" style="5" bestFit="1" customWidth="1"/>
    <col min="8" max="8" width="47.6640625" style="5" bestFit="1" customWidth="1"/>
    <col min="9" max="9" width="7.44140625" style="5" bestFit="1" customWidth="1"/>
    <col min="10" max="10" width="7.77734375" style="5" bestFit="1" customWidth="1"/>
    <col min="11" max="11" width="5.88671875" style="5" bestFit="1" customWidth="1"/>
    <col min="12" max="12" width="15.109375" style="5" bestFit="1" customWidth="1"/>
    <col min="13" max="13" width="7" style="5" bestFit="1" customWidth="1"/>
    <col min="14" max="14" width="5.88671875" style="5" bestFit="1" customWidth="1"/>
    <col min="15" max="15" width="16.21875" style="5" bestFit="1" customWidth="1"/>
    <col min="16" max="16" width="15.109375" style="5" bestFit="1" customWidth="1"/>
    <col min="17" max="16384" width="8.88671875" style="5"/>
  </cols>
  <sheetData>
    <row r="1" spans="1:12" x14ac:dyDescent="0.3">
      <c r="A1" s="5" t="s">
        <v>0</v>
      </c>
      <c r="B1" s="5" t="s">
        <v>1</v>
      </c>
      <c r="C1" s="5" t="s">
        <v>2</v>
      </c>
      <c r="D1" s="5" t="s">
        <v>3</v>
      </c>
      <c r="E1" s="62" t="s">
        <v>4</v>
      </c>
      <c r="I1" s="62">
        <v>1</v>
      </c>
      <c r="J1" s="62">
        <v>0</v>
      </c>
      <c r="K1" s="62" t="s">
        <v>13</v>
      </c>
      <c r="L1" s="62" t="s">
        <v>5</v>
      </c>
    </row>
    <row r="2" spans="1:12" x14ac:dyDescent="0.3">
      <c r="A2" s="5">
        <v>1</v>
      </c>
      <c r="B2" s="5">
        <v>3</v>
      </c>
      <c r="C2" s="5">
        <v>1</v>
      </c>
      <c r="D2" s="5">
        <v>1</v>
      </c>
      <c r="E2" s="62">
        <v>1</v>
      </c>
      <c r="G2" s="5" t="s">
        <v>16</v>
      </c>
      <c r="H2" s="62" t="s">
        <v>245</v>
      </c>
      <c r="I2" s="5">
        <v>3</v>
      </c>
      <c r="J2" s="5">
        <v>5</v>
      </c>
      <c r="K2" s="5">
        <f>I2+J2</f>
        <v>8</v>
      </c>
      <c r="L2" s="63">
        <f>-(I2/K2)*LOG(I2/K2,2)-(J2/K2)*LOG(J2/K2,2)</f>
        <v>0.95443400292496494</v>
      </c>
    </row>
    <row r="3" spans="1:12" x14ac:dyDescent="0.3">
      <c r="A3" s="5">
        <v>2</v>
      </c>
      <c r="B3" s="5">
        <v>2</v>
      </c>
      <c r="C3" s="5">
        <v>0</v>
      </c>
      <c r="D3" s="5">
        <v>0</v>
      </c>
      <c r="E3" s="62">
        <v>0</v>
      </c>
    </row>
    <row r="4" spans="1:12" x14ac:dyDescent="0.3">
      <c r="A4" s="5">
        <v>3</v>
      </c>
      <c r="B4" s="5">
        <v>3</v>
      </c>
      <c r="C4" s="5">
        <v>0</v>
      </c>
      <c r="D4" s="5">
        <v>1</v>
      </c>
      <c r="E4" s="62">
        <v>0</v>
      </c>
      <c r="G4" s="5" t="s">
        <v>17</v>
      </c>
      <c r="H4" s="62" t="s">
        <v>4</v>
      </c>
      <c r="I4" s="62">
        <v>1</v>
      </c>
      <c r="J4" s="62">
        <v>0</v>
      </c>
      <c r="K4" s="62" t="s">
        <v>13</v>
      </c>
      <c r="L4" s="62" t="s">
        <v>15</v>
      </c>
    </row>
    <row r="5" spans="1:12" x14ac:dyDescent="0.3">
      <c r="A5" s="5">
        <v>4</v>
      </c>
      <c r="B5" s="5">
        <v>2</v>
      </c>
      <c r="C5" s="5">
        <v>1</v>
      </c>
      <c r="D5" s="5">
        <v>0</v>
      </c>
      <c r="E5" s="62">
        <v>0</v>
      </c>
      <c r="H5" s="5" t="s">
        <v>6</v>
      </c>
      <c r="I5" s="5">
        <f>COUNTIFS(B2:B9,2,E2:E9,1)</f>
        <v>0</v>
      </c>
      <c r="J5" s="5">
        <f>COUNTIFS(B2:B9,2,E2:E9,0)</f>
        <v>3</v>
      </c>
      <c r="K5" s="5">
        <f>SUM(I5:J5)</f>
        <v>3</v>
      </c>
      <c r="L5" s="63">
        <f>-(J5/$J$2)*LOG(J5/$J$2,2)</f>
        <v>0.44217935649972373</v>
      </c>
    </row>
    <row r="6" spans="1:12" x14ac:dyDescent="0.3">
      <c r="A6" s="5">
        <v>5</v>
      </c>
      <c r="B6" s="5">
        <v>4</v>
      </c>
      <c r="C6" s="5">
        <v>1</v>
      </c>
      <c r="D6" s="5">
        <v>1</v>
      </c>
      <c r="E6" s="62">
        <v>1</v>
      </c>
      <c r="H6" s="5" t="s">
        <v>7</v>
      </c>
      <c r="I6" s="5">
        <f>COUNTIFS(B2:B9,3,E2:E9,1)</f>
        <v>1</v>
      </c>
      <c r="J6" s="5">
        <f>COUNTIFS(B2:B9,3,E2:E9,0)</f>
        <v>2</v>
      </c>
      <c r="K6" s="5">
        <f t="shared" ref="K6:K11" si="0">SUM(I6:J6)</f>
        <v>3</v>
      </c>
      <c r="L6" s="63">
        <f>-(I6/$I$2)*LOG(I6/$I$2,2)-(J6/$J$2)*LOG(J6/$J$2,2)</f>
        <v>1.0570920715286636</v>
      </c>
    </row>
    <row r="7" spans="1:12" x14ac:dyDescent="0.3">
      <c r="A7" s="5">
        <v>6</v>
      </c>
      <c r="B7" s="5">
        <v>3</v>
      </c>
      <c r="C7" s="5">
        <v>0</v>
      </c>
      <c r="D7" s="5">
        <v>0</v>
      </c>
      <c r="E7" s="62">
        <v>0</v>
      </c>
      <c r="H7" s="5" t="s">
        <v>8</v>
      </c>
      <c r="I7" s="5">
        <f>COUNTIFS(B2:B9,4,E2:E9,1)</f>
        <v>2</v>
      </c>
      <c r="J7" s="5">
        <f>COUNTIFS(B2:B9,4,E2:E9,0)</f>
        <v>0</v>
      </c>
      <c r="K7" s="5">
        <f t="shared" si="0"/>
        <v>2</v>
      </c>
      <c r="L7" s="63">
        <f>-(I7/$I$2)*LOG(I7/$I$2,2)</f>
        <v>0.38997500048077083</v>
      </c>
    </row>
    <row r="8" spans="1:12" x14ac:dyDescent="0.3">
      <c r="A8" s="5">
        <v>7</v>
      </c>
      <c r="B8" s="5">
        <v>2</v>
      </c>
      <c r="C8" s="5">
        <v>0</v>
      </c>
      <c r="D8" s="5">
        <v>1</v>
      </c>
      <c r="E8" s="62">
        <v>0</v>
      </c>
      <c r="H8" s="5" t="s">
        <v>10</v>
      </c>
      <c r="I8" s="5">
        <f>COUNTIFS(B2:B9,0,E2:E9,1)</f>
        <v>0</v>
      </c>
      <c r="J8" s="5">
        <f>COUNTIFS(C2:C9,0,E2:E9,0)</f>
        <v>4</v>
      </c>
      <c r="K8" s="5">
        <f t="shared" si="0"/>
        <v>4</v>
      </c>
      <c r="L8" s="63">
        <f>-(J8/$J$2)*LOG(J8/$J$2,2)</f>
        <v>0.25754247590988982</v>
      </c>
    </row>
    <row r="9" spans="1:12" x14ac:dyDescent="0.3">
      <c r="A9" s="5">
        <v>8</v>
      </c>
      <c r="B9" s="5">
        <v>4</v>
      </c>
      <c r="C9" s="5">
        <v>1</v>
      </c>
      <c r="D9" s="5">
        <v>0</v>
      </c>
      <c r="E9" s="62">
        <v>1</v>
      </c>
      <c r="H9" s="5" t="s">
        <v>9</v>
      </c>
      <c r="I9" s="5">
        <f>COUNTIFS(C2:C9,1,E2:E9,1)</f>
        <v>3</v>
      </c>
      <c r="J9" s="5">
        <f>COUNTIFS(C2:C9,1,E2:E9,0)</f>
        <v>1</v>
      </c>
      <c r="K9" s="5">
        <f t="shared" si="0"/>
        <v>4</v>
      </c>
      <c r="L9" s="63">
        <f>-(I9/$I$2)*LOG(I9/$I$2,2)-(J9/$J$2)*LOG(J9/$J$2,2)</f>
        <v>0.46438561897747244</v>
      </c>
    </row>
    <row r="10" spans="1:12" x14ac:dyDescent="0.3">
      <c r="H10" s="5" t="s">
        <v>11</v>
      </c>
      <c r="I10" s="5">
        <f>COUNTIFS(D2:D9,0,E2:E9,1)</f>
        <v>1</v>
      </c>
      <c r="J10" s="5">
        <f>COUNTIFS(D2:D9,0,E2:E9,0)</f>
        <v>3</v>
      </c>
      <c r="K10" s="5">
        <f t="shared" si="0"/>
        <v>4</v>
      </c>
      <c r="L10" s="63">
        <f>-(I10/$I$2)*LOG(I10/$I$2,2)-(J10/$J$2)*LOG(J10/$J$2,2)</f>
        <v>0.97050019007344246</v>
      </c>
    </row>
    <row r="11" spans="1:12" x14ac:dyDescent="0.3">
      <c r="H11" s="5" t="s">
        <v>12</v>
      </c>
      <c r="I11" s="5">
        <f>COUNTIFS(D2:D9,1,E2:E9,1)</f>
        <v>2</v>
      </c>
      <c r="J11" s="5">
        <f>COUNTIFS(D2:D9,1,E2:E9,0)</f>
        <v>2</v>
      </c>
      <c r="K11" s="5">
        <f t="shared" si="0"/>
        <v>4</v>
      </c>
      <c r="L11" s="63">
        <f>-(I11/$I$2)*LOG(I11/$I$2,2)-(J11/$J$2)*LOG(J11/$J$2,2)</f>
        <v>0.91874623843571568</v>
      </c>
    </row>
    <row r="13" spans="1:12" x14ac:dyDescent="0.3">
      <c r="G13" s="5" t="s">
        <v>18</v>
      </c>
      <c r="H13" s="62" t="s">
        <v>14</v>
      </c>
    </row>
    <row r="14" spans="1:12" x14ac:dyDescent="0.3">
      <c r="H14" s="5" t="s">
        <v>1</v>
      </c>
      <c r="I14" s="63">
        <f>L2-(K5/K2)*L5-(K6/K2)*L6-(K7/K2)*L7</f>
        <v>0.29471346729412706</v>
      </c>
    </row>
    <row r="15" spans="1:12" x14ac:dyDescent="0.3">
      <c r="H15" s="62" t="s">
        <v>2</v>
      </c>
      <c r="I15" s="64">
        <f>L2-(K8/K2)*L8-(K9/K2)*L9</f>
        <v>0.59346995548128378</v>
      </c>
    </row>
    <row r="16" spans="1:12" x14ac:dyDescent="0.3">
      <c r="H16" s="5" t="s">
        <v>3</v>
      </c>
      <c r="I16" s="63">
        <f>L2-(K10/K2)*L10-(K11/K2)*L11</f>
        <v>9.8107886703858727E-3</v>
      </c>
    </row>
    <row r="18" spans="1:16" x14ac:dyDescent="0.3">
      <c r="G18" s="62" t="s">
        <v>19</v>
      </c>
      <c r="H18" s="5" t="s">
        <v>20</v>
      </c>
    </row>
    <row r="20" spans="1:16" x14ac:dyDescent="0.3">
      <c r="A20" s="5" t="s">
        <v>246</v>
      </c>
      <c r="B20" s="5" t="s">
        <v>247</v>
      </c>
    </row>
    <row r="21" spans="1:16" x14ac:dyDescent="0.3">
      <c r="A21" s="5" t="s">
        <v>240</v>
      </c>
      <c r="B21" s="5">
        <v>3</v>
      </c>
      <c r="I21" s="62" t="s">
        <v>240</v>
      </c>
      <c r="J21" s="62" t="s">
        <v>82</v>
      </c>
      <c r="K21" s="62" t="s">
        <v>241</v>
      </c>
      <c r="L21" s="62" t="s">
        <v>242</v>
      </c>
      <c r="M21" s="62" t="s">
        <v>243</v>
      </c>
      <c r="N21" s="62" t="s">
        <v>244</v>
      </c>
      <c r="O21" s="62" t="s">
        <v>13</v>
      </c>
      <c r="P21" s="62" t="s">
        <v>5</v>
      </c>
    </row>
    <row r="22" spans="1:16" x14ac:dyDescent="0.3">
      <c r="A22" s="5" t="s">
        <v>82</v>
      </c>
      <c r="B22" s="5">
        <v>1</v>
      </c>
      <c r="G22" s="5" t="s">
        <v>16</v>
      </c>
      <c r="H22" s="62" t="s">
        <v>248</v>
      </c>
      <c r="I22" s="65">
        <v>3</v>
      </c>
      <c r="J22" s="65">
        <v>1</v>
      </c>
      <c r="K22" s="65">
        <v>1</v>
      </c>
      <c r="L22" s="65">
        <v>1</v>
      </c>
      <c r="M22" s="65">
        <v>1</v>
      </c>
      <c r="N22" s="65">
        <v>1</v>
      </c>
      <c r="O22" s="5">
        <f>SUM(I22:N22)</f>
        <v>8</v>
      </c>
      <c r="P22" s="66"/>
    </row>
    <row r="23" spans="1:16" x14ac:dyDescent="0.3">
      <c r="A23" s="5" t="s">
        <v>241</v>
      </c>
      <c r="B23" s="5">
        <v>1</v>
      </c>
      <c r="H23" s="5" t="s">
        <v>249</v>
      </c>
      <c r="I23" s="66">
        <f>-(I22/$O$22)*LOG(I22/$O$22,2)</f>
        <v>0.53063906222956636</v>
      </c>
      <c r="J23" s="66">
        <f>-(J22/$O$22)*LOG(J22/$O$22,2)</f>
        <v>0.375</v>
      </c>
      <c r="K23" s="66">
        <f t="shared" ref="K23:N23" si="1">-(K22/$O$22)*LOG(K22/$O$22,2)</f>
        <v>0.375</v>
      </c>
      <c r="L23" s="66">
        <f t="shared" si="1"/>
        <v>0.375</v>
      </c>
      <c r="M23" s="66">
        <f t="shared" si="1"/>
        <v>0.375</v>
      </c>
      <c r="N23" s="66">
        <f t="shared" si="1"/>
        <v>0.375</v>
      </c>
      <c r="P23" s="66">
        <f>SUM(I23:N23)</f>
        <v>2.4056390622295662</v>
      </c>
    </row>
    <row r="24" spans="1:16" x14ac:dyDescent="0.3">
      <c r="A24" s="5" t="s">
        <v>242</v>
      </c>
      <c r="B24" s="5">
        <v>1</v>
      </c>
      <c r="I24" s="62"/>
      <c r="J24" s="62"/>
      <c r="K24" s="62"/>
      <c r="L24" s="62"/>
      <c r="M24" s="62"/>
      <c r="N24" s="62"/>
      <c r="O24" s="62"/>
    </row>
    <row r="25" spans="1:16" x14ac:dyDescent="0.3">
      <c r="A25" s="5" t="s">
        <v>243</v>
      </c>
      <c r="B25" s="5">
        <v>1</v>
      </c>
      <c r="I25" s="62" t="s">
        <v>240</v>
      </c>
      <c r="J25" s="62" t="s">
        <v>82</v>
      </c>
      <c r="K25" s="62" t="s">
        <v>241</v>
      </c>
      <c r="L25" s="62" t="s">
        <v>242</v>
      </c>
      <c r="M25" s="62" t="s">
        <v>243</v>
      </c>
      <c r="N25" s="62" t="s">
        <v>244</v>
      </c>
      <c r="O25" s="62" t="s">
        <v>13</v>
      </c>
      <c r="P25" s="62" t="s">
        <v>5</v>
      </c>
    </row>
    <row r="26" spans="1:16" x14ac:dyDescent="0.3">
      <c r="A26" s="5" t="s">
        <v>244</v>
      </c>
      <c r="B26" s="5">
        <v>1</v>
      </c>
      <c r="G26" s="5" t="s">
        <v>17</v>
      </c>
      <c r="H26" s="62" t="s">
        <v>248</v>
      </c>
      <c r="I26" s="65">
        <v>0</v>
      </c>
      <c r="J26" s="65">
        <v>1</v>
      </c>
      <c r="K26" s="65">
        <v>1</v>
      </c>
      <c r="L26" s="65">
        <v>1</v>
      </c>
      <c r="M26" s="65">
        <v>1</v>
      </c>
      <c r="N26" s="65">
        <v>1</v>
      </c>
      <c r="O26" s="5">
        <f>SUM(I26:N26)</f>
        <v>5</v>
      </c>
      <c r="P26" s="66"/>
    </row>
    <row r="27" spans="1:16" x14ac:dyDescent="0.3">
      <c r="H27" s="5" t="s">
        <v>250</v>
      </c>
      <c r="I27" s="66"/>
      <c r="J27" s="66">
        <f>-(J26/$O$22)*LOG(J26/$O$22,2)</f>
        <v>0.375</v>
      </c>
      <c r="K27" s="66">
        <f t="shared" ref="K27" si="2">-(K26/$O$22)*LOG(K26/$O$22,2)</f>
        <v>0.375</v>
      </c>
      <c r="L27" s="66">
        <f t="shared" ref="L27" si="3">-(L26/$O$22)*LOG(L26/$O$22,2)</f>
        <v>0.375</v>
      </c>
      <c r="M27" s="66">
        <f t="shared" ref="M27" si="4">-(M26/$O$22)*LOG(M26/$O$22,2)</f>
        <v>0.375</v>
      </c>
      <c r="N27" s="66">
        <f t="shared" ref="N27" si="5">-(N26/$O$22)*LOG(N26/$O$22,2)</f>
        <v>0.375</v>
      </c>
      <c r="P27" s="66">
        <f>SUM(J27:N27)</f>
        <v>1.875</v>
      </c>
    </row>
    <row r="29" spans="1:16" x14ac:dyDescent="0.3">
      <c r="O29" s="5" t="s">
        <v>251</v>
      </c>
      <c r="P29" s="67">
        <f>P23-P27</f>
        <v>0.53063906222956625</v>
      </c>
    </row>
    <row r="30" spans="1:16" x14ac:dyDescent="0.3">
      <c r="A30" s="5" t="s">
        <v>215</v>
      </c>
      <c r="B30" s="5" t="s">
        <v>252</v>
      </c>
      <c r="C30" s="5" t="s">
        <v>253</v>
      </c>
      <c r="D30" s="5" t="s">
        <v>255</v>
      </c>
      <c r="E30" s="5" t="s">
        <v>254</v>
      </c>
      <c r="I30" s="62">
        <v>1</v>
      </c>
      <c r="J30" s="62">
        <v>0</v>
      </c>
      <c r="K30" s="62" t="s">
        <v>13</v>
      </c>
      <c r="L30" s="62" t="s">
        <v>5</v>
      </c>
    </row>
    <row r="31" spans="1:16" x14ac:dyDescent="0.3">
      <c r="A31" s="5">
        <v>1</v>
      </c>
      <c r="B31" s="5" t="b">
        <v>0</v>
      </c>
      <c r="C31" s="5" t="b">
        <v>1</v>
      </c>
      <c r="D31" s="5" t="b">
        <v>0</v>
      </c>
      <c r="E31" s="5" t="b">
        <v>1</v>
      </c>
      <c r="G31" s="5" t="s">
        <v>16</v>
      </c>
      <c r="H31" s="62" t="s">
        <v>256</v>
      </c>
      <c r="I31" s="5">
        <v>3</v>
      </c>
      <c r="J31" s="5">
        <v>3</v>
      </c>
      <c r="K31" s="5">
        <f>I31+J31</f>
        <v>6</v>
      </c>
      <c r="L31" s="63">
        <f>-(I31/K31)*LOG(I31/K31,2)-(J31/K31)*LOG(J31/K31,2)</f>
        <v>1</v>
      </c>
    </row>
    <row r="32" spans="1:16" x14ac:dyDescent="0.3">
      <c r="A32" s="5">
        <v>2</v>
      </c>
      <c r="B32" s="5" t="b">
        <v>0</v>
      </c>
      <c r="C32" s="5" t="b">
        <v>0</v>
      </c>
      <c r="D32" s="5" t="b">
        <v>0</v>
      </c>
      <c r="E32" s="5" t="b">
        <v>0</v>
      </c>
    </row>
    <row r="33" spans="1:14" x14ac:dyDescent="0.3">
      <c r="A33" s="5">
        <v>3</v>
      </c>
      <c r="B33" s="5" t="b">
        <v>0</v>
      </c>
      <c r="C33" s="5" t="b">
        <v>1</v>
      </c>
      <c r="D33" s="5" t="b">
        <v>0</v>
      </c>
      <c r="E33" s="5" t="b">
        <v>1</v>
      </c>
      <c r="G33" s="5" t="s">
        <v>17</v>
      </c>
      <c r="H33" s="62" t="s">
        <v>276</v>
      </c>
      <c r="I33" s="62">
        <v>1</v>
      </c>
      <c r="J33" s="62">
        <v>0</v>
      </c>
      <c r="K33" s="62" t="s">
        <v>13</v>
      </c>
      <c r="L33" s="62" t="s">
        <v>15</v>
      </c>
    </row>
    <row r="34" spans="1:14" x14ac:dyDescent="0.3">
      <c r="A34" s="5">
        <v>4</v>
      </c>
      <c r="B34" s="5" t="b">
        <v>1</v>
      </c>
      <c r="C34" s="5" t="b">
        <v>0</v>
      </c>
      <c r="D34" s="5" t="b">
        <v>0</v>
      </c>
      <c r="E34" s="5" t="b">
        <v>0</v>
      </c>
      <c r="H34" s="5" t="s">
        <v>252</v>
      </c>
      <c r="I34" s="5">
        <v>3</v>
      </c>
      <c r="J34" s="5">
        <v>3</v>
      </c>
      <c r="K34" s="5">
        <f>I34+J34</f>
        <v>6</v>
      </c>
      <c r="L34" s="63">
        <f>-(I34/$K$31)*LOG(I34/$K$31,2)-(J34/$K$31)*LOG(J34/$K$31,2)</f>
        <v>1</v>
      </c>
    </row>
    <row r="35" spans="1:14" x14ac:dyDescent="0.3">
      <c r="A35" s="5">
        <v>5</v>
      </c>
      <c r="B35" s="5" t="b">
        <v>1</v>
      </c>
      <c r="C35" s="5" t="b">
        <v>0</v>
      </c>
      <c r="D35" s="5" t="b">
        <v>1</v>
      </c>
      <c r="E35" s="5" t="b">
        <v>1</v>
      </c>
      <c r="H35" s="5" t="s">
        <v>253</v>
      </c>
      <c r="I35" s="5">
        <v>2</v>
      </c>
      <c r="J35" s="5">
        <v>4</v>
      </c>
      <c r="K35" s="5">
        <f>I35+J35</f>
        <v>6</v>
      </c>
      <c r="L35" s="63">
        <f>-(I35/$K$31)*LOG(I35/$K$31,2)-(J35/$K$31)*LOG(J35/$K$31,2)</f>
        <v>0.91829583405448956</v>
      </c>
    </row>
    <row r="36" spans="1:14" x14ac:dyDescent="0.3">
      <c r="A36" s="5">
        <v>6</v>
      </c>
      <c r="B36" s="5" t="b">
        <v>1</v>
      </c>
      <c r="C36" s="5" t="b">
        <v>0</v>
      </c>
      <c r="D36" s="5" t="b">
        <v>0</v>
      </c>
      <c r="E36" s="5" t="b">
        <v>0</v>
      </c>
      <c r="H36" s="5" t="s">
        <v>255</v>
      </c>
      <c r="I36" s="5">
        <v>1</v>
      </c>
      <c r="J36" s="5">
        <v>5</v>
      </c>
      <c r="K36" s="5">
        <f>I36+J36</f>
        <v>6</v>
      </c>
      <c r="L36" s="63">
        <f>-(I36/$K$31)*LOG(I36/$K$31,2)-(J36/$K$31)*LOG(J36/$K$31,2)</f>
        <v>0.65002242164835411</v>
      </c>
    </row>
    <row r="38" spans="1:14" x14ac:dyDescent="0.3">
      <c r="G38" s="5" t="s">
        <v>18</v>
      </c>
      <c r="H38" s="62" t="s">
        <v>14</v>
      </c>
    </row>
    <row r="39" spans="1:14" x14ac:dyDescent="0.3">
      <c r="H39" s="5" t="s">
        <v>252</v>
      </c>
      <c r="I39" s="63">
        <f>$L$31-(K34/$K$31)*L34</f>
        <v>0</v>
      </c>
    </row>
    <row r="40" spans="1:14" x14ac:dyDescent="0.3">
      <c r="H40" s="5" t="s">
        <v>253</v>
      </c>
      <c r="I40" s="63">
        <f t="shared" ref="I40:I41" si="6">$L$31-(K35/$K$31)*L35</f>
        <v>8.1704165945510443E-2</v>
      </c>
    </row>
    <row r="41" spans="1:14" x14ac:dyDescent="0.3">
      <c r="H41" s="62" t="s">
        <v>255</v>
      </c>
      <c r="I41" s="64">
        <f t="shared" si="6"/>
        <v>0.34997757835164589</v>
      </c>
    </row>
    <row r="43" spans="1:14" x14ac:dyDescent="0.3">
      <c r="G43" s="62" t="s">
        <v>19</v>
      </c>
      <c r="H43" s="5" t="s">
        <v>257</v>
      </c>
    </row>
    <row r="46" spans="1:14" x14ac:dyDescent="0.3">
      <c r="I46" s="62" t="s">
        <v>272</v>
      </c>
      <c r="J46" s="62" t="s">
        <v>271</v>
      </c>
      <c r="K46" s="62" t="s">
        <v>273</v>
      </c>
      <c r="L46" s="62" t="s">
        <v>13</v>
      </c>
      <c r="M46" s="62" t="s">
        <v>5</v>
      </c>
    </row>
    <row r="47" spans="1:14" x14ac:dyDescent="0.3">
      <c r="A47" s="62" t="s">
        <v>215</v>
      </c>
      <c r="B47" s="62" t="s">
        <v>218</v>
      </c>
      <c r="C47" s="62" t="s">
        <v>258</v>
      </c>
      <c r="D47" s="62" t="s">
        <v>259</v>
      </c>
      <c r="E47" s="62" t="s">
        <v>216</v>
      </c>
      <c r="F47" s="62" t="s">
        <v>260</v>
      </c>
      <c r="G47" s="5" t="s">
        <v>16</v>
      </c>
      <c r="H47" s="62" t="s">
        <v>274</v>
      </c>
      <c r="I47" s="5">
        <v>2</v>
      </c>
      <c r="J47" s="5">
        <v>5</v>
      </c>
      <c r="K47" s="5">
        <v>1</v>
      </c>
      <c r="L47" s="5">
        <f>SUM(I47:K47)</f>
        <v>8</v>
      </c>
      <c r="M47" s="68">
        <f>-(I47/$L$47)*LOG(I47/$L$47,2)-(J47/$L$47)*LOG(J47/$L$47,2)-(K47/$L$47)*LOG(K47/$L$47,2)</f>
        <v>1.2987949406953985</v>
      </c>
      <c r="N47" s="5">
        <f>1-((I47/$L$47)^2+(J47/$L$47)^2+(K47/$L$47)^2)</f>
        <v>0.53125</v>
      </c>
    </row>
    <row r="48" spans="1:14" x14ac:dyDescent="0.3">
      <c r="A48" s="5">
        <v>1</v>
      </c>
      <c r="B48" s="5">
        <v>39</v>
      </c>
      <c r="C48" s="5" t="s">
        <v>261</v>
      </c>
      <c r="D48" s="5" t="s">
        <v>264</v>
      </c>
      <c r="E48" s="5" t="s">
        <v>267</v>
      </c>
      <c r="F48" s="5" t="s">
        <v>271</v>
      </c>
    </row>
    <row r="49" spans="1:13" x14ac:dyDescent="0.3">
      <c r="A49" s="5">
        <v>2</v>
      </c>
      <c r="B49" s="5">
        <v>50</v>
      </c>
      <c r="C49" s="5" t="s">
        <v>261</v>
      </c>
      <c r="D49" s="5" t="s">
        <v>265</v>
      </c>
      <c r="E49" s="5" t="s">
        <v>268</v>
      </c>
      <c r="F49" s="5" t="s">
        <v>271</v>
      </c>
      <c r="G49" s="5" t="s">
        <v>17</v>
      </c>
      <c r="H49" s="62" t="s">
        <v>275</v>
      </c>
    </row>
    <row r="50" spans="1:13" x14ac:dyDescent="0.3">
      <c r="A50" s="5">
        <v>3</v>
      </c>
      <c r="B50" s="5">
        <v>18</v>
      </c>
      <c r="C50" s="5" t="s">
        <v>262</v>
      </c>
      <c r="D50" s="5" t="s">
        <v>264</v>
      </c>
      <c r="E50" s="5" t="s">
        <v>269</v>
      </c>
      <c r="F50" s="5" t="s">
        <v>272</v>
      </c>
      <c r="H50" s="5" t="s">
        <v>262</v>
      </c>
      <c r="I50" s="5">
        <v>2</v>
      </c>
      <c r="J50" s="5">
        <v>2</v>
      </c>
      <c r="K50" s="5">
        <v>0</v>
      </c>
      <c r="L50" s="5">
        <f>SUM(I50:K50)</f>
        <v>4</v>
      </c>
      <c r="M50" s="68">
        <f>-(I50/$L$47)*LOG(I50/$L$47,2)-(J50/$L$47)*LOG(J50/$L$47,2)</f>
        <v>1</v>
      </c>
    </row>
    <row r="51" spans="1:13" x14ac:dyDescent="0.3">
      <c r="A51" s="5">
        <v>4</v>
      </c>
      <c r="B51" s="5">
        <v>28</v>
      </c>
      <c r="C51" s="5" t="s">
        <v>261</v>
      </c>
      <c r="D51" s="5" t="s">
        <v>265</v>
      </c>
      <c r="E51" s="5" t="s">
        <v>268</v>
      </c>
      <c r="F51" s="5" t="s">
        <v>271</v>
      </c>
      <c r="H51" s="5" t="s">
        <v>261</v>
      </c>
      <c r="I51" s="5">
        <v>0</v>
      </c>
      <c r="J51" s="5">
        <v>3</v>
      </c>
      <c r="K51" s="5">
        <v>0</v>
      </c>
      <c r="L51" s="5">
        <f t="shared" ref="L51:L59" si="7">SUM(I51:K51)</f>
        <v>3</v>
      </c>
      <c r="M51" s="68">
        <f>-(J51/$L$47)*LOG(J51/$L$47,2)</f>
        <v>0.53063906222956636</v>
      </c>
    </row>
    <row r="52" spans="1:13" x14ac:dyDescent="0.3">
      <c r="A52" s="5">
        <v>5</v>
      </c>
      <c r="B52" s="5">
        <v>37</v>
      </c>
      <c r="C52" s="5" t="s">
        <v>262</v>
      </c>
      <c r="D52" s="5" t="s">
        <v>265</v>
      </c>
      <c r="E52" s="5" t="s">
        <v>269</v>
      </c>
      <c r="F52" s="5" t="s">
        <v>271</v>
      </c>
      <c r="H52" s="5" t="s">
        <v>263</v>
      </c>
      <c r="I52" s="5">
        <v>0</v>
      </c>
      <c r="J52" s="5">
        <v>0</v>
      </c>
      <c r="K52" s="5">
        <v>1</v>
      </c>
      <c r="L52" s="5">
        <f t="shared" si="7"/>
        <v>1</v>
      </c>
      <c r="M52" s="68">
        <f>-(K52/$L$47)*LOG(K52/$L$47,2)</f>
        <v>0.375</v>
      </c>
    </row>
    <row r="53" spans="1:13" x14ac:dyDescent="0.3">
      <c r="A53" s="5">
        <v>6</v>
      </c>
      <c r="B53" s="5">
        <v>24</v>
      </c>
      <c r="C53" s="5" t="s">
        <v>262</v>
      </c>
      <c r="D53" s="5" t="s">
        <v>264</v>
      </c>
      <c r="E53" s="5" t="s">
        <v>270</v>
      </c>
      <c r="F53" s="5" t="s">
        <v>272</v>
      </c>
      <c r="H53" s="5" t="s">
        <v>264</v>
      </c>
      <c r="I53" s="5">
        <v>2</v>
      </c>
      <c r="J53" s="5">
        <v>1</v>
      </c>
      <c r="K53" s="5">
        <v>0</v>
      </c>
      <c r="L53" s="5">
        <f t="shared" si="7"/>
        <v>3</v>
      </c>
      <c r="M53" s="68">
        <f>-(I53/$L$47)*LOG(I53/$L$47,2)-(J53/$L$47)*LOG(J53/$L$47,2)</f>
        <v>0.875</v>
      </c>
    </row>
    <row r="54" spans="1:13" x14ac:dyDescent="0.3">
      <c r="A54" s="5">
        <v>7</v>
      </c>
      <c r="B54" s="5">
        <v>52</v>
      </c>
      <c r="C54" s="5" t="s">
        <v>262</v>
      </c>
      <c r="D54" s="5" t="s">
        <v>266</v>
      </c>
      <c r="E54" s="5" t="s">
        <v>267</v>
      </c>
      <c r="F54" s="5" t="s">
        <v>271</v>
      </c>
      <c r="H54" s="5" t="s">
        <v>265</v>
      </c>
      <c r="I54" s="5">
        <v>0</v>
      </c>
      <c r="J54" s="5">
        <v>3</v>
      </c>
      <c r="K54" s="5">
        <v>1</v>
      </c>
      <c r="L54" s="5">
        <f t="shared" si="7"/>
        <v>4</v>
      </c>
      <c r="M54" s="68">
        <f>-(J54/$L$47)*LOG(J54/$L$47,2)-(K54/$L$47)*LOG(K54/$L$47,2)</f>
        <v>0.90563906222956636</v>
      </c>
    </row>
    <row r="55" spans="1:13" x14ac:dyDescent="0.3">
      <c r="A55" s="5">
        <v>8</v>
      </c>
      <c r="B55" s="5">
        <v>40</v>
      </c>
      <c r="C55" s="5" t="s">
        <v>263</v>
      </c>
      <c r="D55" s="5" t="s">
        <v>265</v>
      </c>
      <c r="E55" s="5" t="s">
        <v>268</v>
      </c>
      <c r="F55" s="5" t="s">
        <v>273</v>
      </c>
      <c r="H55" s="5" t="s">
        <v>266</v>
      </c>
      <c r="I55" s="5">
        <v>0</v>
      </c>
      <c r="J55" s="5">
        <v>1</v>
      </c>
      <c r="K55" s="5">
        <v>0</v>
      </c>
      <c r="L55" s="5">
        <f t="shared" si="7"/>
        <v>1</v>
      </c>
      <c r="M55" s="68">
        <f>-(J55/$L$47)*LOG(J55/$L$47,2)</f>
        <v>0.375</v>
      </c>
    </row>
    <row r="56" spans="1:13" x14ac:dyDescent="0.3">
      <c r="H56" s="5" t="s">
        <v>267</v>
      </c>
      <c r="I56" s="5">
        <v>0</v>
      </c>
      <c r="J56" s="5">
        <v>2</v>
      </c>
      <c r="K56" s="5">
        <v>0</v>
      </c>
      <c r="L56" s="5">
        <f t="shared" si="7"/>
        <v>2</v>
      </c>
      <c r="M56" s="68">
        <f>-(J56/$L$47)*LOG(J56/$L$47,2)</f>
        <v>0.5</v>
      </c>
    </row>
    <row r="57" spans="1:13" x14ac:dyDescent="0.3">
      <c r="H57" s="5" t="s">
        <v>268</v>
      </c>
      <c r="I57" s="5">
        <v>0</v>
      </c>
      <c r="J57" s="5">
        <v>2</v>
      </c>
      <c r="K57" s="5">
        <v>1</v>
      </c>
      <c r="L57" s="5">
        <f t="shared" si="7"/>
        <v>3</v>
      </c>
      <c r="M57" s="68">
        <f>-(J57/$L$47)*LOG(J57/$L$47,2)-(K57/$L$47)*LOG(K57/$L$47,2)</f>
        <v>0.875</v>
      </c>
    </row>
    <row r="58" spans="1:13" x14ac:dyDescent="0.3">
      <c r="H58" s="5" t="s">
        <v>269</v>
      </c>
      <c r="I58" s="5">
        <v>1</v>
      </c>
      <c r="J58" s="5">
        <v>1</v>
      </c>
      <c r="K58" s="5">
        <v>0</v>
      </c>
      <c r="L58" s="5">
        <f t="shared" si="7"/>
        <v>2</v>
      </c>
      <c r="M58" s="68">
        <f>-(I58/$L$47)*LOG(I58/$L$47,2)-(J58/$L$47)*LOG(J58/$L$47,2)</f>
        <v>0.75</v>
      </c>
    </row>
    <row r="59" spans="1:13" x14ac:dyDescent="0.3">
      <c r="H59" s="5" t="s">
        <v>270</v>
      </c>
      <c r="I59" s="5">
        <v>1</v>
      </c>
      <c r="J59" s="5">
        <v>0</v>
      </c>
      <c r="K59" s="5">
        <v>0</v>
      </c>
      <c r="L59" s="5">
        <f t="shared" si="7"/>
        <v>1</v>
      </c>
      <c r="M59" s="68">
        <f>-(I59/$L$47)*LOG(I59/$L$47,2)</f>
        <v>0.375</v>
      </c>
    </row>
    <row r="61" spans="1:13" x14ac:dyDescent="0.3">
      <c r="G61" s="5" t="s">
        <v>18</v>
      </c>
      <c r="H61" s="62" t="s">
        <v>278</v>
      </c>
      <c r="I61" s="5" t="s">
        <v>280</v>
      </c>
      <c r="J61" s="5" t="s">
        <v>281</v>
      </c>
      <c r="K61" s="62" t="s">
        <v>279</v>
      </c>
    </row>
    <row r="62" spans="1:13" x14ac:dyDescent="0.3">
      <c r="H62" s="65" t="s">
        <v>258</v>
      </c>
      <c r="I62" s="63">
        <f>M47-(L50/L47)*M50-(L51/L47)*M51-(L52/L47)*M52</f>
        <v>0.55293029235931113</v>
      </c>
      <c r="J62" s="5">
        <f>I62/$M$47</f>
        <v>0.42572562845314299</v>
      </c>
      <c r="K62" s="5">
        <f>1-((L50/$L$47)^2+(L51/$L$47)^2+(L52/$L$47)^2)</f>
        <v>0.59375</v>
      </c>
    </row>
    <row r="63" spans="1:13" x14ac:dyDescent="0.3">
      <c r="H63" s="65" t="s">
        <v>259</v>
      </c>
      <c r="I63" s="5">
        <f>M47-(L53/L47)*M53-(L54/L47)*M54-(L55/L47)*M55</f>
        <v>0.47097540958061535</v>
      </c>
      <c r="J63" s="5">
        <f t="shared" ref="J63:J64" si="8">I63/$M$47</f>
        <v>0.36262491854830181</v>
      </c>
      <c r="K63" s="5">
        <f>1-((L53/$L$47)^2+(L54/$L$47)^2+(L55/$L$47)^2)</f>
        <v>0.59375</v>
      </c>
    </row>
    <row r="64" spans="1:13" x14ac:dyDescent="0.3">
      <c r="H64" s="62" t="s">
        <v>216</v>
      </c>
      <c r="I64" s="64">
        <f>M47-(L57/L47)*M57-(L58/L47)*M58-(L59/L47)*M59</f>
        <v>0.73629494069539847</v>
      </c>
      <c r="J64" s="62">
        <f t="shared" si="8"/>
        <v>0.566906227938625</v>
      </c>
      <c r="K64" s="62">
        <f>1-((L57/$L$47)^2+(L58/$L$47)^2+(L59/$L$47)^2)</f>
        <v>0.78125</v>
      </c>
    </row>
    <row r="66" spans="7:8" x14ac:dyDescent="0.3">
      <c r="G66" s="62" t="s">
        <v>19</v>
      </c>
      <c r="H66" s="5" t="s">
        <v>277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C90E-CF04-4455-B005-A12627A60592}">
  <dimension ref="A1:AG52"/>
  <sheetViews>
    <sheetView topLeftCell="K1" zoomScale="70" zoomScaleNormal="70" workbookViewId="0">
      <selection activeCell="T21" sqref="T21"/>
    </sheetView>
  </sheetViews>
  <sheetFormatPr defaultColWidth="8.6640625" defaultRowHeight="14.4" x14ac:dyDescent="0.3"/>
  <cols>
    <col min="1" max="1" width="7.21875" bestFit="1" customWidth="1"/>
    <col min="2" max="2" width="4.88671875" bestFit="1" customWidth="1"/>
    <col min="3" max="3" width="7.109375" bestFit="1" customWidth="1"/>
    <col min="4" max="4" width="6" bestFit="1" customWidth="1"/>
    <col min="5" max="5" width="10" bestFit="1" customWidth="1"/>
    <col min="6" max="6" width="8.88671875" bestFit="1" customWidth="1"/>
    <col min="8" max="8" width="6.6640625" bestFit="1" customWidth="1"/>
    <col min="9" max="9" width="29.33203125" bestFit="1" customWidth="1"/>
    <col min="10" max="11" width="7.109375" bestFit="1" customWidth="1"/>
    <col min="12" max="13" width="2.21875" bestFit="1" customWidth="1"/>
    <col min="14" max="14" width="10.21875" bestFit="1" customWidth="1"/>
    <col min="15" max="15" width="10.109375" bestFit="1" customWidth="1"/>
    <col min="16" max="16" width="6.109375" bestFit="1" customWidth="1"/>
    <col min="17" max="17" width="6.44140625" bestFit="1" customWidth="1"/>
    <col min="18" max="18" width="6.6640625" bestFit="1" customWidth="1"/>
    <col min="19" max="19" width="41.21875" bestFit="1" customWidth="1"/>
    <col min="20" max="20" width="22.21875" bestFit="1" customWidth="1"/>
    <col min="21" max="21" width="6.33203125" bestFit="1" customWidth="1"/>
    <col min="22" max="22" width="6.44140625" bestFit="1" customWidth="1"/>
    <col min="26" max="26" width="31.109375" bestFit="1" customWidth="1"/>
    <col min="27" max="27" width="9.44140625" bestFit="1" customWidth="1"/>
    <col min="28" max="28" width="10.21875" bestFit="1" customWidth="1"/>
    <col min="29" max="29" width="13.77734375" bestFit="1" customWidth="1"/>
    <col min="30" max="30" width="10.77734375" bestFit="1" customWidth="1"/>
    <col min="31" max="31" width="16.88671875" bestFit="1" customWidth="1"/>
    <col min="32" max="32" width="18.6640625" bestFit="1" customWidth="1"/>
    <col min="33" max="33" width="3.77734375" bestFit="1" customWidth="1"/>
  </cols>
  <sheetData>
    <row r="1" spans="1:33" x14ac:dyDescent="0.3">
      <c r="A1" s="89" t="s">
        <v>21</v>
      </c>
      <c r="B1" s="90" t="s">
        <v>22</v>
      </c>
      <c r="C1" s="90" t="s">
        <v>23</v>
      </c>
      <c r="D1" s="90" t="s">
        <v>24</v>
      </c>
      <c r="E1" s="90" t="s">
        <v>25</v>
      </c>
      <c r="F1" s="81" t="s">
        <v>26</v>
      </c>
      <c r="H1" s="79" t="s">
        <v>16</v>
      </c>
      <c r="I1" s="80" t="s">
        <v>36</v>
      </c>
      <c r="J1" s="80"/>
      <c r="K1" s="80"/>
      <c r="L1" s="80"/>
      <c r="M1" s="81"/>
      <c r="N1" s="79" t="s">
        <v>17</v>
      </c>
      <c r="O1" s="94" t="s">
        <v>43</v>
      </c>
      <c r="P1" s="94"/>
      <c r="Q1" s="94"/>
      <c r="R1" s="94"/>
      <c r="S1" s="94"/>
      <c r="T1" s="94"/>
      <c r="U1" s="95"/>
      <c r="V1" s="2"/>
      <c r="Z1" t="s">
        <v>296</v>
      </c>
      <c r="AC1" t="s">
        <v>297</v>
      </c>
      <c r="AD1" t="s">
        <v>298</v>
      </c>
      <c r="AE1" t="s">
        <v>299</v>
      </c>
      <c r="AF1" t="s">
        <v>300</v>
      </c>
      <c r="AG1" t="s">
        <v>301</v>
      </c>
    </row>
    <row r="2" spans="1:33" x14ac:dyDescent="0.3">
      <c r="A2" s="82" t="s">
        <v>27</v>
      </c>
      <c r="B2" s="83" t="s">
        <v>29</v>
      </c>
      <c r="C2" s="85">
        <v>160</v>
      </c>
      <c r="D2" s="85">
        <v>28</v>
      </c>
      <c r="E2" s="83" t="s">
        <v>32</v>
      </c>
      <c r="F2" s="84" t="s">
        <v>34</v>
      </c>
      <c r="H2" s="82"/>
      <c r="I2" s="83"/>
      <c r="J2" s="83"/>
      <c r="K2" s="83"/>
      <c r="L2" s="92" t="s">
        <v>34</v>
      </c>
      <c r="M2" s="93" t="s">
        <v>35</v>
      </c>
      <c r="N2" s="82" t="s">
        <v>305</v>
      </c>
      <c r="O2" s="83" t="s">
        <v>306</v>
      </c>
      <c r="P2" s="83" t="s">
        <v>38</v>
      </c>
      <c r="Q2" s="83" t="s">
        <v>39</v>
      </c>
      <c r="R2" s="83" t="s">
        <v>40</v>
      </c>
      <c r="S2" s="83" t="s">
        <v>44</v>
      </c>
      <c r="T2" s="83" t="s">
        <v>41</v>
      </c>
      <c r="U2" s="84" t="s">
        <v>42</v>
      </c>
      <c r="AC2">
        <v>20</v>
      </c>
      <c r="AD2">
        <v>4</v>
      </c>
      <c r="AE2">
        <v>0.5</v>
      </c>
      <c r="AF2">
        <v>0.5</v>
      </c>
      <c r="AG2">
        <f>AC2-AD2</f>
        <v>16</v>
      </c>
    </row>
    <row r="3" spans="1:33" x14ac:dyDescent="0.3">
      <c r="A3" s="82" t="s">
        <v>28</v>
      </c>
      <c r="B3" s="83" t="s">
        <v>29</v>
      </c>
      <c r="C3" s="85">
        <v>182</v>
      </c>
      <c r="D3" s="85">
        <v>15</v>
      </c>
      <c r="E3" s="83" t="s">
        <v>33</v>
      </c>
      <c r="F3" s="84" t="s">
        <v>35</v>
      </c>
      <c r="H3" s="82"/>
      <c r="I3" s="83" t="s">
        <v>21</v>
      </c>
      <c r="J3" s="83" t="s">
        <v>27</v>
      </c>
      <c r="K3" s="83"/>
      <c r="L3" s="83">
        <f>COUNTIFS(A:A,J3,$F:$F,$L$2)</f>
        <v>3</v>
      </c>
      <c r="M3" s="84">
        <f>COUNTIFS(A:A,J3,$F:$F,$M$2)</f>
        <v>2</v>
      </c>
      <c r="N3" s="82">
        <f>L3</f>
        <v>3</v>
      </c>
      <c r="O3" s="83">
        <f>M3</f>
        <v>2</v>
      </c>
      <c r="P3" s="83">
        <f>$L$16</f>
        <v>4</v>
      </c>
      <c r="Q3" s="83">
        <f>$M$16</f>
        <v>6</v>
      </c>
      <c r="R3" s="83">
        <v>2</v>
      </c>
      <c r="S3" s="83">
        <v>2</v>
      </c>
      <c r="T3" s="83">
        <f>(N3+S3)/(P3+(S3*R3))</f>
        <v>0.625</v>
      </c>
      <c r="U3" s="96">
        <f>(O3+S3)/(Q3+(S3*R3))</f>
        <v>0.4</v>
      </c>
    </row>
    <row r="4" spans="1:33" x14ac:dyDescent="0.3">
      <c r="A4" s="82" t="s">
        <v>27</v>
      </c>
      <c r="B4" s="83" t="s">
        <v>30</v>
      </c>
      <c r="C4" s="85">
        <v>150</v>
      </c>
      <c r="D4" s="85">
        <v>45</v>
      </c>
      <c r="E4" s="83" t="s">
        <v>33</v>
      </c>
      <c r="F4" s="84" t="s">
        <v>35</v>
      </c>
      <c r="H4" s="82"/>
      <c r="I4" s="83" t="s">
        <v>21</v>
      </c>
      <c r="J4" s="83" t="s">
        <v>28</v>
      </c>
      <c r="K4" s="83"/>
      <c r="L4" s="83">
        <f>COUNTIFS(A:A,J4,$F:$F,$L$2)</f>
        <v>1</v>
      </c>
      <c r="M4" s="84">
        <f>COUNTIFS(A:A,J4,$F:$F,$M$2)</f>
        <v>4</v>
      </c>
      <c r="N4" s="82">
        <f t="shared" ref="N4:N15" si="0">L4</f>
        <v>1</v>
      </c>
      <c r="O4" s="83">
        <f t="shared" ref="O4:O15" si="1">M4</f>
        <v>4</v>
      </c>
      <c r="P4" s="83">
        <f t="shared" ref="P4:P15" si="2">$L$16</f>
        <v>4</v>
      </c>
      <c r="Q4" s="83">
        <f t="shared" ref="Q4:Q15" si="3">$M$16</f>
        <v>6</v>
      </c>
      <c r="R4" s="83">
        <v>2</v>
      </c>
      <c r="S4" s="83">
        <v>2</v>
      </c>
      <c r="T4" s="83">
        <f t="shared" ref="T4:T15" si="4">(N4+S4)/(P4+(S4*R4))</f>
        <v>0.375</v>
      </c>
      <c r="U4" s="96">
        <f t="shared" ref="U4:U15" si="5">(O4+S4)/(Q4+(S4*R4))</f>
        <v>0.6</v>
      </c>
      <c r="AA4" t="s">
        <v>302</v>
      </c>
      <c r="AB4" t="s">
        <v>303</v>
      </c>
      <c r="AC4" s="1" t="s">
        <v>304</v>
      </c>
    </row>
    <row r="5" spans="1:33" x14ac:dyDescent="0.3">
      <c r="A5" s="82" t="s">
        <v>27</v>
      </c>
      <c r="B5" s="83" t="s">
        <v>30</v>
      </c>
      <c r="C5" s="85">
        <v>152</v>
      </c>
      <c r="D5" s="85">
        <v>59</v>
      </c>
      <c r="E5" s="83" t="s">
        <v>32</v>
      </c>
      <c r="F5" s="84" t="s">
        <v>34</v>
      </c>
      <c r="H5" s="82"/>
      <c r="I5" s="83" t="s">
        <v>22</v>
      </c>
      <c r="J5" s="83" t="s">
        <v>29</v>
      </c>
      <c r="K5" s="83"/>
      <c r="L5" s="83">
        <f>COUNTIFS(B:B,J5,$F:$F,$L$2)</f>
        <v>1</v>
      </c>
      <c r="M5" s="84">
        <f>COUNTIFS(B:B,J5,$F:$F,$M$2)</f>
        <v>2</v>
      </c>
      <c r="N5" s="82">
        <f t="shared" si="0"/>
        <v>1</v>
      </c>
      <c r="O5" s="83">
        <f t="shared" si="1"/>
        <v>2</v>
      </c>
      <c r="P5" s="83">
        <f t="shared" si="2"/>
        <v>4</v>
      </c>
      <c r="Q5" s="83">
        <f t="shared" si="3"/>
        <v>6</v>
      </c>
      <c r="R5" s="83">
        <v>3</v>
      </c>
      <c r="S5" s="83">
        <v>2</v>
      </c>
      <c r="T5" s="83">
        <f t="shared" si="4"/>
        <v>0.3</v>
      </c>
      <c r="U5" s="96">
        <f t="shared" si="5"/>
        <v>0.33333333333333331</v>
      </c>
      <c r="AA5">
        <f>FACT(AC2)/(FACT(AC2-AD2)*FACT(AD2))</f>
        <v>4845</v>
      </c>
      <c r="AB5" s="16">
        <f>AE2^AD2</f>
        <v>6.25E-2</v>
      </c>
      <c r="AC5" s="1">
        <f>AF2^AG2</f>
        <v>1.52587890625E-5</v>
      </c>
      <c r="AD5" s="8">
        <f>AA5*AB5*AC5</f>
        <v>4.6205520629882813E-3</v>
      </c>
    </row>
    <row r="6" spans="1:33" x14ac:dyDescent="0.3">
      <c r="A6" s="82" t="s">
        <v>27</v>
      </c>
      <c r="B6" s="83" t="s">
        <v>31</v>
      </c>
      <c r="C6" s="85">
        <v>125</v>
      </c>
      <c r="D6" s="85">
        <v>10</v>
      </c>
      <c r="E6" s="83" t="s">
        <v>32</v>
      </c>
      <c r="F6" s="84" t="s">
        <v>34</v>
      </c>
      <c r="H6" s="82"/>
      <c r="I6" s="83" t="s">
        <v>22</v>
      </c>
      <c r="J6" s="83" t="s">
        <v>30</v>
      </c>
      <c r="K6" s="83"/>
      <c r="L6" s="83">
        <f t="shared" ref="L6" si="6">COUNTIFS(B:B,J6,$F:$F,$L$2)</f>
        <v>1</v>
      </c>
      <c r="M6" s="84">
        <f t="shared" ref="M6" si="7">COUNTIFS(B:B,J6,$F:$F,$M$2)</f>
        <v>4</v>
      </c>
      <c r="N6" s="82">
        <f t="shared" si="0"/>
        <v>1</v>
      </c>
      <c r="O6" s="83">
        <f t="shared" si="1"/>
        <v>4</v>
      </c>
      <c r="P6" s="83">
        <f t="shared" si="2"/>
        <v>4</v>
      </c>
      <c r="Q6" s="83">
        <f t="shared" si="3"/>
        <v>6</v>
      </c>
      <c r="R6" s="83">
        <v>3</v>
      </c>
      <c r="S6" s="83">
        <v>2</v>
      </c>
      <c r="T6" s="83">
        <f t="shared" si="4"/>
        <v>0.3</v>
      </c>
      <c r="U6" s="96">
        <f t="shared" si="5"/>
        <v>0.5</v>
      </c>
    </row>
    <row r="7" spans="1:33" x14ac:dyDescent="0.3">
      <c r="A7" s="82" t="s">
        <v>28</v>
      </c>
      <c r="B7" s="83" t="s">
        <v>30</v>
      </c>
      <c r="C7" s="85">
        <v>190</v>
      </c>
      <c r="D7" s="85">
        <v>25</v>
      </c>
      <c r="E7" s="83" t="s">
        <v>32</v>
      </c>
      <c r="F7" s="84" t="s">
        <v>35</v>
      </c>
      <c r="H7" s="82"/>
      <c r="I7" s="83" t="s">
        <v>22</v>
      </c>
      <c r="J7" s="83" t="s">
        <v>31</v>
      </c>
      <c r="K7" s="83"/>
      <c r="L7" s="83">
        <f>COUNTIFS(B:B,J7,$F:$F,$L$2)</f>
        <v>2</v>
      </c>
      <c r="M7" s="84">
        <f>COUNTIFS(B:B,J7,$F:$F,$M$2)</f>
        <v>0</v>
      </c>
      <c r="N7" s="82">
        <f t="shared" si="0"/>
        <v>2</v>
      </c>
      <c r="O7" s="83">
        <f t="shared" si="1"/>
        <v>0</v>
      </c>
      <c r="P7" s="83">
        <f t="shared" si="2"/>
        <v>4</v>
      </c>
      <c r="Q7" s="83">
        <f t="shared" si="3"/>
        <v>6</v>
      </c>
      <c r="R7" s="83">
        <v>3</v>
      </c>
      <c r="S7" s="83">
        <v>2</v>
      </c>
      <c r="T7" s="83">
        <f t="shared" si="4"/>
        <v>0.4</v>
      </c>
      <c r="U7" s="96">
        <f t="shared" si="5"/>
        <v>0.16666666666666666</v>
      </c>
    </row>
    <row r="8" spans="1:33" x14ac:dyDescent="0.3">
      <c r="A8" s="82" t="s">
        <v>28</v>
      </c>
      <c r="B8" s="83" t="s">
        <v>30</v>
      </c>
      <c r="C8" s="85">
        <v>158</v>
      </c>
      <c r="D8" s="85">
        <v>35</v>
      </c>
      <c r="E8" s="83" t="s">
        <v>32</v>
      </c>
      <c r="F8" s="84" t="s">
        <v>35</v>
      </c>
      <c r="H8" s="82"/>
      <c r="I8" s="83" t="s">
        <v>23</v>
      </c>
      <c r="J8" s="85">
        <v>182</v>
      </c>
      <c r="K8" s="85">
        <v>190</v>
      </c>
      <c r="L8" s="83">
        <v>0</v>
      </c>
      <c r="M8" s="84">
        <v>3</v>
      </c>
      <c r="N8" s="82">
        <f t="shared" si="0"/>
        <v>0</v>
      </c>
      <c r="O8" s="83">
        <f t="shared" si="1"/>
        <v>3</v>
      </c>
      <c r="P8" s="83">
        <f t="shared" si="2"/>
        <v>4</v>
      </c>
      <c r="Q8" s="83">
        <f t="shared" si="3"/>
        <v>6</v>
      </c>
      <c r="R8" s="83">
        <v>3</v>
      </c>
      <c r="S8" s="83">
        <v>2</v>
      </c>
      <c r="T8" s="83">
        <f t="shared" si="4"/>
        <v>0.2</v>
      </c>
      <c r="U8" s="96">
        <f t="shared" si="5"/>
        <v>0.41666666666666669</v>
      </c>
    </row>
    <row r="9" spans="1:33" x14ac:dyDescent="0.3">
      <c r="A9" s="82" t="s">
        <v>27</v>
      </c>
      <c r="B9" s="83" t="s">
        <v>30</v>
      </c>
      <c r="C9" s="85">
        <v>135</v>
      </c>
      <c r="D9" s="85">
        <v>18</v>
      </c>
      <c r="E9" s="83" t="s">
        <v>33</v>
      </c>
      <c r="F9" s="84" t="s">
        <v>35</v>
      </c>
      <c r="H9" s="82"/>
      <c r="I9" s="83" t="s">
        <v>23</v>
      </c>
      <c r="J9" s="85">
        <v>152</v>
      </c>
      <c r="K9" s="85">
        <v>181</v>
      </c>
      <c r="L9" s="83">
        <v>3</v>
      </c>
      <c r="M9" s="84">
        <v>1</v>
      </c>
      <c r="N9" s="82">
        <f>L9</f>
        <v>3</v>
      </c>
      <c r="O9" s="83">
        <f t="shared" si="1"/>
        <v>1</v>
      </c>
      <c r="P9" s="83">
        <f t="shared" si="2"/>
        <v>4</v>
      </c>
      <c r="Q9" s="83">
        <f t="shared" si="3"/>
        <v>6</v>
      </c>
      <c r="R9" s="83">
        <v>3</v>
      </c>
      <c r="S9" s="83">
        <v>2</v>
      </c>
      <c r="T9" s="83">
        <f t="shared" si="4"/>
        <v>0.5</v>
      </c>
      <c r="U9" s="96">
        <f t="shared" si="5"/>
        <v>0.25</v>
      </c>
    </row>
    <row r="10" spans="1:33" x14ac:dyDescent="0.3">
      <c r="A10" s="82" t="s">
        <v>28</v>
      </c>
      <c r="B10" s="83" t="s">
        <v>31</v>
      </c>
      <c r="C10" s="85">
        <v>162</v>
      </c>
      <c r="D10" s="85">
        <v>42</v>
      </c>
      <c r="E10" s="83" t="s">
        <v>32</v>
      </c>
      <c r="F10" s="84" t="s">
        <v>34</v>
      </c>
      <c r="H10" s="82"/>
      <c r="I10" s="83" t="s">
        <v>23</v>
      </c>
      <c r="J10" s="85">
        <v>125</v>
      </c>
      <c r="K10" s="85">
        <v>151</v>
      </c>
      <c r="L10" s="83">
        <v>1</v>
      </c>
      <c r="M10" s="84">
        <v>2</v>
      </c>
      <c r="N10" s="82">
        <f t="shared" si="0"/>
        <v>1</v>
      </c>
      <c r="O10" s="83">
        <f t="shared" si="1"/>
        <v>2</v>
      </c>
      <c r="P10" s="83">
        <f t="shared" si="2"/>
        <v>4</v>
      </c>
      <c r="Q10" s="83">
        <f t="shared" si="3"/>
        <v>6</v>
      </c>
      <c r="R10" s="83">
        <v>3</v>
      </c>
      <c r="S10" s="83">
        <v>2</v>
      </c>
      <c r="T10" s="83">
        <f t="shared" si="4"/>
        <v>0.3</v>
      </c>
      <c r="U10" s="96">
        <f t="shared" si="5"/>
        <v>0.33333333333333331</v>
      </c>
    </row>
    <row r="11" spans="1:33" x14ac:dyDescent="0.3">
      <c r="A11" s="86" t="s">
        <v>28</v>
      </c>
      <c r="B11" s="87" t="s">
        <v>29</v>
      </c>
      <c r="C11" s="91">
        <v>188</v>
      </c>
      <c r="D11" s="91">
        <v>56</v>
      </c>
      <c r="E11" s="87" t="s">
        <v>33</v>
      </c>
      <c r="F11" s="88" t="s">
        <v>35</v>
      </c>
      <c r="H11" s="82"/>
      <c r="I11" s="83" t="s">
        <v>24</v>
      </c>
      <c r="J11" s="85">
        <v>43</v>
      </c>
      <c r="K11" s="85">
        <v>59</v>
      </c>
      <c r="L11" s="83">
        <v>1</v>
      </c>
      <c r="M11" s="84">
        <v>2</v>
      </c>
      <c r="N11" s="82">
        <f t="shared" si="0"/>
        <v>1</v>
      </c>
      <c r="O11" s="83">
        <f t="shared" si="1"/>
        <v>2</v>
      </c>
      <c r="P11" s="83">
        <f t="shared" si="2"/>
        <v>4</v>
      </c>
      <c r="Q11" s="83">
        <f t="shared" si="3"/>
        <v>6</v>
      </c>
      <c r="R11" s="83">
        <v>3</v>
      </c>
      <c r="S11" s="83">
        <v>2</v>
      </c>
      <c r="T11" s="83">
        <f t="shared" si="4"/>
        <v>0.3</v>
      </c>
      <c r="U11" s="96">
        <f t="shared" si="5"/>
        <v>0.33333333333333331</v>
      </c>
      <c r="Z11" t="s">
        <v>283</v>
      </c>
      <c r="AA11" s="7">
        <v>0.38</v>
      </c>
    </row>
    <row r="12" spans="1:33" x14ac:dyDescent="0.3">
      <c r="H12" s="82"/>
      <c r="I12" s="83" t="s">
        <v>24</v>
      </c>
      <c r="J12" s="85">
        <v>19</v>
      </c>
      <c r="K12" s="85">
        <v>42</v>
      </c>
      <c r="L12" s="83">
        <v>2</v>
      </c>
      <c r="M12" s="84">
        <v>2</v>
      </c>
      <c r="N12" s="82">
        <f t="shared" si="0"/>
        <v>2</v>
      </c>
      <c r="O12" s="83">
        <f t="shared" si="1"/>
        <v>2</v>
      </c>
      <c r="P12" s="83">
        <f t="shared" si="2"/>
        <v>4</v>
      </c>
      <c r="Q12" s="83">
        <f t="shared" si="3"/>
        <v>6</v>
      </c>
      <c r="R12" s="83">
        <v>3</v>
      </c>
      <c r="S12" s="83">
        <v>2</v>
      </c>
      <c r="T12" s="83">
        <f t="shared" si="4"/>
        <v>0.4</v>
      </c>
      <c r="U12" s="96">
        <f t="shared" si="5"/>
        <v>0.33333333333333331</v>
      </c>
      <c r="Z12" s="1" t="s">
        <v>284</v>
      </c>
      <c r="AA12" s="7">
        <v>0.12</v>
      </c>
    </row>
    <row r="13" spans="1:33" x14ac:dyDescent="0.3">
      <c r="H13" s="82"/>
      <c r="I13" s="83" t="s">
        <v>24</v>
      </c>
      <c r="J13" s="85">
        <v>10</v>
      </c>
      <c r="K13" s="85">
        <v>18</v>
      </c>
      <c r="L13" s="83">
        <v>1</v>
      </c>
      <c r="M13" s="84">
        <v>2</v>
      </c>
      <c r="N13" s="82">
        <f t="shared" si="0"/>
        <v>1</v>
      </c>
      <c r="O13" s="83">
        <f t="shared" si="1"/>
        <v>2</v>
      </c>
      <c r="P13" s="83">
        <f t="shared" si="2"/>
        <v>4</v>
      </c>
      <c r="Q13" s="83">
        <f t="shared" si="3"/>
        <v>6</v>
      </c>
      <c r="R13" s="83">
        <v>3</v>
      </c>
      <c r="S13" s="83">
        <v>2</v>
      </c>
      <c r="T13" s="83">
        <f t="shared" si="4"/>
        <v>0.3</v>
      </c>
      <c r="U13" s="96">
        <f t="shared" si="5"/>
        <v>0.33333333333333331</v>
      </c>
      <c r="Z13" s="1" t="s">
        <v>285</v>
      </c>
      <c r="AA13" s="8">
        <v>4.5999999999999999E-3</v>
      </c>
    </row>
    <row r="14" spans="1:33" x14ac:dyDescent="0.3">
      <c r="H14" s="82"/>
      <c r="I14" s="83" t="s">
        <v>25</v>
      </c>
      <c r="J14" s="83" t="s">
        <v>32</v>
      </c>
      <c r="K14" s="83"/>
      <c r="L14" s="83">
        <f>COUNTIFS(E:E,J14,$F:$F,$L$2)</f>
        <v>4</v>
      </c>
      <c r="M14" s="84">
        <f>COUNTIFS(E:E,J14,$F:$F,$M$2)</f>
        <v>2</v>
      </c>
      <c r="N14" s="82">
        <f t="shared" si="0"/>
        <v>4</v>
      </c>
      <c r="O14" s="83">
        <f t="shared" si="1"/>
        <v>2</v>
      </c>
      <c r="P14" s="83">
        <f t="shared" si="2"/>
        <v>4</v>
      </c>
      <c r="Q14" s="83">
        <f t="shared" si="3"/>
        <v>6</v>
      </c>
      <c r="R14" s="83">
        <v>2</v>
      </c>
      <c r="S14" s="83">
        <v>2</v>
      </c>
      <c r="T14" s="83">
        <f t="shared" si="4"/>
        <v>0.75</v>
      </c>
      <c r="U14" s="96">
        <f t="shared" si="5"/>
        <v>0.4</v>
      </c>
      <c r="Z14" s="1"/>
      <c r="AA14" s="1"/>
    </row>
    <row r="15" spans="1:33" x14ac:dyDescent="0.3">
      <c r="H15" s="82"/>
      <c r="I15" s="83" t="s">
        <v>25</v>
      </c>
      <c r="J15" s="83" t="s">
        <v>33</v>
      </c>
      <c r="K15" s="83"/>
      <c r="L15" s="83">
        <f>COUNTIFS(E:E,J15,$F:$F,$L$2)</f>
        <v>0</v>
      </c>
      <c r="M15" s="84">
        <f>COUNTIFS(E:E,J15,$F:$F,$M$2)</f>
        <v>4</v>
      </c>
      <c r="N15" s="82">
        <f t="shared" si="0"/>
        <v>0</v>
      </c>
      <c r="O15" s="83">
        <f t="shared" si="1"/>
        <v>4</v>
      </c>
      <c r="P15" s="83">
        <f t="shared" si="2"/>
        <v>4</v>
      </c>
      <c r="Q15" s="83">
        <f t="shared" si="3"/>
        <v>6</v>
      </c>
      <c r="R15" s="83">
        <v>2</v>
      </c>
      <c r="S15" s="83">
        <v>2</v>
      </c>
      <c r="T15" s="83">
        <f t="shared" si="4"/>
        <v>0.25</v>
      </c>
      <c r="U15" s="96">
        <f t="shared" si="5"/>
        <v>0.6</v>
      </c>
      <c r="Z15" s="2" t="s">
        <v>215</v>
      </c>
      <c r="AA15" s="2" t="s">
        <v>286</v>
      </c>
      <c r="AB15" s="2" t="s">
        <v>287</v>
      </c>
      <c r="AC15" s="2" t="s">
        <v>288</v>
      </c>
      <c r="AD15" s="2" t="s">
        <v>289</v>
      </c>
    </row>
    <row r="16" spans="1:33" x14ac:dyDescent="0.3">
      <c r="H16" s="86"/>
      <c r="I16" s="87" t="s">
        <v>37</v>
      </c>
      <c r="J16" s="87" t="s">
        <v>13</v>
      </c>
      <c r="K16" s="87">
        <f>SUM(L16:M16)</f>
        <v>10</v>
      </c>
      <c r="L16" s="87">
        <f>COUNTIF(F:F,L2)</f>
        <v>4</v>
      </c>
      <c r="M16" s="88">
        <f>COUNTIF(F:F,M2)</f>
        <v>6</v>
      </c>
      <c r="N16" s="86"/>
      <c r="O16" s="87"/>
      <c r="P16" s="87"/>
      <c r="Q16" s="87"/>
      <c r="R16" s="87"/>
      <c r="S16" s="87"/>
      <c r="T16" s="87">
        <f>L16/K16</f>
        <v>0.4</v>
      </c>
      <c r="U16" s="88">
        <f>M16/K16</f>
        <v>0.6</v>
      </c>
      <c r="Z16">
        <v>1</v>
      </c>
      <c r="AA16" s="69">
        <v>1</v>
      </c>
      <c r="AB16" s="69">
        <v>1</v>
      </c>
      <c r="AC16" s="69">
        <v>0</v>
      </c>
      <c r="AD16" s="69">
        <v>0</v>
      </c>
    </row>
    <row r="17" spans="18:30" x14ac:dyDescent="0.3">
      <c r="Z17" s="1">
        <v>2</v>
      </c>
      <c r="AA17" s="69">
        <v>0</v>
      </c>
      <c r="AB17" s="69">
        <v>1</v>
      </c>
      <c r="AC17" s="69">
        <v>0</v>
      </c>
      <c r="AD17" s="69">
        <v>0</v>
      </c>
    </row>
    <row r="18" spans="18:30" x14ac:dyDescent="0.3">
      <c r="R18" s="2" t="s">
        <v>18</v>
      </c>
      <c r="S18" s="2" t="s">
        <v>45</v>
      </c>
      <c r="T18" s="2"/>
      <c r="U18" s="2"/>
      <c r="V18" s="2"/>
      <c r="Z18" s="1">
        <v>3</v>
      </c>
      <c r="AA18" s="69">
        <v>1</v>
      </c>
      <c r="AB18" s="69">
        <v>0</v>
      </c>
      <c r="AC18" s="69">
        <v>1</v>
      </c>
      <c r="AD18" s="69">
        <v>0</v>
      </c>
    </row>
    <row r="19" spans="18:30" x14ac:dyDescent="0.3">
      <c r="T19" t="s">
        <v>46</v>
      </c>
      <c r="U19" t="s">
        <v>47</v>
      </c>
      <c r="V19" t="s">
        <v>19</v>
      </c>
      <c r="Z19" s="1">
        <v>4</v>
      </c>
      <c r="AA19" s="69">
        <v>1</v>
      </c>
      <c r="AB19" s="69">
        <v>0</v>
      </c>
      <c r="AC19" s="69">
        <v>1</v>
      </c>
      <c r="AD19" s="69">
        <v>0</v>
      </c>
    </row>
    <row r="20" spans="18:30" x14ac:dyDescent="0.3">
      <c r="R20" t="s">
        <v>49</v>
      </c>
      <c r="S20" t="s">
        <v>307</v>
      </c>
      <c r="T20" s="7">
        <f>T3*T5*T10*T11*T15*T16</f>
        <v>1.6874999999999998E-3</v>
      </c>
      <c r="U20" s="7">
        <f>U3*U5*U10*U11*U15*U16</f>
        <v>5.3333333333333323E-3</v>
      </c>
      <c r="V20" t="s">
        <v>48</v>
      </c>
      <c r="Z20" s="1">
        <v>5</v>
      </c>
      <c r="AA20" s="69">
        <v>0</v>
      </c>
      <c r="AB20" s="69">
        <v>1</v>
      </c>
      <c r="AC20" s="69">
        <v>0</v>
      </c>
      <c r="AD20" s="69">
        <v>1</v>
      </c>
    </row>
    <row r="21" spans="18:30" x14ac:dyDescent="0.3">
      <c r="S21" t="s">
        <v>309</v>
      </c>
      <c r="T21" s="9">
        <f>T20/(T20+U20)</f>
        <v>0.24035608308605341</v>
      </c>
      <c r="U21" s="9">
        <f>U20/(T20+U20)</f>
        <v>0.75964391691394662</v>
      </c>
      <c r="Z21" s="1">
        <v>6</v>
      </c>
      <c r="AA21" s="69">
        <v>1</v>
      </c>
      <c r="AB21" s="69">
        <v>0</v>
      </c>
      <c r="AC21" s="69">
        <v>1</v>
      </c>
      <c r="AD21" s="69">
        <v>0</v>
      </c>
    </row>
    <row r="22" spans="18:30" x14ac:dyDescent="0.3">
      <c r="R22" t="s">
        <v>50</v>
      </c>
      <c r="S22" t="s">
        <v>308</v>
      </c>
      <c r="T22" s="8">
        <f>T4*T7*T8*T13*T14*T16</f>
        <v>2.7000000000000006E-3</v>
      </c>
      <c r="U22" s="8">
        <f>U4*U7*U8*U13*U14*U16</f>
        <v>3.3333333333333335E-3</v>
      </c>
      <c r="V22" t="s">
        <v>48</v>
      </c>
      <c r="Z22" s="1">
        <v>7</v>
      </c>
      <c r="AA22" s="69">
        <v>1</v>
      </c>
      <c r="AB22" s="69">
        <v>0</v>
      </c>
      <c r="AC22" s="69">
        <v>1</v>
      </c>
      <c r="AD22" s="69">
        <v>0</v>
      </c>
    </row>
    <row r="23" spans="18:30" x14ac:dyDescent="0.3">
      <c r="S23" s="1" t="s">
        <v>309</v>
      </c>
      <c r="T23" s="9">
        <f>T22/(T22+U22)</f>
        <v>0.44751381215469616</v>
      </c>
      <c r="U23" s="9">
        <f>U22/(T22+U22)</f>
        <v>0.55248618784530379</v>
      </c>
      <c r="Z23" s="1">
        <v>8</v>
      </c>
      <c r="AA23" s="69">
        <v>1</v>
      </c>
      <c r="AB23" s="69">
        <v>0</v>
      </c>
      <c r="AC23" s="69">
        <v>1</v>
      </c>
      <c r="AD23" s="69">
        <v>1</v>
      </c>
    </row>
    <row r="24" spans="18:30" x14ac:dyDescent="0.3">
      <c r="Z24" s="1">
        <v>9</v>
      </c>
      <c r="AA24" s="69">
        <v>0</v>
      </c>
      <c r="AB24" s="69">
        <v>1</v>
      </c>
      <c r="AC24" s="69">
        <v>0</v>
      </c>
      <c r="AD24" s="69">
        <v>0</v>
      </c>
    </row>
    <row r="25" spans="18:30" x14ac:dyDescent="0.3">
      <c r="Z25" s="1">
        <v>10</v>
      </c>
      <c r="AA25" s="69">
        <v>1</v>
      </c>
      <c r="AB25" s="69">
        <v>0</v>
      </c>
      <c r="AC25" s="69">
        <v>1</v>
      </c>
      <c r="AD25" s="69">
        <v>1</v>
      </c>
    </row>
    <row r="26" spans="18:30" x14ac:dyDescent="0.3">
      <c r="Z26" s="1"/>
    </row>
    <row r="27" spans="18:30" x14ac:dyDescent="0.3">
      <c r="AA27" s="69"/>
    </row>
    <row r="28" spans="18:30" x14ac:dyDescent="0.3">
      <c r="AA28" t="s">
        <v>282</v>
      </c>
      <c r="AB28" s="1" t="s">
        <v>289</v>
      </c>
      <c r="AC28" t="s">
        <v>290</v>
      </c>
    </row>
    <row r="29" spans="18:30" x14ac:dyDescent="0.3">
      <c r="Z29" s="1" t="s">
        <v>310</v>
      </c>
      <c r="AA29" s="69">
        <f>AA16+AA18+AA19+AA21+AA22+AA23+AA25</f>
        <v>7</v>
      </c>
      <c r="AB29" s="1">
        <v>2</v>
      </c>
      <c r="AC29">
        <v>5</v>
      </c>
    </row>
    <row r="30" spans="18:30" x14ac:dyDescent="0.3">
      <c r="Z30" s="1" t="s">
        <v>311</v>
      </c>
      <c r="AA30" s="69">
        <v>3</v>
      </c>
      <c r="AB30" s="1">
        <v>1</v>
      </c>
      <c r="AC30" s="1">
        <v>2</v>
      </c>
    </row>
    <row r="31" spans="18:30" x14ac:dyDescent="0.3">
      <c r="Z31" s="1" t="s">
        <v>312</v>
      </c>
      <c r="AA31">
        <v>4</v>
      </c>
      <c r="AB31">
        <v>1</v>
      </c>
      <c r="AC31">
        <f>AA31-AB31</f>
        <v>3</v>
      </c>
    </row>
    <row r="32" spans="18:30" x14ac:dyDescent="0.3">
      <c r="Z32" s="1" t="s">
        <v>313</v>
      </c>
      <c r="AA32">
        <v>6</v>
      </c>
      <c r="AB32">
        <v>2</v>
      </c>
      <c r="AC32" s="1">
        <f t="shared" ref="AC32:AC34" si="8">AA32-AB32</f>
        <v>4</v>
      </c>
    </row>
    <row r="33" spans="26:29" x14ac:dyDescent="0.3">
      <c r="Z33" s="1" t="s">
        <v>314</v>
      </c>
      <c r="AA33">
        <v>6</v>
      </c>
      <c r="AB33">
        <v>2</v>
      </c>
      <c r="AC33" s="1">
        <f t="shared" si="8"/>
        <v>4</v>
      </c>
    </row>
    <row r="34" spans="26:29" x14ac:dyDescent="0.3">
      <c r="Z34" s="1" t="s">
        <v>315</v>
      </c>
      <c r="AA34">
        <v>4</v>
      </c>
      <c r="AB34">
        <v>1</v>
      </c>
      <c r="AC34" s="1">
        <f t="shared" si="8"/>
        <v>3</v>
      </c>
    </row>
    <row r="36" spans="26:29" x14ac:dyDescent="0.3">
      <c r="Z36" t="s">
        <v>291</v>
      </c>
      <c r="AA36">
        <f>AA33/Z25</f>
        <v>0.6</v>
      </c>
    </row>
    <row r="37" spans="26:29" x14ac:dyDescent="0.3">
      <c r="Z37" s="1" t="s">
        <v>292</v>
      </c>
      <c r="AA37">
        <f>AA30/Z25</f>
        <v>0.3</v>
      </c>
    </row>
    <row r="38" spans="26:29" x14ac:dyDescent="0.3">
      <c r="Z38" s="1" t="s">
        <v>293</v>
      </c>
      <c r="AA38" s="1">
        <f>1/4</f>
        <v>0.25</v>
      </c>
    </row>
    <row r="39" spans="26:29" x14ac:dyDescent="0.3">
      <c r="Z39" s="1" t="s">
        <v>294</v>
      </c>
      <c r="AA39" s="6">
        <f>1/7</f>
        <v>0.14285714285714285</v>
      </c>
    </row>
    <row r="40" spans="26:29" x14ac:dyDescent="0.3">
      <c r="Z40" s="1" t="s">
        <v>295</v>
      </c>
      <c r="AA40">
        <f>AB31/AA34</f>
        <v>0.25</v>
      </c>
    </row>
    <row r="41" spans="26:29" x14ac:dyDescent="0.3">
      <c r="Z41" s="1"/>
      <c r="AA41" s="1"/>
      <c r="AB41" s="1"/>
    </row>
    <row r="42" spans="26:29" x14ac:dyDescent="0.3">
      <c r="Z42" s="1"/>
      <c r="AA42" s="1"/>
      <c r="AB42" s="1"/>
    </row>
    <row r="43" spans="26:29" x14ac:dyDescent="0.3">
      <c r="Z43" s="1"/>
      <c r="AA43" s="1"/>
      <c r="AB43" s="1"/>
    </row>
    <row r="44" spans="26:29" x14ac:dyDescent="0.3">
      <c r="Z44" s="1"/>
      <c r="AA44" s="1"/>
      <c r="AB44" s="1"/>
    </row>
    <row r="45" spans="26:29" x14ac:dyDescent="0.3">
      <c r="Z45" s="1"/>
      <c r="AA45" s="1"/>
      <c r="AB45" s="1"/>
    </row>
    <row r="46" spans="26:29" x14ac:dyDescent="0.3">
      <c r="Z46" s="1"/>
      <c r="AA46" s="1"/>
      <c r="AB46" s="1"/>
    </row>
    <row r="47" spans="26:29" x14ac:dyDescent="0.3">
      <c r="Z47" s="1"/>
      <c r="AA47" s="1"/>
      <c r="AB47" s="1"/>
    </row>
    <row r="48" spans="26:29" x14ac:dyDescent="0.3">
      <c r="Z48" s="1"/>
      <c r="AA48" s="1"/>
      <c r="AB48" s="1"/>
    </row>
    <row r="49" spans="26:28" x14ac:dyDescent="0.3">
      <c r="Z49" s="1"/>
      <c r="AA49" s="1"/>
      <c r="AB49" s="1"/>
    </row>
    <row r="50" spans="26:28" x14ac:dyDescent="0.3">
      <c r="Z50" s="1"/>
      <c r="AA50" s="1"/>
      <c r="AB50" s="1"/>
    </row>
    <row r="51" spans="26:28" x14ac:dyDescent="0.3">
      <c r="Z51" s="1"/>
      <c r="AA51" s="1"/>
      <c r="AB51" s="1"/>
    </row>
    <row r="52" spans="26:28" x14ac:dyDescent="0.3">
      <c r="Z52" s="1"/>
      <c r="AA52" s="1"/>
      <c r="AB52" s="1"/>
    </row>
  </sheetData>
  <mergeCells count="1">
    <mergeCell ref="O1:U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E580-FF3F-4446-8AF2-51B8AA959A21}">
  <dimension ref="B1:J14"/>
  <sheetViews>
    <sheetView workbookViewId="0">
      <selection activeCell="G16" sqref="G16"/>
    </sheetView>
  </sheetViews>
  <sheetFormatPr defaultRowHeight="14.4" x14ac:dyDescent="0.3"/>
  <cols>
    <col min="2" max="2" width="5.44140625" bestFit="1" customWidth="1"/>
    <col min="3" max="4" width="9.5546875" bestFit="1" customWidth="1"/>
    <col min="5" max="5" width="6.109375" bestFit="1" customWidth="1"/>
    <col min="6" max="6" width="30.77734375" bestFit="1" customWidth="1"/>
    <col min="7" max="7" width="69.109375" customWidth="1"/>
    <col min="8" max="8" width="20.21875" bestFit="1" customWidth="1"/>
  </cols>
  <sheetData>
    <row r="1" spans="2:10" x14ac:dyDescent="0.3">
      <c r="B1" s="71" t="s">
        <v>51</v>
      </c>
      <c r="C1" s="71"/>
    </row>
    <row r="2" spans="2:10" x14ac:dyDescent="0.3">
      <c r="B2" t="s">
        <v>52</v>
      </c>
      <c r="C2" t="s">
        <v>53</v>
      </c>
      <c r="G2" t="s">
        <v>55</v>
      </c>
      <c r="H2" s="9">
        <f>(B3+C4)/(B3+C3+B4+C4)</f>
        <v>0.78787878787878785</v>
      </c>
    </row>
    <row r="3" spans="2:10" x14ac:dyDescent="0.3">
      <c r="B3" s="10">
        <v>220</v>
      </c>
      <c r="C3">
        <v>55</v>
      </c>
      <c r="D3" t="s">
        <v>52</v>
      </c>
      <c r="E3" s="70" t="s">
        <v>54</v>
      </c>
      <c r="G3" t="s">
        <v>56</v>
      </c>
      <c r="H3" s="9">
        <f>(C3+B4)/(B3+C3+B4+C4)</f>
        <v>0.21212121212121213</v>
      </c>
    </row>
    <row r="4" spans="2:10" x14ac:dyDescent="0.3">
      <c r="B4">
        <v>50</v>
      </c>
      <c r="C4" s="10">
        <v>170</v>
      </c>
      <c r="D4" t="s">
        <v>53</v>
      </c>
      <c r="E4" s="70"/>
    </row>
    <row r="5" spans="2:10" x14ac:dyDescent="0.3">
      <c r="G5" t="s">
        <v>62</v>
      </c>
      <c r="H5" s="9">
        <f>B3/(B3+C3)</f>
        <v>0.8</v>
      </c>
      <c r="I5" s="1" t="s">
        <v>67</v>
      </c>
    </row>
    <row r="6" spans="2:10" x14ac:dyDescent="0.3">
      <c r="B6" t="s">
        <v>58</v>
      </c>
      <c r="C6" t="s">
        <v>61</v>
      </c>
      <c r="G6" t="s">
        <v>69</v>
      </c>
      <c r="H6" s="9">
        <f>B4/(B4+C4)</f>
        <v>0.22727272727272727</v>
      </c>
      <c r="I6" t="s">
        <v>65</v>
      </c>
    </row>
    <row r="7" spans="2:10" x14ac:dyDescent="0.3">
      <c r="B7" t="s">
        <v>60</v>
      </c>
      <c r="C7" t="s">
        <v>59</v>
      </c>
      <c r="G7" t="s">
        <v>68</v>
      </c>
      <c r="H7" s="9">
        <f>C4/(B4+C4)</f>
        <v>0.77272727272727271</v>
      </c>
      <c r="I7" s="1" t="s">
        <v>66</v>
      </c>
    </row>
    <row r="8" spans="2:10" x14ac:dyDescent="0.3">
      <c r="J8" s="11"/>
    </row>
    <row r="9" spans="2:10" x14ac:dyDescent="0.3">
      <c r="G9" t="s">
        <v>63</v>
      </c>
      <c r="H9" s="9">
        <f>(B3)/(B3+B4)</f>
        <v>0.81481481481481477</v>
      </c>
      <c r="I9" t="s">
        <v>71</v>
      </c>
    </row>
    <row r="10" spans="2:10" x14ac:dyDescent="0.3">
      <c r="G10" t="s">
        <v>64</v>
      </c>
      <c r="H10" s="11">
        <f>H5</f>
        <v>0.8</v>
      </c>
      <c r="I10" t="s">
        <v>70</v>
      </c>
    </row>
    <row r="11" spans="2:10" x14ac:dyDescent="0.3">
      <c r="G11" s="1"/>
      <c r="H11" s="11"/>
    </row>
    <row r="12" spans="2:10" x14ac:dyDescent="0.3">
      <c r="G12" t="s">
        <v>72</v>
      </c>
      <c r="H12" s="9">
        <f>H10/H9</f>
        <v>0.98181818181818192</v>
      </c>
      <c r="I12" t="s">
        <v>73</v>
      </c>
    </row>
    <row r="14" spans="2:10" x14ac:dyDescent="0.3">
      <c r="G14" t="s">
        <v>57</v>
      </c>
      <c r="H14" s="13">
        <f>2*((H9*H10)/(H9+H10))</f>
        <v>0.80733944954128456</v>
      </c>
    </row>
  </sheetData>
  <mergeCells count="2">
    <mergeCell ref="E3:E4"/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E814-2426-4C16-933D-BFEADA6184DA}">
  <dimension ref="A1:T36"/>
  <sheetViews>
    <sheetView topLeftCell="G1" workbookViewId="0">
      <selection activeCell="R14" sqref="R14"/>
    </sheetView>
  </sheetViews>
  <sheetFormatPr defaultRowHeight="14.4" x14ac:dyDescent="0.3"/>
  <cols>
    <col min="8" max="8" width="26.109375" bestFit="1" customWidth="1"/>
    <col min="10" max="10" width="9.6640625" bestFit="1" customWidth="1"/>
  </cols>
  <sheetData>
    <row r="1" spans="1:18" x14ac:dyDescent="0.3">
      <c r="A1" t="s">
        <v>77</v>
      </c>
      <c r="B1" t="s">
        <v>76</v>
      </c>
      <c r="C1" t="s">
        <v>78</v>
      </c>
      <c r="D1" t="s">
        <v>79</v>
      </c>
      <c r="E1" t="s">
        <v>80</v>
      </c>
      <c r="F1" t="s">
        <v>81</v>
      </c>
      <c r="H1" s="72" t="s">
        <v>107</v>
      </c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x14ac:dyDescent="0.3">
      <c r="A2">
        <v>1</v>
      </c>
      <c r="B2">
        <v>18</v>
      </c>
      <c r="C2">
        <v>22</v>
      </c>
      <c r="D2">
        <v>24</v>
      </c>
      <c r="E2" t="s">
        <v>74</v>
      </c>
      <c r="F2" t="s">
        <v>75</v>
      </c>
      <c r="H2" s="14" t="s">
        <v>82</v>
      </c>
      <c r="I2" s="14">
        <v>1</v>
      </c>
      <c r="J2" s="14">
        <v>2</v>
      </c>
      <c r="K2" s="14">
        <v>3</v>
      </c>
      <c r="L2" s="14">
        <v>4</v>
      </c>
      <c r="M2" s="14">
        <v>5</v>
      </c>
      <c r="N2" s="14">
        <v>6</v>
      </c>
      <c r="O2" s="14">
        <v>7</v>
      </c>
      <c r="P2" s="14" t="s">
        <v>83</v>
      </c>
      <c r="Q2" s="2" t="s">
        <v>85</v>
      </c>
      <c r="R2" s="2" t="s">
        <v>86</v>
      </c>
    </row>
    <row r="3" spans="1:18" x14ac:dyDescent="0.3">
      <c r="A3">
        <v>2</v>
      </c>
      <c r="B3">
        <v>22</v>
      </c>
      <c r="C3">
        <v>10</v>
      </c>
      <c r="D3">
        <v>10</v>
      </c>
      <c r="E3" t="s">
        <v>75</v>
      </c>
      <c r="F3" t="s">
        <v>74</v>
      </c>
      <c r="H3" s="3" t="s">
        <v>76</v>
      </c>
      <c r="I3" s="4">
        <v>18</v>
      </c>
      <c r="J3" s="4">
        <v>22</v>
      </c>
      <c r="K3" s="4">
        <v>24</v>
      </c>
      <c r="L3" s="4">
        <v>14</v>
      </c>
      <c r="M3" s="4">
        <v>18</v>
      </c>
      <c r="N3" s="4">
        <v>12</v>
      </c>
      <c r="O3" s="4">
        <v>20</v>
      </c>
      <c r="P3" s="12">
        <v>14</v>
      </c>
      <c r="Q3">
        <f>MAX(I3:O3)</f>
        <v>24</v>
      </c>
      <c r="R3">
        <f>MIN(I3:O3)</f>
        <v>12</v>
      </c>
    </row>
    <row r="4" spans="1:18" x14ac:dyDescent="0.3">
      <c r="A4">
        <v>3</v>
      </c>
      <c r="B4">
        <v>24</v>
      </c>
      <c r="C4">
        <v>16</v>
      </c>
      <c r="D4">
        <v>12</v>
      </c>
      <c r="E4" t="s">
        <v>75</v>
      </c>
      <c r="F4" t="s">
        <v>74</v>
      </c>
      <c r="H4" s="3" t="s">
        <v>78</v>
      </c>
      <c r="I4" s="4">
        <v>22</v>
      </c>
      <c r="J4" s="4">
        <v>10</v>
      </c>
      <c r="K4" s="4">
        <v>16</v>
      </c>
      <c r="L4" s="4">
        <v>28</v>
      </c>
      <c r="M4" s="4">
        <v>14</v>
      </c>
      <c r="N4" s="4">
        <v>16</v>
      </c>
      <c r="O4" s="4">
        <v>4</v>
      </c>
      <c r="P4" s="12">
        <v>20</v>
      </c>
      <c r="Q4" s="1">
        <f t="shared" ref="Q4:Q5" si="0">MAX(I4:O4)</f>
        <v>28</v>
      </c>
      <c r="R4" s="1">
        <f t="shared" ref="R4:R5" si="1">MIN(I4:O4)</f>
        <v>4</v>
      </c>
    </row>
    <row r="5" spans="1:18" x14ac:dyDescent="0.3">
      <c r="A5">
        <v>4</v>
      </c>
      <c r="B5">
        <v>14</v>
      </c>
      <c r="C5">
        <v>28</v>
      </c>
      <c r="D5">
        <v>10</v>
      </c>
      <c r="E5" t="s">
        <v>74</v>
      </c>
      <c r="F5" t="s">
        <v>75</v>
      </c>
      <c r="H5" s="3" t="s">
        <v>79</v>
      </c>
      <c r="I5" s="4">
        <v>24</v>
      </c>
      <c r="J5" s="4">
        <v>10</v>
      </c>
      <c r="K5" s="4">
        <v>12</v>
      </c>
      <c r="L5" s="4">
        <v>10</v>
      </c>
      <c r="M5" s="4">
        <v>14</v>
      </c>
      <c r="N5" s="4">
        <v>18</v>
      </c>
      <c r="O5" s="4">
        <v>8</v>
      </c>
      <c r="P5" s="12">
        <v>10</v>
      </c>
      <c r="Q5" s="1">
        <f t="shared" si="0"/>
        <v>24</v>
      </c>
      <c r="R5" s="1">
        <f t="shared" si="1"/>
        <v>8</v>
      </c>
    </row>
    <row r="6" spans="1:18" x14ac:dyDescent="0.3">
      <c r="A6">
        <v>5</v>
      </c>
      <c r="B6">
        <v>18</v>
      </c>
      <c r="C6">
        <v>14</v>
      </c>
      <c r="D6">
        <v>14</v>
      </c>
      <c r="E6" t="s">
        <v>74</v>
      </c>
      <c r="F6" t="s">
        <v>74</v>
      </c>
      <c r="H6" s="3" t="s">
        <v>80</v>
      </c>
      <c r="I6" s="4">
        <v>1</v>
      </c>
      <c r="J6" s="4">
        <v>0</v>
      </c>
      <c r="K6" s="4">
        <v>0</v>
      </c>
      <c r="L6" s="4">
        <v>1</v>
      </c>
      <c r="M6" s="4">
        <v>1</v>
      </c>
      <c r="N6" s="4">
        <v>0</v>
      </c>
      <c r="O6" s="4">
        <v>1</v>
      </c>
      <c r="P6" s="4">
        <v>1</v>
      </c>
    </row>
    <row r="7" spans="1:18" x14ac:dyDescent="0.3">
      <c r="A7">
        <v>6</v>
      </c>
      <c r="B7">
        <v>12</v>
      </c>
      <c r="C7">
        <v>16</v>
      </c>
      <c r="D7">
        <v>18</v>
      </c>
      <c r="E7" t="s">
        <v>75</v>
      </c>
      <c r="F7" t="s">
        <v>74</v>
      </c>
      <c r="H7" s="3" t="s">
        <v>81</v>
      </c>
      <c r="I7" s="4" t="s">
        <v>75</v>
      </c>
      <c r="J7" s="4" t="s">
        <v>74</v>
      </c>
      <c r="K7" s="4" t="s">
        <v>74</v>
      </c>
      <c r="L7" s="4" t="s">
        <v>75</v>
      </c>
      <c r="M7" s="4" t="s">
        <v>74</v>
      </c>
      <c r="N7" s="4" t="s">
        <v>74</v>
      </c>
      <c r="O7" s="4" t="s">
        <v>74</v>
      </c>
      <c r="P7" s="3" t="s">
        <v>84</v>
      </c>
    </row>
    <row r="8" spans="1:18" x14ac:dyDescent="0.3">
      <c r="A8">
        <v>7</v>
      </c>
      <c r="B8">
        <v>20</v>
      </c>
      <c r="C8">
        <v>4</v>
      </c>
      <c r="D8">
        <v>8</v>
      </c>
      <c r="E8" t="s">
        <v>74</v>
      </c>
      <c r="F8" t="s">
        <v>74</v>
      </c>
    </row>
    <row r="9" spans="1:18" x14ac:dyDescent="0.3">
      <c r="H9" s="72" t="s">
        <v>94</v>
      </c>
      <c r="I9" s="72"/>
      <c r="J9" s="72"/>
      <c r="K9" s="72"/>
      <c r="L9" s="72"/>
      <c r="M9" s="72"/>
      <c r="N9" s="72"/>
      <c r="O9" s="72"/>
      <c r="P9" s="72"/>
    </row>
    <row r="10" spans="1:18" x14ac:dyDescent="0.3">
      <c r="A10" s="1" t="s">
        <v>77</v>
      </c>
      <c r="B10" s="1" t="s">
        <v>76</v>
      </c>
      <c r="C10" s="1" t="s">
        <v>78</v>
      </c>
      <c r="D10" s="1" t="s">
        <v>79</v>
      </c>
      <c r="E10" s="1" t="s">
        <v>80</v>
      </c>
      <c r="F10" s="1" t="s">
        <v>81</v>
      </c>
      <c r="H10" s="3" t="s">
        <v>96</v>
      </c>
      <c r="I10" s="14" t="s">
        <v>87</v>
      </c>
      <c r="J10" s="14" t="s">
        <v>88</v>
      </c>
      <c r="K10" s="14" t="s">
        <v>89</v>
      </c>
      <c r="L10" s="14" t="s">
        <v>90</v>
      </c>
      <c r="M10" s="14" t="s">
        <v>91</v>
      </c>
      <c r="N10" s="14" t="s">
        <v>92</v>
      </c>
      <c r="O10" s="14" t="s">
        <v>93</v>
      </c>
      <c r="P10" s="14" t="s">
        <v>95</v>
      </c>
      <c r="Q10" s="14"/>
    </row>
    <row r="11" spans="1:18" x14ac:dyDescent="0.3">
      <c r="A11" t="s">
        <v>83</v>
      </c>
      <c r="B11">
        <v>14</v>
      </c>
      <c r="C11">
        <v>20</v>
      </c>
      <c r="D11">
        <v>10</v>
      </c>
      <c r="E11" t="s">
        <v>74</v>
      </c>
      <c r="F11" t="s">
        <v>84</v>
      </c>
      <c r="H11" s="3" t="s">
        <v>76</v>
      </c>
      <c r="I11" s="6">
        <f t="shared" ref="I11:P11" si="2">ABS((I3-$R$3)/($Q$3-$R$3))</f>
        <v>0.5</v>
      </c>
      <c r="J11" s="6">
        <f t="shared" si="2"/>
        <v>0.83333333333333337</v>
      </c>
      <c r="K11" s="6">
        <f t="shared" si="2"/>
        <v>1</v>
      </c>
      <c r="L11" s="6">
        <f t="shared" si="2"/>
        <v>0.16666666666666666</v>
      </c>
      <c r="M11" s="6">
        <f t="shared" si="2"/>
        <v>0.5</v>
      </c>
      <c r="N11" s="6">
        <f t="shared" si="2"/>
        <v>0</v>
      </c>
      <c r="O11" s="6">
        <f t="shared" si="2"/>
        <v>0.66666666666666663</v>
      </c>
      <c r="P11" s="6">
        <f t="shared" si="2"/>
        <v>0.16666666666666666</v>
      </c>
      <c r="Q11" s="6"/>
    </row>
    <row r="12" spans="1:18" x14ac:dyDescent="0.3">
      <c r="H12" s="3" t="s">
        <v>78</v>
      </c>
      <c r="I12" s="6">
        <f>ABS((I4-$R$4)/($Q$4-$R$3))</f>
        <v>1.125</v>
      </c>
      <c r="J12" s="6">
        <f t="shared" ref="J12:P12" si="3">ABS((J4-$R$4)/($Q$4-$R$3))</f>
        <v>0.375</v>
      </c>
      <c r="K12" s="6">
        <f t="shared" si="3"/>
        <v>0.75</v>
      </c>
      <c r="L12" s="6">
        <f t="shared" si="3"/>
        <v>1.5</v>
      </c>
      <c r="M12" s="6">
        <f t="shared" si="3"/>
        <v>0.625</v>
      </c>
      <c r="N12" s="6">
        <f t="shared" si="3"/>
        <v>0.75</v>
      </c>
      <c r="O12" s="6">
        <f t="shared" si="3"/>
        <v>0</v>
      </c>
      <c r="P12" s="6">
        <f t="shared" si="3"/>
        <v>1</v>
      </c>
    </row>
    <row r="13" spans="1:18" x14ac:dyDescent="0.3">
      <c r="H13" s="3" t="s">
        <v>79</v>
      </c>
      <c r="I13" s="6">
        <f>ABS((I5-$R$5)/($Q$5-$R$3))</f>
        <v>1.3333333333333333</v>
      </c>
      <c r="J13" s="6">
        <f t="shared" ref="J13:P13" si="4">ABS((J5-$R$5)/($Q$5-$R$3))</f>
        <v>0.16666666666666666</v>
      </c>
      <c r="K13" s="6">
        <f t="shared" si="4"/>
        <v>0.33333333333333331</v>
      </c>
      <c r="L13" s="6">
        <f t="shared" si="4"/>
        <v>0.16666666666666666</v>
      </c>
      <c r="M13" s="6">
        <f t="shared" si="4"/>
        <v>0.5</v>
      </c>
      <c r="N13" s="6">
        <f t="shared" si="4"/>
        <v>0.83333333333333337</v>
      </c>
      <c r="O13" s="6">
        <f t="shared" si="4"/>
        <v>0</v>
      </c>
      <c r="P13" s="6">
        <f t="shared" si="4"/>
        <v>0.16666666666666666</v>
      </c>
    </row>
    <row r="14" spans="1:18" x14ac:dyDescent="0.3">
      <c r="H14" s="3" t="s">
        <v>80</v>
      </c>
      <c r="I14" s="4">
        <v>1</v>
      </c>
      <c r="J14" s="4">
        <v>0</v>
      </c>
      <c r="K14" s="4">
        <v>0</v>
      </c>
      <c r="L14" s="4">
        <v>1</v>
      </c>
      <c r="M14" s="4">
        <v>1</v>
      </c>
      <c r="N14" s="4">
        <v>0</v>
      </c>
      <c r="O14" s="4">
        <v>1</v>
      </c>
      <c r="P14" s="4">
        <v>1</v>
      </c>
    </row>
    <row r="15" spans="1:18" x14ac:dyDescent="0.3">
      <c r="H15" s="3"/>
    </row>
    <row r="16" spans="1:18" x14ac:dyDescent="0.3">
      <c r="H16" s="72" t="s">
        <v>106</v>
      </c>
      <c r="I16" s="72"/>
      <c r="J16" s="72"/>
      <c r="K16" s="72"/>
      <c r="L16" s="72"/>
      <c r="M16" s="72"/>
      <c r="N16" s="72"/>
      <c r="O16" s="72"/>
      <c r="P16" s="72"/>
    </row>
    <row r="17" spans="8:20" x14ac:dyDescent="0.3">
      <c r="H17" s="15" t="s">
        <v>98</v>
      </c>
      <c r="I17" s="14" t="s">
        <v>105</v>
      </c>
      <c r="J17" s="14" t="s">
        <v>104</v>
      </c>
      <c r="K17" s="14" t="s">
        <v>103</v>
      </c>
      <c r="L17" s="14" t="s">
        <v>102</v>
      </c>
      <c r="M17" s="14" t="s">
        <v>101</v>
      </c>
      <c r="N17" s="14" t="s">
        <v>100</v>
      </c>
      <c r="O17" s="14" t="s">
        <v>99</v>
      </c>
      <c r="P17" s="14"/>
    </row>
    <row r="18" spans="8:20" x14ac:dyDescent="0.3">
      <c r="H18" s="3" t="s">
        <v>76</v>
      </c>
      <c r="I18" s="16">
        <f t="shared" ref="I18:O21" si="5">ABS(I11-$P11)</f>
        <v>0.33333333333333337</v>
      </c>
      <c r="J18" s="16">
        <f t="shared" si="5"/>
        <v>0.66666666666666674</v>
      </c>
      <c r="K18" s="16">
        <f t="shared" si="5"/>
        <v>0.83333333333333337</v>
      </c>
      <c r="L18" s="16">
        <f t="shared" si="5"/>
        <v>0</v>
      </c>
      <c r="M18" s="16">
        <f t="shared" si="5"/>
        <v>0.33333333333333337</v>
      </c>
      <c r="N18" s="16">
        <f t="shared" si="5"/>
        <v>0.16666666666666666</v>
      </c>
      <c r="O18" s="16">
        <f t="shared" si="5"/>
        <v>0.5</v>
      </c>
      <c r="P18" s="1"/>
      <c r="T18" t="s">
        <v>97</v>
      </c>
    </row>
    <row r="19" spans="8:20" x14ac:dyDescent="0.3">
      <c r="H19" s="3" t="s">
        <v>78</v>
      </c>
      <c r="I19" s="16">
        <f t="shared" si="5"/>
        <v>0.125</v>
      </c>
      <c r="J19" s="16">
        <f t="shared" si="5"/>
        <v>0.625</v>
      </c>
      <c r="K19" s="16">
        <f t="shared" si="5"/>
        <v>0.25</v>
      </c>
      <c r="L19" s="16">
        <f t="shared" si="5"/>
        <v>0.5</v>
      </c>
      <c r="M19" s="16">
        <f t="shared" si="5"/>
        <v>0.375</v>
      </c>
      <c r="N19" s="16">
        <f t="shared" si="5"/>
        <v>0.25</v>
      </c>
      <c r="O19" s="16">
        <f t="shared" si="5"/>
        <v>1</v>
      </c>
      <c r="P19" s="1"/>
    </row>
    <row r="20" spans="8:20" x14ac:dyDescent="0.3">
      <c r="H20" s="3" t="s">
        <v>79</v>
      </c>
      <c r="I20" s="16">
        <f t="shared" si="5"/>
        <v>1.1666666666666665</v>
      </c>
      <c r="J20" s="16">
        <f t="shared" si="5"/>
        <v>0</v>
      </c>
      <c r="K20" s="16">
        <f t="shared" si="5"/>
        <v>0.16666666666666666</v>
      </c>
      <c r="L20" s="16">
        <f t="shared" si="5"/>
        <v>0</v>
      </c>
      <c r="M20" s="16">
        <f t="shared" si="5"/>
        <v>0.33333333333333337</v>
      </c>
      <c r="N20" s="16">
        <f t="shared" si="5"/>
        <v>0.66666666666666674</v>
      </c>
      <c r="O20" s="16">
        <f t="shared" si="5"/>
        <v>0.16666666666666666</v>
      </c>
      <c r="P20" s="1"/>
    </row>
    <row r="21" spans="8:20" x14ac:dyDescent="0.3">
      <c r="H21" s="3" t="s">
        <v>80</v>
      </c>
      <c r="I21" s="16">
        <f t="shared" si="5"/>
        <v>0</v>
      </c>
      <c r="J21" s="16">
        <f t="shared" si="5"/>
        <v>1</v>
      </c>
      <c r="K21" s="16">
        <f t="shared" si="5"/>
        <v>1</v>
      </c>
      <c r="L21" s="16">
        <f t="shared" si="5"/>
        <v>0</v>
      </c>
      <c r="M21" s="16">
        <f t="shared" si="5"/>
        <v>0</v>
      </c>
      <c r="N21" s="16">
        <f t="shared" si="5"/>
        <v>1</v>
      </c>
      <c r="O21" s="16">
        <f t="shared" si="5"/>
        <v>0</v>
      </c>
    </row>
    <row r="22" spans="8:20" x14ac:dyDescent="0.3">
      <c r="H22" s="3" t="s">
        <v>13</v>
      </c>
      <c r="I22" s="17">
        <f>SUM(I18:I21)</f>
        <v>1.625</v>
      </c>
      <c r="J22" s="17">
        <f t="shared" ref="J22:O22" si="6">SUM(J18:J21)</f>
        <v>2.291666666666667</v>
      </c>
      <c r="K22" s="17">
        <f t="shared" si="6"/>
        <v>2.25</v>
      </c>
      <c r="L22" s="17">
        <f t="shared" si="6"/>
        <v>0.5</v>
      </c>
      <c r="M22" s="17">
        <f t="shared" si="6"/>
        <v>1.0416666666666667</v>
      </c>
      <c r="N22" s="17">
        <f t="shared" si="6"/>
        <v>2.0833333333333335</v>
      </c>
      <c r="O22" s="17">
        <f t="shared" si="6"/>
        <v>1.6666666666666667</v>
      </c>
    </row>
    <row r="24" spans="8:20" x14ac:dyDescent="0.3">
      <c r="H24" s="72" t="s">
        <v>108</v>
      </c>
      <c r="I24" s="72"/>
      <c r="J24" s="72"/>
      <c r="K24" s="72"/>
      <c r="L24" s="72"/>
      <c r="M24" s="72"/>
      <c r="N24" s="72"/>
      <c r="O24" s="72"/>
      <c r="P24" s="72"/>
    </row>
    <row r="26" spans="8:20" x14ac:dyDescent="0.3">
      <c r="H26" s="18" t="s">
        <v>82</v>
      </c>
      <c r="I26" s="21" t="s">
        <v>98</v>
      </c>
      <c r="J26" s="3" t="s">
        <v>81</v>
      </c>
    </row>
    <row r="27" spans="8:20" x14ac:dyDescent="0.3">
      <c r="H27" s="20" t="s">
        <v>112</v>
      </c>
      <c r="I27" s="19">
        <v>0.5</v>
      </c>
      <c r="J27" t="s">
        <v>75</v>
      </c>
    </row>
    <row r="28" spans="8:20" x14ac:dyDescent="0.3">
      <c r="H28" s="20" t="s">
        <v>113</v>
      </c>
      <c r="I28" s="19">
        <v>1.0416666666666667</v>
      </c>
      <c r="J28" t="s">
        <v>74</v>
      </c>
    </row>
    <row r="29" spans="8:20" x14ac:dyDescent="0.3">
      <c r="H29" s="20" t="s">
        <v>109</v>
      </c>
      <c r="I29" s="19">
        <v>1.625</v>
      </c>
      <c r="J29" t="s">
        <v>75</v>
      </c>
    </row>
    <row r="30" spans="8:20" x14ac:dyDescent="0.3">
      <c r="H30" s="20" t="s">
        <v>115</v>
      </c>
      <c r="I30" s="19">
        <v>1.6666666666666667</v>
      </c>
      <c r="J30" t="s">
        <v>74</v>
      </c>
    </row>
    <row r="31" spans="8:20" x14ac:dyDescent="0.3">
      <c r="H31" s="20" t="s">
        <v>114</v>
      </c>
      <c r="I31" s="19">
        <v>2.0833333333333335</v>
      </c>
      <c r="J31" t="s">
        <v>74</v>
      </c>
    </row>
    <row r="32" spans="8:20" x14ac:dyDescent="0.3">
      <c r="H32" s="20" t="s">
        <v>111</v>
      </c>
      <c r="I32" s="19">
        <v>2.25</v>
      </c>
      <c r="J32" t="s">
        <v>74</v>
      </c>
    </row>
    <row r="33" spans="8:10" x14ac:dyDescent="0.3">
      <c r="H33" s="20" t="s">
        <v>110</v>
      </c>
      <c r="I33" s="19">
        <v>2.291666666666667</v>
      </c>
      <c r="J33" t="s">
        <v>74</v>
      </c>
    </row>
    <row r="35" spans="8:10" x14ac:dyDescent="0.3">
      <c r="H35" t="s">
        <v>116</v>
      </c>
      <c r="I35" t="s">
        <v>117</v>
      </c>
      <c r="J35" t="s">
        <v>119</v>
      </c>
    </row>
    <row r="36" spans="8:10" x14ac:dyDescent="0.3">
      <c r="H36" t="s">
        <v>75</v>
      </c>
      <c r="I36" t="s">
        <v>118</v>
      </c>
      <c r="J36" t="s">
        <v>120</v>
      </c>
    </row>
  </sheetData>
  <mergeCells count="4">
    <mergeCell ref="H24:P24"/>
    <mergeCell ref="H1:R1"/>
    <mergeCell ref="H9:P9"/>
    <mergeCell ref="H16:P1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3744-1925-4A42-A9D2-AE6DE75542E5}">
  <dimension ref="A1:Z83"/>
  <sheetViews>
    <sheetView topLeftCell="C24" zoomScale="60" zoomScaleNormal="60" workbookViewId="0">
      <selection activeCell="O61" sqref="O61"/>
    </sheetView>
  </sheetViews>
  <sheetFormatPr defaultRowHeight="14.4" x14ac:dyDescent="0.3"/>
  <cols>
    <col min="1" max="1" width="3.77734375" style="23" bestFit="1" customWidth="1"/>
    <col min="2" max="2" width="16.5546875" style="23" bestFit="1" customWidth="1"/>
    <col min="3" max="3" width="11.5546875" style="23" bestFit="1" customWidth="1"/>
    <col min="4" max="4" width="14.21875" style="23" bestFit="1" customWidth="1"/>
    <col min="5" max="5" width="16.5546875" style="23" bestFit="1" customWidth="1"/>
    <col min="6" max="6" width="8.88671875" style="23"/>
    <col min="7" max="7" width="6.44140625" style="23" bestFit="1" customWidth="1"/>
    <col min="8" max="8" width="40.6640625" style="23" bestFit="1" customWidth="1"/>
    <col min="9" max="9" width="13.21875" style="23" bestFit="1" customWidth="1"/>
    <col min="10" max="10" width="21" style="23" bestFit="1" customWidth="1"/>
    <col min="11" max="11" width="23.77734375" style="23" bestFit="1" customWidth="1"/>
    <col min="12" max="12" width="23.21875" style="23" bestFit="1" customWidth="1"/>
    <col min="13" max="13" width="30.6640625" style="23" bestFit="1" customWidth="1"/>
    <col min="14" max="15" width="14.21875" style="23" bestFit="1" customWidth="1"/>
    <col min="16" max="16" width="22.88671875" style="23" bestFit="1" customWidth="1"/>
    <col min="17" max="17" width="16.77734375" style="23" bestFit="1" customWidth="1"/>
    <col min="18" max="18" width="14" style="23" bestFit="1" customWidth="1"/>
    <col min="19" max="19" width="9" style="23" bestFit="1" customWidth="1"/>
    <col min="20" max="20" width="14.88671875" style="23" bestFit="1" customWidth="1"/>
    <col min="21" max="21" width="9" style="23" bestFit="1" customWidth="1"/>
    <col min="22" max="22" width="14.21875" style="23" bestFit="1" customWidth="1"/>
    <col min="23" max="23" width="6.5546875" style="23" bestFit="1" customWidth="1"/>
    <col min="24" max="24" width="27.5546875" style="23" bestFit="1" customWidth="1"/>
    <col min="25" max="25" width="12.88671875" style="23" bestFit="1" customWidth="1"/>
    <col min="26" max="26" width="29.77734375" style="23" bestFit="1" customWidth="1"/>
    <col min="27" max="16384" width="8.88671875" style="23"/>
  </cols>
  <sheetData>
    <row r="1" spans="1:26" x14ac:dyDescent="0.3">
      <c r="A1" s="73" t="s">
        <v>124</v>
      </c>
      <c r="B1" s="73"/>
      <c r="C1" s="73"/>
      <c r="D1" s="73"/>
      <c r="E1" s="73"/>
      <c r="H1" s="74" t="s">
        <v>156</v>
      </c>
      <c r="I1" s="75"/>
      <c r="J1" s="75"/>
      <c r="K1" s="75"/>
      <c r="L1" s="75"/>
      <c r="M1" s="75"/>
      <c r="N1" s="75"/>
      <c r="O1" s="75"/>
      <c r="P1" s="75"/>
      <c r="Q1" s="76"/>
    </row>
    <row r="2" spans="1:26" x14ac:dyDescent="0.3">
      <c r="A2" s="22" t="s">
        <v>77</v>
      </c>
      <c r="B2" s="22" t="s">
        <v>121</v>
      </c>
      <c r="C2" s="22" t="s">
        <v>23</v>
      </c>
      <c r="D2" s="22" t="s">
        <v>122</v>
      </c>
      <c r="E2" s="22" t="s">
        <v>123</v>
      </c>
      <c r="H2" s="25" t="s">
        <v>128</v>
      </c>
      <c r="I2" s="26" t="s">
        <v>129</v>
      </c>
      <c r="J2" s="26" t="s">
        <v>130</v>
      </c>
      <c r="K2" s="26" t="s">
        <v>134</v>
      </c>
      <c r="L2" s="26" t="s">
        <v>131</v>
      </c>
      <c r="M2" s="26" t="s">
        <v>135</v>
      </c>
      <c r="N2" s="26" t="s">
        <v>132</v>
      </c>
      <c r="O2" s="26" t="s">
        <v>135</v>
      </c>
      <c r="P2" s="26" t="s">
        <v>123</v>
      </c>
      <c r="Q2" s="27" t="s">
        <v>125</v>
      </c>
    </row>
    <row r="3" spans="1:26" x14ac:dyDescent="0.3">
      <c r="A3" s="23">
        <v>1</v>
      </c>
      <c r="B3" s="23">
        <v>784</v>
      </c>
      <c r="C3" s="23">
        <v>3.5</v>
      </c>
      <c r="D3" s="23">
        <v>220.5</v>
      </c>
      <c r="E3" s="23">
        <v>0.25</v>
      </c>
      <c r="H3" s="28">
        <v>-26.03</v>
      </c>
      <c r="I3" s="29">
        <v>4.9700000000000001E-2</v>
      </c>
      <c r="J3" s="29">
        <v>784</v>
      </c>
      <c r="K3" s="29">
        <v>4.9420000000000002</v>
      </c>
      <c r="L3" s="29">
        <v>3.5</v>
      </c>
      <c r="M3" s="30">
        <v>0.09</v>
      </c>
      <c r="N3" s="29">
        <v>220.5</v>
      </c>
      <c r="O3" s="29">
        <v>20.523</v>
      </c>
      <c r="P3" s="29">
        <v>0.25</v>
      </c>
      <c r="Q3" s="31">
        <f>H3+(I3*J3)+(K3*L3)-(M3*N3)+(O3*P3)</f>
        <v>15.517550000000004</v>
      </c>
    </row>
    <row r="4" spans="1:26" x14ac:dyDescent="0.3">
      <c r="A4" s="23">
        <v>2</v>
      </c>
      <c r="B4" s="23">
        <v>710.5</v>
      </c>
      <c r="C4" s="23">
        <v>3</v>
      </c>
      <c r="D4" s="23">
        <v>210.5</v>
      </c>
      <c r="E4" s="23">
        <v>0.1</v>
      </c>
      <c r="H4" s="28">
        <v>-26.03</v>
      </c>
      <c r="I4" s="29">
        <v>4.9700000000000001E-2</v>
      </c>
      <c r="J4" s="29">
        <v>710.5</v>
      </c>
      <c r="K4" s="29">
        <v>4.9420000000000002</v>
      </c>
      <c r="L4" s="29">
        <v>3</v>
      </c>
      <c r="M4" s="30">
        <v>0.09</v>
      </c>
      <c r="N4" s="29">
        <v>210.5</v>
      </c>
      <c r="O4" s="29">
        <v>20.523</v>
      </c>
      <c r="P4" s="29">
        <v>0.1</v>
      </c>
      <c r="Q4" s="31">
        <f t="shared" ref="Q4:Q6" si="0">H4+(I4*J4)+(K4*L4)-(M4*N4)+(O4*P4)</f>
        <v>7.2151499999999995</v>
      </c>
    </row>
    <row r="5" spans="1:26" x14ac:dyDescent="0.3">
      <c r="A5" s="23">
        <v>3</v>
      </c>
      <c r="B5" s="23">
        <v>763.5</v>
      </c>
      <c r="C5" s="23">
        <v>7</v>
      </c>
      <c r="D5" s="23">
        <v>122.5</v>
      </c>
      <c r="E5" s="23">
        <v>0.4</v>
      </c>
      <c r="H5" s="28">
        <v>-26.03</v>
      </c>
      <c r="I5" s="29">
        <v>4.9700000000000001E-2</v>
      </c>
      <c r="J5" s="29">
        <v>763.5</v>
      </c>
      <c r="K5" s="29">
        <v>4.9420000000000002</v>
      </c>
      <c r="L5" s="29">
        <v>7</v>
      </c>
      <c r="M5" s="30">
        <v>0.09</v>
      </c>
      <c r="N5" s="29">
        <v>122.5</v>
      </c>
      <c r="O5" s="29">
        <v>20.523</v>
      </c>
      <c r="P5" s="29">
        <v>0.4</v>
      </c>
      <c r="Q5" s="31">
        <f t="shared" si="0"/>
        <v>43.694150000000008</v>
      </c>
    </row>
    <row r="6" spans="1:26" x14ac:dyDescent="0.3">
      <c r="A6" s="23">
        <v>4</v>
      </c>
      <c r="B6" s="23">
        <v>637</v>
      </c>
      <c r="C6" s="23">
        <v>6</v>
      </c>
      <c r="D6" s="23">
        <v>147</v>
      </c>
      <c r="E6" s="23">
        <v>0.6</v>
      </c>
      <c r="H6" s="32">
        <v>-26.03</v>
      </c>
      <c r="I6" s="33">
        <v>4.9700000000000001E-2</v>
      </c>
      <c r="J6" s="33">
        <v>637</v>
      </c>
      <c r="K6" s="33">
        <v>4.9420000000000002</v>
      </c>
      <c r="L6" s="33">
        <v>6</v>
      </c>
      <c r="M6" s="34">
        <v>0.09</v>
      </c>
      <c r="N6" s="33">
        <v>147</v>
      </c>
      <c r="O6" s="33">
        <v>20.523</v>
      </c>
      <c r="P6" s="33">
        <v>0.6</v>
      </c>
      <c r="Q6" s="35">
        <f t="shared" si="0"/>
        <v>34.364700000000006</v>
      </c>
    </row>
    <row r="8" spans="1:26" x14ac:dyDescent="0.3">
      <c r="A8" s="22" t="s">
        <v>77</v>
      </c>
      <c r="B8" s="22" t="s">
        <v>137</v>
      </c>
      <c r="C8" s="22" t="s">
        <v>24</v>
      </c>
      <c r="D8" s="22" t="s">
        <v>136</v>
      </c>
      <c r="G8" s="36"/>
      <c r="H8" s="75" t="s">
        <v>154</v>
      </c>
      <c r="I8" s="75"/>
      <c r="J8" s="75"/>
      <c r="K8" s="75"/>
      <c r="L8" s="75"/>
      <c r="M8" s="75"/>
      <c r="N8" s="75"/>
      <c r="O8" s="75" t="s">
        <v>155</v>
      </c>
      <c r="P8" s="76"/>
    </row>
    <row r="9" spans="1:26" x14ac:dyDescent="0.3">
      <c r="A9" s="23">
        <v>1</v>
      </c>
      <c r="B9" s="23">
        <v>37.99</v>
      </c>
      <c r="C9" s="23">
        <v>41</v>
      </c>
      <c r="D9" s="23">
        <v>138</v>
      </c>
      <c r="G9" s="28" t="s">
        <v>77</v>
      </c>
      <c r="H9" s="26" t="s">
        <v>143</v>
      </c>
      <c r="I9" s="26" t="s">
        <v>129</v>
      </c>
      <c r="J9" s="26" t="s">
        <v>133</v>
      </c>
      <c r="K9" s="26" t="s">
        <v>134</v>
      </c>
      <c r="L9" s="26" t="s">
        <v>136</v>
      </c>
      <c r="M9" s="26" t="s">
        <v>139</v>
      </c>
      <c r="N9" s="26" t="s">
        <v>138</v>
      </c>
      <c r="O9" s="26" t="s">
        <v>140</v>
      </c>
      <c r="P9" s="27" t="s">
        <v>142</v>
      </c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3">
      <c r="A10" s="23">
        <v>2</v>
      </c>
      <c r="B10" s="23">
        <v>47.34</v>
      </c>
      <c r="C10" s="23">
        <v>42</v>
      </c>
      <c r="D10" s="23">
        <v>153</v>
      </c>
      <c r="G10" s="28">
        <v>1</v>
      </c>
      <c r="H10" s="29">
        <v>-59.5</v>
      </c>
      <c r="I10" s="29">
        <v>-0.15</v>
      </c>
      <c r="J10" s="29">
        <v>41</v>
      </c>
      <c r="K10" s="29">
        <v>0.6</v>
      </c>
      <c r="L10" s="29">
        <v>138</v>
      </c>
      <c r="M10" s="29">
        <v>37.99</v>
      </c>
      <c r="N10" s="29">
        <f t="shared" ref="N10:N21" si="1">H10+(I10*J10)+(K10*L10)</f>
        <v>17.149999999999991</v>
      </c>
      <c r="O10" s="29">
        <f>M10-N10</f>
        <v>20.840000000000011</v>
      </c>
      <c r="P10" s="37">
        <f>O10^2</f>
        <v>434.30560000000042</v>
      </c>
      <c r="T10" s="24"/>
    </row>
    <row r="11" spans="1:26" x14ac:dyDescent="0.3">
      <c r="A11" s="23">
        <v>3</v>
      </c>
      <c r="B11" s="23">
        <v>44.38</v>
      </c>
      <c r="C11" s="23">
        <v>37</v>
      </c>
      <c r="D11" s="23">
        <v>151</v>
      </c>
      <c r="G11" s="28">
        <v>2</v>
      </c>
      <c r="H11" s="29">
        <v>-59.5</v>
      </c>
      <c r="I11" s="29">
        <v>-0.15</v>
      </c>
      <c r="J11" s="29">
        <v>42</v>
      </c>
      <c r="K11" s="29">
        <v>0.6</v>
      </c>
      <c r="L11" s="29">
        <v>153</v>
      </c>
      <c r="M11" s="29">
        <v>47.34</v>
      </c>
      <c r="N11" s="29">
        <f t="shared" si="1"/>
        <v>26</v>
      </c>
      <c r="O11" s="29">
        <f t="shared" ref="O11:O21" si="2">M11-N11</f>
        <v>21.340000000000003</v>
      </c>
      <c r="P11" s="37">
        <f t="shared" ref="P11:P21" si="3">O11^2</f>
        <v>455.39560000000017</v>
      </c>
    </row>
    <row r="12" spans="1:26" x14ac:dyDescent="0.3">
      <c r="A12" s="23">
        <v>4</v>
      </c>
      <c r="B12" s="23">
        <v>28.17</v>
      </c>
      <c r="C12" s="23">
        <v>46</v>
      </c>
      <c r="D12" s="23">
        <v>133</v>
      </c>
      <c r="G12" s="28">
        <v>3</v>
      </c>
      <c r="H12" s="29">
        <v>-59.5</v>
      </c>
      <c r="I12" s="29">
        <v>-0.15</v>
      </c>
      <c r="J12" s="29">
        <v>37</v>
      </c>
      <c r="K12" s="29">
        <v>0.6</v>
      </c>
      <c r="L12" s="29">
        <v>151</v>
      </c>
      <c r="M12" s="29">
        <v>44.38</v>
      </c>
      <c r="N12" s="29">
        <f t="shared" si="1"/>
        <v>25.549999999999997</v>
      </c>
      <c r="O12" s="29">
        <f t="shared" si="2"/>
        <v>18.830000000000005</v>
      </c>
      <c r="P12" s="37">
        <f t="shared" si="3"/>
        <v>354.56890000000021</v>
      </c>
    </row>
    <row r="13" spans="1:26" x14ac:dyDescent="0.3">
      <c r="A13" s="23">
        <v>5</v>
      </c>
      <c r="B13" s="23">
        <v>27.07</v>
      </c>
      <c r="C13" s="23">
        <v>48</v>
      </c>
      <c r="D13" s="23">
        <v>126</v>
      </c>
      <c r="G13" s="28">
        <v>4</v>
      </c>
      <c r="H13" s="29">
        <v>-59.5</v>
      </c>
      <c r="I13" s="29">
        <v>-0.15</v>
      </c>
      <c r="J13" s="29">
        <v>46</v>
      </c>
      <c r="K13" s="29">
        <v>0.6</v>
      </c>
      <c r="L13" s="29">
        <v>133</v>
      </c>
      <c r="M13" s="29">
        <v>28.17</v>
      </c>
      <c r="N13" s="29">
        <f t="shared" si="1"/>
        <v>13.399999999999991</v>
      </c>
      <c r="O13" s="29">
        <f t="shared" si="2"/>
        <v>14.77000000000001</v>
      </c>
      <c r="P13" s="37">
        <f t="shared" si="3"/>
        <v>218.1529000000003</v>
      </c>
    </row>
    <row r="14" spans="1:26" x14ac:dyDescent="0.3">
      <c r="A14" s="23">
        <v>6</v>
      </c>
      <c r="B14" s="23">
        <v>37.85</v>
      </c>
      <c r="C14" s="23">
        <v>44</v>
      </c>
      <c r="D14" s="23">
        <v>145</v>
      </c>
      <c r="G14" s="28">
        <v>5</v>
      </c>
      <c r="H14" s="29">
        <v>-59.5</v>
      </c>
      <c r="I14" s="29">
        <v>-0.15</v>
      </c>
      <c r="J14" s="29">
        <v>48</v>
      </c>
      <c r="K14" s="29">
        <v>0.6</v>
      </c>
      <c r="L14" s="29">
        <v>126</v>
      </c>
      <c r="M14" s="29">
        <v>27.07</v>
      </c>
      <c r="N14" s="29">
        <f t="shared" si="1"/>
        <v>8.8999999999999915</v>
      </c>
      <c r="O14" s="29">
        <f t="shared" si="2"/>
        <v>18.170000000000009</v>
      </c>
      <c r="P14" s="37">
        <f t="shared" si="3"/>
        <v>330.14890000000031</v>
      </c>
    </row>
    <row r="15" spans="1:26" x14ac:dyDescent="0.3">
      <c r="A15" s="23">
        <v>7</v>
      </c>
      <c r="B15" s="23">
        <v>44.72</v>
      </c>
      <c r="C15" s="23">
        <v>43</v>
      </c>
      <c r="D15" s="23">
        <v>158</v>
      </c>
      <c r="G15" s="28">
        <v>6</v>
      </c>
      <c r="H15" s="29">
        <v>-59.5</v>
      </c>
      <c r="I15" s="29">
        <v>-0.15</v>
      </c>
      <c r="J15" s="29">
        <v>44</v>
      </c>
      <c r="K15" s="29">
        <v>0.6</v>
      </c>
      <c r="L15" s="29">
        <v>145</v>
      </c>
      <c r="M15" s="29">
        <v>37.85</v>
      </c>
      <c r="N15" s="29">
        <f t="shared" si="1"/>
        <v>20.900000000000006</v>
      </c>
      <c r="O15" s="29">
        <f t="shared" si="2"/>
        <v>16.949999999999996</v>
      </c>
      <c r="P15" s="37">
        <f t="shared" si="3"/>
        <v>287.30249999999984</v>
      </c>
    </row>
    <row r="16" spans="1:26" x14ac:dyDescent="0.3">
      <c r="A16" s="23">
        <v>8</v>
      </c>
      <c r="B16" s="23">
        <v>36.42</v>
      </c>
      <c r="C16" s="23">
        <v>46</v>
      </c>
      <c r="D16" s="23">
        <v>143</v>
      </c>
      <c r="G16" s="28">
        <v>7</v>
      </c>
      <c r="H16" s="29">
        <v>-59.5</v>
      </c>
      <c r="I16" s="29">
        <v>-0.15</v>
      </c>
      <c r="J16" s="29">
        <v>43</v>
      </c>
      <c r="K16" s="29">
        <v>0.6</v>
      </c>
      <c r="L16" s="29">
        <v>158</v>
      </c>
      <c r="M16" s="29">
        <v>44.72</v>
      </c>
      <c r="N16" s="29">
        <f t="shared" si="1"/>
        <v>28.849999999999994</v>
      </c>
      <c r="O16" s="29">
        <f t="shared" si="2"/>
        <v>15.870000000000005</v>
      </c>
      <c r="P16" s="37">
        <f t="shared" si="3"/>
        <v>251.85690000000014</v>
      </c>
    </row>
    <row r="17" spans="1:19" x14ac:dyDescent="0.3">
      <c r="A17" s="23">
        <v>9</v>
      </c>
      <c r="B17" s="23">
        <v>31.21</v>
      </c>
      <c r="C17" s="23">
        <v>37</v>
      </c>
      <c r="D17" s="23">
        <v>138</v>
      </c>
      <c r="G17" s="28">
        <v>8</v>
      </c>
      <c r="H17" s="29">
        <v>-59.5</v>
      </c>
      <c r="I17" s="29">
        <v>-0.15</v>
      </c>
      <c r="J17" s="29">
        <v>46</v>
      </c>
      <c r="K17" s="29">
        <v>0.6</v>
      </c>
      <c r="L17" s="29">
        <v>143</v>
      </c>
      <c r="M17" s="29">
        <v>36.42</v>
      </c>
      <c r="N17" s="29">
        <f t="shared" si="1"/>
        <v>19.399999999999991</v>
      </c>
      <c r="O17" s="29">
        <f t="shared" si="2"/>
        <v>17.02000000000001</v>
      </c>
      <c r="P17" s="37">
        <f t="shared" si="3"/>
        <v>289.68040000000036</v>
      </c>
    </row>
    <row r="18" spans="1:19" x14ac:dyDescent="0.3">
      <c r="A18" s="23">
        <v>10</v>
      </c>
      <c r="B18" s="23">
        <v>54.85</v>
      </c>
      <c r="C18" s="23">
        <v>38</v>
      </c>
      <c r="D18" s="23">
        <v>158</v>
      </c>
      <c r="G18" s="28">
        <v>9</v>
      </c>
      <c r="H18" s="29">
        <v>-59.5</v>
      </c>
      <c r="I18" s="29">
        <v>-0.15</v>
      </c>
      <c r="J18" s="29">
        <v>37</v>
      </c>
      <c r="K18" s="29">
        <v>0.6</v>
      </c>
      <c r="L18" s="29">
        <v>138</v>
      </c>
      <c r="M18" s="29">
        <v>31.21</v>
      </c>
      <c r="N18" s="29">
        <f t="shared" si="1"/>
        <v>17.75</v>
      </c>
      <c r="O18" s="29">
        <f t="shared" si="2"/>
        <v>13.46</v>
      </c>
      <c r="P18" s="37">
        <f t="shared" si="3"/>
        <v>181.17160000000001</v>
      </c>
    </row>
    <row r="19" spans="1:19" x14ac:dyDescent="0.3">
      <c r="A19" s="23">
        <v>11</v>
      </c>
      <c r="B19" s="23">
        <v>39.840000000000003</v>
      </c>
      <c r="C19" s="23">
        <v>43</v>
      </c>
      <c r="D19" s="23">
        <v>143</v>
      </c>
      <c r="G19" s="28">
        <v>10</v>
      </c>
      <c r="H19" s="29">
        <v>-59.5</v>
      </c>
      <c r="I19" s="29">
        <v>-0.15</v>
      </c>
      <c r="J19" s="29">
        <v>38</v>
      </c>
      <c r="K19" s="29">
        <v>0.6</v>
      </c>
      <c r="L19" s="29">
        <v>158</v>
      </c>
      <c r="M19" s="29">
        <v>54.85</v>
      </c>
      <c r="N19" s="29">
        <f t="shared" si="1"/>
        <v>29.599999999999994</v>
      </c>
      <c r="O19" s="29">
        <f t="shared" si="2"/>
        <v>25.250000000000007</v>
      </c>
      <c r="P19" s="37">
        <f t="shared" si="3"/>
        <v>637.56250000000034</v>
      </c>
    </row>
    <row r="20" spans="1:19" x14ac:dyDescent="0.3">
      <c r="A20" s="23">
        <v>12</v>
      </c>
      <c r="B20" s="23">
        <v>30.83</v>
      </c>
      <c r="C20" s="23">
        <v>43</v>
      </c>
      <c r="D20" s="23">
        <v>138</v>
      </c>
      <c r="G20" s="28">
        <v>11</v>
      </c>
      <c r="H20" s="29">
        <v>-59.5</v>
      </c>
      <c r="I20" s="29">
        <v>-0.15</v>
      </c>
      <c r="J20" s="29">
        <v>43</v>
      </c>
      <c r="K20" s="29">
        <v>0.6</v>
      </c>
      <c r="L20" s="29">
        <v>143</v>
      </c>
      <c r="M20" s="29">
        <v>39.840000000000003</v>
      </c>
      <c r="N20" s="29">
        <f t="shared" si="1"/>
        <v>19.849999999999994</v>
      </c>
      <c r="O20" s="29">
        <f t="shared" si="2"/>
        <v>19.990000000000009</v>
      </c>
      <c r="P20" s="37">
        <f t="shared" si="3"/>
        <v>399.60010000000034</v>
      </c>
    </row>
    <row r="21" spans="1:19" x14ac:dyDescent="0.3">
      <c r="G21" s="28">
        <v>12</v>
      </c>
      <c r="H21" s="29">
        <v>-59.5</v>
      </c>
      <c r="I21" s="29">
        <v>-0.15</v>
      </c>
      <c r="J21" s="29">
        <v>43</v>
      </c>
      <c r="K21" s="29">
        <v>0.6</v>
      </c>
      <c r="L21" s="29">
        <v>138</v>
      </c>
      <c r="M21" s="29">
        <v>30.83</v>
      </c>
      <c r="N21" s="29">
        <f t="shared" si="1"/>
        <v>16.849999999999994</v>
      </c>
      <c r="O21" s="29">
        <f t="shared" si="2"/>
        <v>13.980000000000004</v>
      </c>
      <c r="P21" s="37">
        <f t="shared" si="3"/>
        <v>195.44040000000012</v>
      </c>
    </row>
    <row r="22" spans="1:19" x14ac:dyDescent="0.3">
      <c r="G22" s="28"/>
      <c r="H22" s="29"/>
      <c r="I22" s="29"/>
      <c r="J22" s="29"/>
      <c r="K22" s="29"/>
      <c r="L22" s="29"/>
      <c r="M22" s="29"/>
      <c r="N22" s="29"/>
      <c r="O22" s="26" t="s">
        <v>144</v>
      </c>
      <c r="P22" s="37">
        <f>SUM(P10:P21)</f>
        <v>4035.1863000000026</v>
      </c>
      <c r="Q22" s="24"/>
      <c r="R22" s="24"/>
      <c r="S22" s="24"/>
    </row>
    <row r="23" spans="1:19" x14ac:dyDescent="0.3">
      <c r="G23" s="28"/>
      <c r="H23" s="29"/>
      <c r="I23" s="29"/>
      <c r="J23" s="29"/>
      <c r="K23" s="29"/>
      <c r="L23" s="29"/>
      <c r="M23" s="29"/>
      <c r="N23" s="29"/>
      <c r="O23" s="29" t="s">
        <v>145</v>
      </c>
      <c r="P23" s="37">
        <f>P22/2</f>
        <v>2017.5931500000013</v>
      </c>
    </row>
    <row r="24" spans="1:19" x14ac:dyDescent="0.3">
      <c r="G24" s="77" t="s">
        <v>149</v>
      </c>
      <c r="H24" s="78"/>
      <c r="I24" s="78"/>
      <c r="J24" s="78"/>
      <c r="K24" s="78"/>
      <c r="L24" s="78"/>
      <c r="M24" s="78"/>
      <c r="N24" s="29"/>
      <c r="O24" s="29"/>
      <c r="P24" s="38"/>
    </row>
    <row r="25" spans="1:19" x14ac:dyDescent="0.3">
      <c r="G25" s="28" t="s">
        <v>77</v>
      </c>
      <c r="H25" s="26" t="s">
        <v>133</v>
      </c>
      <c r="I25" s="26" t="s">
        <v>136</v>
      </c>
      <c r="J25" s="26" t="s">
        <v>140</v>
      </c>
      <c r="K25" s="26" t="s">
        <v>146</v>
      </c>
      <c r="L25" s="26" t="s">
        <v>147</v>
      </c>
      <c r="M25" s="26" t="s">
        <v>148</v>
      </c>
      <c r="N25" s="29"/>
      <c r="O25" s="29"/>
      <c r="P25" s="38"/>
    </row>
    <row r="26" spans="1:19" x14ac:dyDescent="0.3">
      <c r="G26" s="28">
        <v>1</v>
      </c>
      <c r="H26" s="29">
        <v>41</v>
      </c>
      <c r="I26" s="29">
        <v>138</v>
      </c>
      <c r="J26" s="29">
        <v>20.840000000000011</v>
      </c>
      <c r="K26" s="29">
        <f>1*J26</f>
        <v>20.840000000000011</v>
      </c>
      <c r="L26" s="29">
        <f>H26*J26</f>
        <v>854.4400000000004</v>
      </c>
      <c r="M26" s="29">
        <f>I26*J26</f>
        <v>2875.9200000000014</v>
      </c>
      <c r="N26" s="29"/>
      <c r="O26" s="29"/>
      <c r="P26" s="38"/>
    </row>
    <row r="27" spans="1:19" x14ac:dyDescent="0.3">
      <c r="G27" s="28">
        <v>2</v>
      </c>
      <c r="H27" s="29">
        <v>42</v>
      </c>
      <c r="I27" s="29">
        <v>153</v>
      </c>
      <c r="J27" s="29">
        <v>21.340000000000003</v>
      </c>
      <c r="K27" s="29">
        <f t="shared" ref="K27:K37" si="4">1*J27</f>
        <v>21.340000000000003</v>
      </c>
      <c r="L27" s="29">
        <f t="shared" ref="L27:L37" si="5">H27*J27</f>
        <v>896.2800000000002</v>
      </c>
      <c r="M27" s="29">
        <f t="shared" ref="M27:M37" si="6">I27*J27</f>
        <v>3265.0200000000004</v>
      </c>
      <c r="N27" s="29"/>
      <c r="O27" s="29"/>
      <c r="P27" s="38"/>
    </row>
    <row r="28" spans="1:19" x14ac:dyDescent="0.3">
      <c r="G28" s="28">
        <v>3</v>
      </c>
      <c r="H28" s="29">
        <v>37</v>
      </c>
      <c r="I28" s="29">
        <v>151</v>
      </c>
      <c r="J28" s="29">
        <v>18.830000000000005</v>
      </c>
      <c r="K28" s="29">
        <f t="shared" si="4"/>
        <v>18.830000000000005</v>
      </c>
      <c r="L28" s="29">
        <f t="shared" si="5"/>
        <v>696.71000000000015</v>
      </c>
      <c r="M28" s="29">
        <f t="shared" si="6"/>
        <v>2843.3300000000008</v>
      </c>
      <c r="N28" s="29"/>
      <c r="O28" s="29"/>
      <c r="P28" s="38"/>
    </row>
    <row r="29" spans="1:19" x14ac:dyDescent="0.3">
      <c r="G29" s="28">
        <v>4</v>
      </c>
      <c r="H29" s="29">
        <v>46</v>
      </c>
      <c r="I29" s="29">
        <v>133</v>
      </c>
      <c r="J29" s="29">
        <v>14.77000000000001</v>
      </c>
      <c r="K29" s="29">
        <f t="shared" si="4"/>
        <v>14.77000000000001</v>
      </c>
      <c r="L29" s="29">
        <f t="shared" si="5"/>
        <v>679.42000000000053</v>
      </c>
      <c r="M29" s="29">
        <f t="shared" si="6"/>
        <v>1964.4100000000014</v>
      </c>
      <c r="N29" s="29"/>
      <c r="O29" s="29"/>
      <c r="P29" s="38"/>
    </row>
    <row r="30" spans="1:19" x14ac:dyDescent="0.3">
      <c r="G30" s="28">
        <v>5</v>
      </c>
      <c r="H30" s="29">
        <v>48</v>
      </c>
      <c r="I30" s="29">
        <v>126</v>
      </c>
      <c r="J30" s="29">
        <v>18.170000000000009</v>
      </c>
      <c r="K30" s="29">
        <f t="shared" si="4"/>
        <v>18.170000000000009</v>
      </c>
      <c r="L30" s="29">
        <f t="shared" si="5"/>
        <v>872.16000000000042</v>
      </c>
      <c r="M30" s="29">
        <f t="shared" si="6"/>
        <v>2289.420000000001</v>
      </c>
      <c r="N30" s="29"/>
      <c r="O30" s="29"/>
      <c r="P30" s="38"/>
    </row>
    <row r="31" spans="1:19" x14ac:dyDescent="0.3">
      <c r="G31" s="28">
        <v>6</v>
      </c>
      <c r="H31" s="29">
        <v>44</v>
      </c>
      <c r="I31" s="29">
        <v>145</v>
      </c>
      <c r="J31" s="29">
        <v>16.949999999999996</v>
      </c>
      <c r="K31" s="29">
        <f t="shared" si="4"/>
        <v>16.949999999999996</v>
      </c>
      <c r="L31" s="29">
        <f t="shared" si="5"/>
        <v>745.79999999999984</v>
      </c>
      <c r="M31" s="29">
        <f t="shared" si="6"/>
        <v>2457.7499999999995</v>
      </c>
      <c r="N31" s="29"/>
      <c r="O31" s="29"/>
      <c r="P31" s="38"/>
    </row>
    <row r="32" spans="1:19" x14ac:dyDescent="0.3">
      <c r="G32" s="28">
        <v>7</v>
      </c>
      <c r="H32" s="29">
        <v>43</v>
      </c>
      <c r="I32" s="29">
        <v>158</v>
      </c>
      <c r="J32" s="29">
        <v>15.870000000000005</v>
      </c>
      <c r="K32" s="29">
        <f t="shared" si="4"/>
        <v>15.870000000000005</v>
      </c>
      <c r="L32" s="29">
        <f t="shared" si="5"/>
        <v>682.4100000000002</v>
      </c>
      <c r="M32" s="29">
        <f t="shared" si="6"/>
        <v>2507.4600000000009</v>
      </c>
      <c r="N32" s="29"/>
      <c r="O32" s="29"/>
      <c r="P32" s="38"/>
    </row>
    <row r="33" spans="1:25" x14ac:dyDescent="0.3">
      <c r="G33" s="28">
        <v>8</v>
      </c>
      <c r="H33" s="29">
        <v>46</v>
      </c>
      <c r="I33" s="29">
        <v>143</v>
      </c>
      <c r="J33" s="29">
        <v>17.02000000000001</v>
      </c>
      <c r="K33" s="29">
        <f t="shared" si="4"/>
        <v>17.02000000000001</v>
      </c>
      <c r="L33" s="29">
        <f t="shared" si="5"/>
        <v>782.92000000000053</v>
      </c>
      <c r="M33" s="29">
        <f t="shared" si="6"/>
        <v>2433.8600000000015</v>
      </c>
      <c r="N33" s="29"/>
      <c r="O33" s="29"/>
      <c r="P33" s="38"/>
    </row>
    <row r="34" spans="1:25" x14ac:dyDescent="0.3">
      <c r="G34" s="28">
        <v>9</v>
      </c>
      <c r="H34" s="29">
        <v>37</v>
      </c>
      <c r="I34" s="29">
        <v>138</v>
      </c>
      <c r="J34" s="29">
        <v>13.46</v>
      </c>
      <c r="K34" s="29">
        <f t="shared" si="4"/>
        <v>13.46</v>
      </c>
      <c r="L34" s="29">
        <f t="shared" si="5"/>
        <v>498.02000000000004</v>
      </c>
      <c r="M34" s="29">
        <f t="shared" si="6"/>
        <v>1857.48</v>
      </c>
      <c r="N34" s="29"/>
      <c r="O34" s="29"/>
      <c r="P34" s="38"/>
    </row>
    <row r="35" spans="1:25" x14ac:dyDescent="0.3">
      <c r="G35" s="28">
        <v>10</v>
      </c>
      <c r="H35" s="29">
        <v>38</v>
      </c>
      <c r="I35" s="29">
        <v>158</v>
      </c>
      <c r="J35" s="29">
        <v>25.250000000000007</v>
      </c>
      <c r="K35" s="29">
        <f t="shared" si="4"/>
        <v>25.250000000000007</v>
      </c>
      <c r="L35" s="29">
        <f t="shared" si="5"/>
        <v>959.50000000000023</v>
      </c>
      <c r="M35" s="29">
        <f t="shared" si="6"/>
        <v>3989.5000000000009</v>
      </c>
      <c r="N35" s="29"/>
      <c r="O35" s="29"/>
      <c r="P35" s="38"/>
    </row>
    <row r="36" spans="1:25" x14ac:dyDescent="0.3">
      <c r="G36" s="28">
        <v>11</v>
      </c>
      <c r="H36" s="29">
        <v>43</v>
      </c>
      <c r="I36" s="29">
        <v>143</v>
      </c>
      <c r="J36" s="29">
        <v>19.990000000000009</v>
      </c>
      <c r="K36" s="29">
        <f t="shared" si="4"/>
        <v>19.990000000000009</v>
      </c>
      <c r="L36" s="29">
        <f t="shared" si="5"/>
        <v>859.57000000000039</v>
      </c>
      <c r="M36" s="29">
        <f t="shared" si="6"/>
        <v>2858.5700000000015</v>
      </c>
      <c r="N36" s="29"/>
      <c r="O36" s="29"/>
      <c r="P36" s="38"/>
    </row>
    <row r="37" spans="1:25" x14ac:dyDescent="0.3">
      <c r="G37" s="28">
        <v>12</v>
      </c>
      <c r="H37" s="29">
        <v>43</v>
      </c>
      <c r="I37" s="29">
        <v>138</v>
      </c>
      <c r="J37" s="29">
        <v>13.980000000000004</v>
      </c>
      <c r="K37" s="29">
        <f t="shared" si="4"/>
        <v>13.980000000000004</v>
      </c>
      <c r="L37" s="29">
        <f t="shared" si="5"/>
        <v>601.14000000000021</v>
      </c>
      <c r="M37" s="29">
        <f t="shared" si="6"/>
        <v>1929.2400000000005</v>
      </c>
      <c r="N37" s="29"/>
      <c r="O37" s="29"/>
      <c r="P37" s="38"/>
    </row>
    <row r="38" spans="1:25" x14ac:dyDescent="0.3">
      <c r="G38" s="28"/>
      <c r="H38" s="29"/>
      <c r="I38" s="29"/>
      <c r="J38" s="26" t="s">
        <v>144</v>
      </c>
      <c r="K38" s="39">
        <f>SUM(K26:K37)</f>
        <v>216.47000000000008</v>
      </c>
      <c r="L38" s="39">
        <f t="shared" ref="L38" si="7">SUM(L26:L37)</f>
        <v>9128.3700000000008</v>
      </c>
      <c r="M38" s="39">
        <f>SUM(M26:M37)</f>
        <v>31271.96000000001</v>
      </c>
      <c r="N38" s="29"/>
      <c r="O38" s="29"/>
      <c r="P38" s="38"/>
    </row>
    <row r="39" spans="1:25" x14ac:dyDescent="0.3">
      <c r="G39" s="28"/>
      <c r="H39" s="29"/>
      <c r="I39" s="29"/>
      <c r="J39" s="29"/>
      <c r="K39" s="29"/>
      <c r="L39" s="29"/>
      <c r="M39" s="29"/>
      <c r="N39" s="29"/>
      <c r="O39" s="29"/>
      <c r="P39" s="38"/>
    </row>
    <row r="40" spans="1:25" x14ac:dyDescent="0.3">
      <c r="G40" s="25" t="s">
        <v>126</v>
      </c>
      <c r="H40" s="26" t="s">
        <v>127</v>
      </c>
      <c r="I40" s="26" t="s">
        <v>150</v>
      </c>
      <c r="J40" s="26" t="s">
        <v>141</v>
      </c>
      <c r="K40" s="26" t="s">
        <v>151</v>
      </c>
      <c r="L40" s="26" t="s">
        <v>152</v>
      </c>
      <c r="M40" s="26" t="s">
        <v>153</v>
      </c>
      <c r="N40" s="29"/>
      <c r="O40" s="29"/>
      <c r="P40" s="38"/>
    </row>
    <row r="41" spans="1:25" x14ac:dyDescent="0.3">
      <c r="G41" s="28">
        <v>-59.5</v>
      </c>
      <c r="H41" s="29">
        <v>-0.15</v>
      </c>
      <c r="I41" s="29">
        <v>0.6</v>
      </c>
      <c r="J41" s="29">
        <v>1.9999999999999999E-6</v>
      </c>
      <c r="K41" s="29">
        <f>G41+J41*K38</f>
        <v>-59.499567059999997</v>
      </c>
      <c r="L41" s="29">
        <f>H41+J41*L38</f>
        <v>-0.13174326</v>
      </c>
      <c r="M41" s="29">
        <f>I41+J41*M38</f>
        <v>0.66254391999999995</v>
      </c>
      <c r="N41" s="29"/>
      <c r="O41" s="29"/>
      <c r="P41" s="38"/>
    </row>
    <row r="42" spans="1:25" x14ac:dyDescent="0.3">
      <c r="G42" s="28"/>
      <c r="H42" s="29"/>
      <c r="I42" s="29"/>
      <c r="J42" s="29"/>
      <c r="K42" s="29"/>
      <c r="L42" s="29"/>
      <c r="M42" s="29"/>
      <c r="N42" s="29"/>
      <c r="O42" s="29"/>
      <c r="P42" s="38"/>
    </row>
    <row r="43" spans="1:25" x14ac:dyDescent="0.3">
      <c r="G43" s="28"/>
      <c r="H43" s="26" t="s">
        <v>143</v>
      </c>
      <c r="I43" s="26" t="s">
        <v>129</v>
      </c>
      <c r="J43" s="26" t="s">
        <v>133</v>
      </c>
      <c r="K43" s="26" t="s">
        <v>134</v>
      </c>
      <c r="L43" s="26" t="s">
        <v>136</v>
      </c>
      <c r="M43" s="26" t="s">
        <v>138</v>
      </c>
      <c r="N43" s="29"/>
      <c r="O43" s="29"/>
      <c r="P43" s="38"/>
    </row>
    <row r="44" spans="1:25" x14ac:dyDescent="0.3">
      <c r="G44" s="32"/>
      <c r="H44" s="33">
        <f>K41</f>
        <v>-59.499567059999997</v>
      </c>
      <c r="I44" s="33">
        <f>L41</f>
        <v>-0.13174326</v>
      </c>
      <c r="J44" s="33">
        <v>41</v>
      </c>
      <c r="K44" s="33">
        <f>M41</f>
        <v>0.66254391999999995</v>
      </c>
      <c r="L44" s="33">
        <v>138</v>
      </c>
      <c r="M44" s="40">
        <f>H44+(I44*J44)+(K44*L44)</f>
        <v>26.530020239999999</v>
      </c>
      <c r="N44" s="33"/>
      <c r="O44" s="33"/>
      <c r="P44" s="41"/>
    </row>
    <row r="46" spans="1:25" x14ac:dyDescent="0.3">
      <c r="A46" s="47" t="s">
        <v>77</v>
      </c>
      <c r="B46" s="48" t="s">
        <v>24</v>
      </c>
      <c r="C46" s="48" t="s">
        <v>165</v>
      </c>
      <c r="D46" s="48" t="s">
        <v>159</v>
      </c>
      <c r="E46" s="48" t="s">
        <v>160</v>
      </c>
      <c r="F46" s="49"/>
      <c r="G46" s="49"/>
      <c r="H46" s="50" t="s">
        <v>164</v>
      </c>
      <c r="I46" s="50"/>
      <c r="J46" s="49" t="s">
        <v>83</v>
      </c>
      <c r="K46" s="48" t="s">
        <v>168</v>
      </c>
      <c r="L46" s="48" t="s">
        <v>169</v>
      </c>
      <c r="M46" s="48" t="s">
        <v>24</v>
      </c>
      <c r="N46" s="48" t="s">
        <v>170</v>
      </c>
      <c r="O46" s="48" t="s">
        <v>171</v>
      </c>
      <c r="P46" s="48" t="s">
        <v>172</v>
      </c>
      <c r="Q46" s="48" t="s">
        <v>174</v>
      </c>
      <c r="R46" s="48" t="s">
        <v>173</v>
      </c>
      <c r="S46" s="48" t="s">
        <v>175</v>
      </c>
      <c r="T46" s="48" t="s">
        <v>160</v>
      </c>
      <c r="U46" s="48" t="s">
        <v>176</v>
      </c>
      <c r="V46" s="48" t="s">
        <v>159</v>
      </c>
      <c r="W46" s="48" t="s">
        <v>177</v>
      </c>
      <c r="X46" s="48" t="s">
        <v>178</v>
      </c>
      <c r="Y46" s="51" t="s">
        <v>179</v>
      </c>
    </row>
    <row r="47" spans="1:25" x14ac:dyDescent="0.3">
      <c r="A47" s="28">
        <v>1</v>
      </c>
      <c r="B47" s="29">
        <v>56</v>
      </c>
      <c r="C47" s="29" t="s">
        <v>166</v>
      </c>
      <c r="D47" s="29">
        <v>1.6</v>
      </c>
      <c r="E47" s="29">
        <v>109.32</v>
      </c>
      <c r="F47" s="29"/>
      <c r="G47" s="29"/>
      <c r="H47" s="42" t="s">
        <v>157</v>
      </c>
      <c r="I47" s="42" t="s">
        <v>158</v>
      </c>
      <c r="J47" s="29">
        <v>1</v>
      </c>
      <c r="K47" s="43">
        <f>$I$48</f>
        <v>-3.8239800000000002</v>
      </c>
      <c r="L47" s="43">
        <f>$I$49</f>
        <v>-2.9899999999999999E-2</v>
      </c>
      <c r="M47" s="29">
        <f>B47</f>
        <v>56</v>
      </c>
      <c r="N47" s="43">
        <f>$I$50</f>
        <v>-9.0889999999999999E-2</v>
      </c>
      <c r="O47" s="29">
        <f>IF(C47="a",1,0)</f>
        <v>0</v>
      </c>
      <c r="P47" s="29">
        <f>IF(C47="b",1,0)</f>
        <v>1</v>
      </c>
      <c r="Q47" s="43">
        <f>$I$51</f>
        <v>-0.19558</v>
      </c>
      <c r="R47" s="29">
        <f>IF(C47="c",1,0)</f>
        <v>0</v>
      </c>
      <c r="S47" s="29">
        <f>$I$52</f>
        <v>2.9989999999999999E-2</v>
      </c>
      <c r="T47" s="29">
        <f>E47</f>
        <v>109.32</v>
      </c>
      <c r="U47" s="29">
        <f>$I$53</f>
        <v>0.74572000000000005</v>
      </c>
      <c r="V47" s="29">
        <f>D47</f>
        <v>1.6</v>
      </c>
      <c r="W47" s="44">
        <f>K47+(L47*M47)+(N47*O47)+(N47*P47)+(Q47*R47)+(S47*T47)+(U47*V47)</f>
        <v>-1.1176112</v>
      </c>
      <c r="X47" s="44">
        <f>(1)/(1+EXP(-W47))</f>
        <v>0.24645465021489826</v>
      </c>
      <c r="Y47" s="38" t="str">
        <f>IF(X47&gt;=0.5,"Yes","No")</f>
        <v>No</v>
      </c>
    </row>
    <row r="48" spans="1:25" x14ac:dyDescent="0.3">
      <c r="A48" s="28">
        <v>2</v>
      </c>
      <c r="B48" s="29">
        <v>21</v>
      </c>
      <c r="C48" s="29" t="s">
        <v>33</v>
      </c>
      <c r="D48" s="29">
        <v>4.92</v>
      </c>
      <c r="E48" s="29">
        <v>11.28</v>
      </c>
      <c r="F48" s="29"/>
      <c r="G48" s="29"/>
      <c r="H48" s="45" t="s">
        <v>163</v>
      </c>
      <c r="I48" s="46">
        <v>-3.8239800000000002</v>
      </c>
      <c r="J48" s="29">
        <v>2</v>
      </c>
      <c r="K48" s="43">
        <f t="shared" ref="K48:K51" si="8">$I$48</f>
        <v>-3.8239800000000002</v>
      </c>
      <c r="L48" s="43">
        <f t="shared" ref="L48:L51" si="9">$I$49</f>
        <v>-2.9899999999999999E-2</v>
      </c>
      <c r="M48" s="29">
        <f t="shared" ref="M48:M51" si="10">B48</f>
        <v>21</v>
      </c>
      <c r="N48" s="43">
        <f t="shared" ref="N48:N51" si="11">$I$50</f>
        <v>-9.0889999999999999E-2</v>
      </c>
      <c r="O48" s="29">
        <f t="shared" ref="O48:O51" si="12">IF(C48="a",1,0)</f>
        <v>0</v>
      </c>
      <c r="P48" s="29">
        <f t="shared" ref="P48:P51" si="13">IF(C48="b",1,0)</f>
        <v>0</v>
      </c>
      <c r="Q48" s="43">
        <f t="shared" ref="Q48:Q51" si="14">$I$51</f>
        <v>-0.19558</v>
      </c>
      <c r="R48" s="29">
        <f t="shared" ref="R48:R51" si="15">IF(C48="c",1,0)</f>
        <v>1</v>
      </c>
      <c r="S48" s="29">
        <f t="shared" ref="S48:S51" si="16">$I$52</f>
        <v>2.9989999999999999E-2</v>
      </c>
      <c r="T48" s="29">
        <f t="shared" ref="T48:T51" si="17">E48</f>
        <v>11.28</v>
      </c>
      <c r="U48" s="29">
        <f t="shared" ref="U48:U51" si="18">$I$53</f>
        <v>0.74572000000000005</v>
      </c>
      <c r="V48" s="29">
        <f t="shared" ref="V48:V51" si="19">D48</f>
        <v>4.92</v>
      </c>
      <c r="W48" s="44">
        <f t="shared" ref="W48:W51" si="20">K48+(L48*M48)+(N48*O48)+(N48*P48)+(Q48*R48)+(S48*T48)+(U48*V48)</f>
        <v>-0.64023039999999964</v>
      </c>
      <c r="X48" s="44">
        <f t="shared" ref="X48:X51" si="21">(1)/(1+EXP(-W48))</f>
        <v>0.34519445901602186</v>
      </c>
      <c r="Y48" s="38" t="str">
        <f t="shared" ref="Y48:Y51" si="22">IF(X48&gt;=0.5,"Yes","No")</f>
        <v>No</v>
      </c>
    </row>
    <row r="49" spans="1:25" x14ac:dyDescent="0.3">
      <c r="A49" s="28">
        <v>3</v>
      </c>
      <c r="B49" s="29">
        <v>48</v>
      </c>
      <c r="C49" s="29" t="s">
        <v>166</v>
      </c>
      <c r="D49" s="29">
        <v>1.21</v>
      </c>
      <c r="E49" s="29">
        <v>161.19</v>
      </c>
      <c r="F49" s="29"/>
      <c r="G49" s="29"/>
      <c r="H49" s="45" t="s">
        <v>24</v>
      </c>
      <c r="I49" s="46">
        <v>-2.9899999999999999E-2</v>
      </c>
      <c r="J49" s="29">
        <v>3</v>
      </c>
      <c r="K49" s="43">
        <f t="shared" si="8"/>
        <v>-3.8239800000000002</v>
      </c>
      <c r="L49" s="43">
        <f t="shared" si="9"/>
        <v>-2.9899999999999999E-2</v>
      </c>
      <c r="M49" s="29">
        <f t="shared" si="10"/>
        <v>48</v>
      </c>
      <c r="N49" s="43">
        <f t="shared" si="11"/>
        <v>-9.0889999999999999E-2</v>
      </c>
      <c r="O49" s="29">
        <f t="shared" si="12"/>
        <v>0</v>
      </c>
      <c r="P49" s="29">
        <f t="shared" si="13"/>
        <v>1</v>
      </c>
      <c r="Q49" s="43">
        <f t="shared" si="14"/>
        <v>-0.19558</v>
      </c>
      <c r="R49" s="29">
        <f t="shared" si="15"/>
        <v>0</v>
      </c>
      <c r="S49" s="29">
        <f t="shared" si="16"/>
        <v>2.9989999999999999E-2</v>
      </c>
      <c r="T49" s="29">
        <f t="shared" si="17"/>
        <v>161.19</v>
      </c>
      <c r="U49" s="29">
        <f t="shared" si="18"/>
        <v>0.74572000000000005</v>
      </c>
      <c r="V49" s="29">
        <f t="shared" si="19"/>
        <v>1.21</v>
      </c>
      <c r="W49" s="44">
        <f t="shared" si="20"/>
        <v>0.38633929999999927</v>
      </c>
      <c r="X49" s="44">
        <f t="shared" si="21"/>
        <v>0.59540115056894449</v>
      </c>
      <c r="Y49" s="38" t="str">
        <f t="shared" si="22"/>
        <v>Yes</v>
      </c>
    </row>
    <row r="50" spans="1:25" x14ac:dyDescent="0.3">
      <c r="A50" s="28">
        <v>4</v>
      </c>
      <c r="B50" s="29">
        <v>37</v>
      </c>
      <c r="C50" s="29" t="s">
        <v>33</v>
      </c>
      <c r="D50" s="29">
        <v>0.72</v>
      </c>
      <c r="E50" s="29">
        <v>170.65</v>
      </c>
      <c r="F50" s="29"/>
      <c r="G50" s="29"/>
      <c r="H50" s="45" t="s">
        <v>162</v>
      </c>
      <c r="I50" s="46">
        <v>-9.0889999999999999E-2</v>
      </c>
      <c r="J50" s="29">
        <v>4</v>
      </c>
      <c r="K50" s="43">
        <f t="shared" si="8"/>
        <v>-3.8239800000000002</v>
      </c>
      <c r="L50" s="43">
        <f t="shared" si="9"/>
        <v>-2.9899999999999999E-2</v>
      </c>
      <c r="M50" s="29">
        <f t="shared" si="10"/>
        <v>37</v>
      </c>
      <c r="N50" s="43">
        <f t="shared" si="11"/>
        <v>-9.0889999999999999E-2</v>
      </c>
      <c r="O50" s="29">
        <f t="shared" si="12"/>
        <v>0</v>
      </c>
      <c r="P50" s="29">
        <f t="shared" si="13"/>
        <v>0</v>
      </c>
      <c r="Q50" s="43">
        <f t="shared" si="14"/>
        <v>-0.19558</v>
      </c>
      <c r="R50" s="29">
        <f t="shared" si="15"/>
        <v>1</v>
      </c>
      <c r="S50" s="29">
        <f t="shared" si="16"/>
        <v>2.9989999999999999E-2</v>
      </c>
      <c r="T50" s="29">
        <f t="shared" si="17"/>
        <v>170.65</v>
      </c>
      <c r="U50" s="29">
        <f t="shared" si="18"/>
        <v>0.74572000000000005</v>
      </c>
      <c r="V50" s="29">
        <f t="shared" si="19"/>
        <v>0.72</v>
      </c>
      <c r="W50" s="44">
        <f t="shared" si="20"/>
        <v>0.52885190000000093</v>
      </c>
      <c r="X50" s="44">
        <f t="shared" si="21"/>
        <v>0.62921529608598437</v>
      </c>
      <c r="Y50" s="38" t="str">
        <f t="shared" si="22"/>
        <v>Yes</v>
      </c>
    </row>
    <row r="51" spans="1:25" x14ac:dyDescent="0.3">
      <c r="A51" s="28">
        <v>5</v>
      </c>
      <c r="B51" s="29">
        <v>32</v>
      </c>
      <c r="C51" s="29" t="s">
        <v>167</v>
      </c>
      <c r="D51" s="29">
        <v>1.08</v>
      </c>
      <c r="E51" s="29">
        <v>165.39</v>
      </c>
      <c r="F51" s="29"/>
      <c r="G51" s="29"/>
      <c r="H51" s="45" t="s">
        <v>161</v>
      </c>
      <c r="I51" s="46">
        <v>-0.19558</v>
      </c>
      <c r="J51" s="29">
        <v>5</v>
      </c>
      <c r="K51" s="43">
        <f t="shared" si="8"/>
        <v>-3.8239800000000002</v>
      </c>
      <c r="L51" s="43">
        <f t="shared" si="9"/>
        <v>-2.9899999999999999E-2</v>
      </c>
      <c r="M51" s="29">
        <f t="shared" si="10"/>
        <v>32</v>
      </c>
      <c r="N51" s="43">
        <f t="shared" si="11"/>
        <v>-9.0889999999999999E-2</v>
      </c>
      <c r="O51" s="29">
        <f t="shared" si="12"/>
        <v>1</v>
      </c>
      <c r="P51" s="29">
        <f t="shared" si="13"/>
        <v>0</v>
      </c>
      <c r="Q51" s="43">
        <f t="shared" si="14"/>
        <v>-0.19558</v>
      </c>
      <c r="R51" s="29">
        <f t="shared" si="15"/>
        <v>0</v>
      </c>
      <c r="S51" s="29">
        <f t="shared" si="16"/>
        <v>2.9989999999999999E-2</v>
      </c>
      <c r="T51" s="29">
        <f t="shared" si="17"/>
        <v>165.39</v>
      </c>
      <c r="U51" s="29">
        <f t="shared" si="18"/>
        <v>0.74572000000000005</v>
      </c>
      <c r="V51" s="29">
        <f t="shared" si="19"/>
        <v>1.08</v>
      </c>
      <c r="W51" s="44">
        <f t="shared" si="20"/>
        <v>0.89375369999999976</v>
      </c>
      <c r="X51" s="44">
        <f t="shared" si="21"/>
        <v>0.70966419664582736</v>
      </c>
      <c r="Y51" s="38" t="str">
        <f t="shared" si="22"/>
        <v>Yes</v>
      </c>
    </row>
    <row r="52" spans="1:25" x14ac:dyDescent="0.3">
      <c r="A52" s="28"/>
      <c r="B52" s="29"/>
      <c r="C52" s="29"/>
      <c r="D52" s="29"/>
      <c r="E52" s="29"/>
      <c r="F52" s="29"/>
      <c r="G52" s="29"/>
      <c r="H52" s="45" t="s">
        <v>160</v>
      </c>
      <c r="I52" s="45">
        <v>2.9989999999999999E-2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38"/>
    </row>
    <row r="53" spans="1:25" x14ac:dyDescent="0.3">
      <c r="A53" s="32"/>
      <c r="B53" s="33"/>
      <c r="C53" s="33"/>
      <c r="D53" s="33"/>
      <c r="E53" s="33"/>
      <c r="F53" s="33"/>
      <c r="G53" s="33"/>
      <c r="H53" s="52" t="s">
        <v>159</v>
      </c>
      <c r="I53" s="52">
        <v>0.74572000000000005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41"/>
    </row>
    <row r="55" spans="1:25" x14ac:dyDescent="0.3">
      <c r="F55" s="36"/>
      <c r="G55" s="49"/>
      <c r="H55" s="53" t="s">
        <v>182</v>
      </c>
      <c r="I55" s="49"/>
      <c r="J55" s="49"/>
      <c r="K55" s="49"/>
      <c r="L55" s="49"/>
      <c r="M55" s="49"/>
      <c r="N55" s="49"/>
      <c r="O55" s="49"/>
      <c r="P55" s="54"/>
    </row>
    <row r="56" spans="1:25" x14ac:dyDescent="0.3">
      <c r="F56" s="28"/>
      <c r="G56" s="29"/>
      <c r="H56" s="55" t="s">
        <v>190</v>
      </c>
      <c r="I56" s="29"/>
      <c r="J56" s="29"/>
      <c r="K56" s="29"/>
      <c r="L56" s="29"/>
      <c r="M56" s="29"/>
      <c r="N56" s="29"/>
      <c r="O56" s="29"/>
      <c r="P56" s="38"/>
    </row>
    <row r="57" spans="1:25" x14ac:dyDescent="0.3">
      <c r="F57" s="28"/>
      <c r="G57" s="26" t="s">
        <v>183</v>
      </c>
      <c r="H57" s="26" t="s">
        <v>184</v>
      </c>
      <c r="I57" s="26" t="s">
        <v>167</v>
      </c>
      <c r="J57" s="26" t="s">
        <v>180</v>
      </c>
      <c r="K57" s="26" t="s">
        <v>186</v>
      </c>
      <c r="L57" s="26" t="s">
        <v>181</v>
      </c>
      <c r="M57" s="26" t="s">
        <v>187</v>
      </c>
      <c r="N57" s="26" t="s">
        <v>126</v>
      </c>
      <c r="O57" s="29"/>
      <c r="P57" s="38"/>
    </row>
    <row r="58" spans="1:25" x14ac:dyDescent="0.3">
      <c r="F58" s="28"/>
      <c r="G58" s="29">
        <v>1</v>
      </c>
      <c r="H58" s="29">
        <v>1</v>
      </c>
      <c r="I58" s="29">
        <v>23.056000000000001</v>
      </c>
      <c r="J58" s="29">
        <v>-0.22500000000000001</v>
      </c>
      <c r="K58" s="29">
        <v>-0.314</v>
      </c>
      <c r="L58" s="29">
        <v>0.217</v>
      </c>
      <c r="M58" s="29">
        <v>-0.251</v>
      </c>
      <c r="N58" s="29">
        <v>-0.18379999999999999</v>
      </c>
      <c r="O58" s="29">
        <f>H58*I58*((J58*K58)+(L58*M58))+N58</f>
        <v>0.18931524800000007</v>
      </c>
      <c r="P58" s="38"/>
    </row>
    <row r="59" spans="1:25" x14ac:dyDescent="0.3">
      <c r="F59" s="28"/>
      <c r="G59" s="29">
        <v>2</v>
      </c>
      <c r="H59" s="29">
        <v>-1</v>
      </c>
      <c r="I59" s="29">
        <v>6.9980000000000002</v>
      </c>
      <c r="J59" s="29">
        <v>-6.6000000000000003E-2</v>
      </c>
      <c r="K59" s="29">
        <v>-0.314</v>
      </c>
      <c r="L59" s="29">
        <v>-6.9000000000000006E-2</v>
      </c>
      <c r="M59" s="29">
        <v>-0.251</v>
      </c>
      <c r="N59" s="29">
        <v>-0.18379999999999999</v>
      </c>
      <c r="O59" s="29">
        <f t="shared" ref="O59:O60" si="23">H59*I59*((J59*K59)+(L59*M59))+N59</f>
        <v>-0.450024914</v>
      </c>
      <c r="P59" s="38"/>
    </row>
    <row r="60" spans="1:25" x14ac:dyDescent="0.3">
      <c r="F60" s="28"/>
      <c r="G60" s="29">
        <v>3</v>
      </c>
      <c r="H60" s="29">
        <v>-1</v>
      </c>
      <c r="I60" s="29">
        <v>16.058</v>
      </c>
      <c r="J60" s="29">
        <v>-0.27300000000000002</v>
      </c>
      <c r="K60" s="29">
        <v>-0.314</v>
      </c>
      <c r="L60" s="29">
        <v>0.08</v>
      </c>
      <c r="M60" s="29">
        <v>-0.251</v>
      </c>
      <c r="N60" s="29">
        <v>-0.18379999999999999</v>
      </c>
      <c r="O60" s="29">
        <f t="shared" si="23"/>
        <v>-1.2378792359999999</v>
      </c>
      <c r="P60" s="38"/>
    </row>
    <row r="61" spans="1:25" x14ac:dyDescent="0.3">
      <c r="F61" s="28"/>
      <c r="G61" s="29"/>
      <c r="H61" s="29"/>
      <c r="I61" s="29"/>
      <c r="J61" s="29"/>
      <c r="K61" s="29"/>
      <c r="L61" s="29"/>
      <c r="M61" s="29"/>
      <c r="N61" s="26" t="s">
        <v>185</v>
      </c>
      <c r="O61" s="44">
        <f>SUM(O58:O60)</f>
        <v>-1.4985889019999998</v>
      </c>
      <c r="P61" s="27" t="str">
        <f>IF(O61&gt;0, "Good","Faulty")</f>
        <v>Faulty</v>
      </c>
    </row>
    <row r="62" spans="1:25" x14ac:dyDescent="0.3">
      <c r="F62" s="28"/>
      <c r="G62" s="29"/>
      <c r="H62" s="55" t="s">
        <v>190</v>
      </c>
      <c r="I62" s="29"/>
      <c r="J62" s="29"/>
      <c r="K62" s="29"/>
      <c r="L62" s="29"/>
      <c r="M62" s="29"/>
      <c r="N62" s="29"/>
      <c r="O62" s="29"/>
      <c r="P62" s="38"/>
    </row>
    <row r="63" spans="1:25" x14ac:dyDescent="0.3">
      <c r="F63" s="28"/>
      <c r="G63" s="26" t="s">
        <v>183</v>
      </c>
      <c r="H63" s="26" t="s">
        <v>184</v>
      </c>
      <c r="I63" s="26" t="s">
        <v>167</v>
      </c>
      <c r="J63" s="26" t="s">
        <v>180</v>
      </c>
      <c r="K63" s="26" t="s">
        <v>188</v>
      </c>
      <c r="L63" s="26" t="s">
        <v>181</v>
      </c>
      <c r="M63" s="26" t="s">
        <v>189</v>
      </c>
      <c r="N63" s="26" t="s">
        <v>126</v>
      </c>
      <c r="O63" s="29"/>
      <c r="P63" s="38"/>
    </row>
    <row r="64" spans="1:25" x14ac:dyDescent="0.3">
      <c r="F64" s="28"/>
      <c r="G64" s="29">
        <v>1</v>
      </c>
      <c r="H64" s="29">
        <v>1</v>
      </c>
      <c r="I64" s="29">
        <v>23.056000000000001</v>
      </c>
      <c r="J64" s="29">
        <v>-0.22500000000000001</v>
      </c>
      <c r="K64" s="29">
        <v>-0.11700000000000001</v>
      </c>
      <c r="L64" s="29">
        <v>0.217</v>
      </c>
      <c r="M64" s="29">
        <v>0.31</v>
      </c>
      <c r="N64" s="29">
        <v>-0.18379999999999999</v>
      </c>
      <c r="O64" s="29">
        <f>H64*I64*((J64*K64)+(L64*M64))+N64</f>
        <v>1.9741263200000001</v>
      </c>
      <c r="P64" s="38"/>
    </row>
    <row r="65" spans="6:16" x14ac:dyDescent="0.3">
      <c r="F65" s="28"/>
      <c r="G65" s="29">
        <v>2</v>
      </c>
      <c r="H65" s="29">
        <v>-1</v>
      </c>
      <c r="I65" s="29">
        <v>6.9980000000000002</v>
      </c>
      <c r="J65" s="29">
        <v>-6.6000000000000003E-2</v>
      </c>
      <c r="K65" s="29">
        <v>-0.11700000000000001</v>
      </c>
      <c r="L65" s="29">
        <v>-6.9000000000000006E-2</v>
      </c>
      <c r="M65" s="29">
        <v>0.31</v>
      </c>
      <c r="N65" s="29">
        <v>-0.18379999999999999</v>
      </c>
      <c r="O65" s="29">
        <f t="shared" ref="O65:O66" si="24">H65*I65*((J65*K65)+(L65*M65))+N65</f>
        <v>-8.8151335999999969E-2</v>
      </c>
      <c r="P65" s="38"/>
    </row>
    <row r="66" spans="6:16" x14ac:dyDescent="0.3">
      <c r="F66" s="28"/>
      <c r="G66" s="29">
        <v>3</v>
      </c>
      <c r="H66" s="29">
        <v>-1</v>
      </c>
      <c r="I66" s="29">
        <v>16.058</v>
      </c>
      <c r="J66" s="29">
        <v>-0.27300000000000002</v>
      </c>
      <c r="K66" s="29">
        <v>-0.11700000000000001</v>
      </c>
      <c r="L66" s="29">
        <v>0.08</v>
      </c>
      <c r="M66" s="29">
        <v>0.31</v>
      </c>
      <c r="N66" s="29">
        <v>-0.18379999999999999</v>
      </c>
      <c r="O66" s="29">
        <f t="shared" si="24"/>
        <v>-1.0949469780000001</v>
      </c>
      <c r="P66" s="38"/>
    </row>
    <row r="67" spans="6:16" x14ac:dyDescent="0.3">
      <c r="F67" s="28"/>
      <c r="G67" s="29"/>
      <c r="H67" s="29"/>
      <c r="I67" s="29"/>
      <c r="J67" s="29"/>
      <c r="K67" s="29"/>
      <c r="L67" s="29"/>
      <c r="M67" s="29"/>
      <c r="N67" s="26" t="s">
        <v>185</v>
      </c>
      <c r="O67" s="44">
        <f>SUM(O64:O66)</f>
        <v>0.79102800600000012</v>
      </c>
      <c r="P67" s="27" t="str">
        <f>IF(O67&gt;0, "Good","Faulty")</f>
        <v>Good</v>
      </c>
    </row>
    <row r="68" spans="6:16" x14ac:dyDescent="0.3">
      <c r="F68" s="28"/>
      <c r="G68" s="29"/>
      <c r="H68" s="55" t="s">
        <v>191</v>
      </c>
      <c r="I68" s="29"/>
      <c r="J68" s="29"/>
      <c r="K68" s="29"/>
      <c r="L68" s="29"/>
      <c r="M68" s="29"/>
      <c r="N68" s="29"/>
      <c r="O68" s="29"/>
      <c r="P68" s="38"/>
    </row>
    <row r="69" spans="6:16" x14ac:dyDescent="0.3">
      <c r="F69" s="28"/>
      <c r="G69" s="26" t="s">
        <v>183</v>
      </c>
      <c r="H69" s="26" t="s">
        <v>184</v>
      </c>
      <c r="I69" s="26" t="s">
        <v>167</v>
      </c>
      <c r="J69" s="26" t="s">
        <v>180</v>
      </c>
      <c r="K69" s="26" t="s">
        <v>186</v>
      </c>
      <c r="L69" s="26" t="s">
        <v>181</v>
      </c>
      <c r="M69" s="26" t="s">
        <v>187</v>
      </c>
      <c r="N69" s="26" t="s">
        <v>126</v>
      </c>
      <c r="O69" s="26"/>
      <c r="P69" s="38"/>
    </row>
    <row r="70" spans="6:16" x14ac:dyDescent="0.3">
      <c r="F70" s="28"/>
      <c r="G70" s="29">
        <v>1</v>
      </c>
      <c r="H70" s="29">
        <v>1</v>
      </c>
      <c r="I70" s="29">
        <v>7.1654999999999998</v>
      </c>
      <c r="J70" s="29">
        <v>0.2351</v>
      </c>
      <c r="K70" s="29">
        <v>0.9</v>
      </c>
      <c r="L70" s="29">
        <v>0.40160000000000001</v>
      </c>
      <c r="M70" s="29">
        <v>-0.9</v>
      </c>
      <c r="N70" s="29">
        <v>0.30740000000000001</v>
      </c>
      <c r="O70" s="29">
        <f>H70*I70*((J70*K70)+(L70*M70))+N70</f>
        <v>-0.76635017500000024</v>
      </c>
      <c r="P70" s="38"/>
    </row>
    <row r="71" spans="6:16" x14ac:dyDescent="0.3">
      <c r="F71" s="28"/>
      <c r="G71" s="29">
        <v>2</v>
      </c>
      <c r="H71" s="29">
        <v>1</v>
      </c>
      <c r="I71" s="29">
        <v>6.9059999999999997</v>
      </c>
      <c r="J71" s="29">
        <v>-0.1764</v>
      </c>
      <c r="K71" s="29">
        <v>0.9</v>
      </c>
      <c r="L71" s="29">
        <v>-0.19159999999999999</v>
      </c>
      <c r="M71" s="29">
        <v>-0.9</v>
      </c>
      <c r="N71" s="29">
        <v>0.30740000000000001</v>
      </c>
      <c r="O71" s="29">
        <f t="shared" ref="O71:O74" si="25">H71*I71*((J71*K71)+(L71*M71))+N71</f>
        <v>0.40187407999999997</v>
      </c>
      <c r="P71" s="38"/>
    </row>
    <row r="72" spans="6:16" x14ac:dyDescent="0.3">
      <c r="F72" s="28"/>
      <c r="G72" s="29">
        <v>3</v>
      </c>
      <c r="H72" s="29">
        <v>-1</v>
      </c>
      <c r="I72" s="29">
        <v>2.0032999999999999</v>
      </c>
      <c r="J72" s="29">
        <v>0.30570000000000003</v>
      </c>
      <c r="K72" s="29">
        <v>0.9</v>
      </c>
      <c r="L72" s="29">
        <v>-0.93940000000000001</v>
      </c>
      <c r="M72" s="29">
        <v>-0.9</v>
      </c>
      <c r="N72" s="29">
        <v>0.30740000000000001</v>
      </c>
      <c r="O72" s="29">
        <f t="shared" si="25"/>
        <v>-1.9374779470000001</v>
      </c>
      <c r="P72" s="38"/>
    </row>
    <row r="73" spans="6:16" x14ac:dyDescent="0.3">
      <c r="F73" s="28"/>
      <c r="G73" s="29">
        <v>4</v>
      </c>
      <c r="H73" s="29">
        <v>-1</v>
      </c>
      <c r="I73" s="29">
        <v>6.1143999999999998</v>
      </c>
      <c r="J73" s="29">
        <v>0.55900000000000005</v>
      </c>
      <c r="K73" s="29">
        <v>0.9</v>
      </c>
      <c r="L73" s="29">
        <v>0.63529999999999998</v>
      </c>
      <c r="M73" s="29">
        <v>-0.9</v>
      </c>
      <c r="N73" s="29">
        <v>0.30740000000000001</v>
      </c>
      <c r="O73" s="29">
        <f t="shared" si="25"/>
        <v>0.72727584799999945</v>
      </c>
      <c r="P73" s="38"/>
    </row>
    <row r="74" spans="6:16" x14ac:dyDescent="0.3">
      <c r="F74" s="28"/>
      <c r="G74" s="29">
        <v>5</v>
      </c>
      <c r="H74" s="29">
        <v>-1</v>
      </c>
      <c r="I74" s="29">
        <v>5.9538000000000002</v>
      </c>
      <c r="J74" s="29">
        <v>-0.66</v>
      </c>
      <c r="K74" s="29">
        <v>0.9</v>
      </c>
      <c r="L74" s="29">
        <v>-0.11749999999999999</v>
      </c>
      <c r="M74" s="29">
        <v>-0.9</v>
      </c>
      <c r="N74" s="29">
        <v>0.30740000000000001</v>
      </c>
      <c r="O74" s="29">
        <f t="shared" si="25"/>
        <v>3.2143428500000004</v>
      </c>
      <c r="P74" s="38"/>
    </row>
    <row r="75" spans="6:16" x14ac:dyDescent="0.3">
      <c r="F75" s="28"/>
      <c r="G75" s="29"/>
      <c r="H75" s="29"/>
      <c r="I75" s="29"/>
      <c r="J75" s="29"/>
      <c r="K75" s="29"/>
      <c r="L75" s="29"/>
      <c r="M75" s="29"/>
      <c r="N75" s="26" t="s">
        <v>185</v>
      </c>
      <c r="O75" s="44">
        <f>SUM(O70:O74)</f>
        <v>1.6396646559999997</v>
      </c>
      <c r="P75" s="27" t="str">
        <f>IF(O75&gt;0, "Dangerous","Safe")</f>
        <v>Dangerous</v>
      </c>
    </row>
    <row r="76" spans="6:16" x14ac:dyDescent="0.3">
      <c r="F76" s="28"/>
      <c r="G76" s="29"/>
      <c r="H76" s="55" t="s">
        <v>192</v>
      </c>
      <c r="I76" s="29"/>
      <c r="J76" s="29"/>
      <c r="K76" s="29"/>
      <c r="L76" s="29"/>
      <c r="M76" s="29"/>
      <c r="N76" s="29"/>
      <c r="O76" s="29"/>
      <c r="P76" s="38"/>
    </row>
    <row r="77" spans="6:16" x14ac:dyDescent="0.3">
      <c r="F77" s="28"/>
      <c r="G77" s="26" t="s">
        <v>183</v>
      </c>
      <c r="H77" s="26" t="s">
        <v>184</v>
      </c>
      <c r="I77" s="26" t="s">
        <v>167</v>
      </c>
      <c r="J77" s="26" t="s">
        <v>180</v>
      </c>
      <c r="K77" s="26" t="s">
        <v>188</v>
      </c>
      <c r="L77" s="26" t="s">
        <v>181</v>
      </c>
      <c r="M77" s="26" t="s">
        <v>189</v>
      </c>
      <c r="N77" s="26" t="s">
        <v>126</v>
      </c>
      <c r="O77" s="26"/>
      <c r="P77" s="38"/>
    </row>
    <row r="78" spans="6:16" x14ac:dyDescent="0.3">
      <c r="F78" s="28"/>
      <c r="G78" s="29">
        <v>1</v>
      </c>
      <c r="H78" s="29">
        <v>1</v>
      </c>
      <c r="I78" s="29">
        <v>7.1654999999999998</v>
      </c>
      <c r="J78" s="29">
        <v>0.2351</v>
      </c>
      <c r="K78" s="29">
        <v>0.22</v>
      </c>
      <c r="L78" s="29">
        <v>0.40160000000000001</v>
      </c>
      <c r="M78" s="29">
        <v>0.16</v>
      </c>
      <c r="N78" s="29">
        <v>0.30740000000000001</v>
      </c>
      <c r="O78" s="29">
        <f>H78*I78*((J78*K78)+(L78*M78))+N78</f>
        <v>1.1384403590000001</v>
      </c>
      <c r="P78" s="38"/>
    </row>
    <row r="79" spans="6:16" x14ac:dyDescent="0.3">
      <c r="F79" s="28"/>
      <c r="G79" s="29">
        <v>2</v>
      </c>
      <c r="H79" s="29">
        <v>1</v>
      </c>
      <c r="I79" s="29">
        <v>6.9059999999999997</v>
      </c>
      <c r="J79" s="29">
        <v>-0.1764</v>
      </c>
      <c r="K79" s="29">
        <v>0.22</v>
      </c>
      <c r="L79" s="29">
        <v>-0.19159999999999999</v>
      </c>
      <c r="M79" s="29">
        <v>0.16</v>
      </c>
      <c r="N79" s="29">
        <v>0.30740000000000001</v>
      </c>
      <c r="O79" s="29">
        <f t="shared" ref="O79:O82" si="26">H79*I79*((J79*K79)+(L79*M79))+N79</f>
        <v>-0.17231838399999994</v>
      </c>
      <c r="P79" s="38"/>
    </row>
    <row r="80" spans="6:16" x14ac:dyDescent="0.3">
      <c r="F80" s="28"/>
      <c r="G80" s="29">
        <v>3</v>
      </c>
      <c r="H80" s="29">
        <v>-1</v>
      </c>
      <c r="I80" s="29">
        <v>2.0032999999999999</v>
      </c>
      <c r="J80" s="29">
        <v>0.30570000000000003</v>
      </c>
      <c r="K80" s="29">
        <v>0.22</v>
      </c>
      <c r="L80" s="29">
        <v>-0.93940000000000001</v>
      </c>
      <c r="M80" s="29">
        <v>0.16</v>
      </c>
      <c r="N80" s="29">
        <v>0.30740000000000001</v>
      </c>
      <c r="O80" s="29">
        <f t="shared" si="26"/>
        <v>0.47377406499999997</v>
      </c>
      <c r="P80" s="38"/>
    </row>
    <row r="81" spans="6:16" x14ac:dyDescent="0.3">
      <c r="F81" s="28"/>
      <c r="G81" s="29">
        <v>4</v>
      </c>
      <c r="H81" s="29">
        <v>-1</v>
      </c>
      <c r="I81" s="29">
        <v>6.1143999999999998</v>
      </c>
      <c r="J81" s="29">
        <v>0.55900000000000005</v>
      </c>
      <c r="K81" s="29">
        <v>0.22</v>
      </c>
      <c r="L81" s="29">
        <v>0.63529999999999998</v>
      </c>
      <c r="M81" s="29">
        <v>0.16</v>
      </c>
      <c r="N81" s="29">
        <v>0.30740000000000001</v>
      </c>
      <c r="O81" s="29">
        <f t="shared" si="26"/>
        <v>-1.0660654431999999</v>
      </c>
      <c r="P81" s="38"/>
    </row>
    <row r="82" spans="6:16" x14ac:dyDescent="0.3">
      <c r="F82" s="28"/>
      <c r="G82" s="29">
        <v>5</v>
      </c>
      <c r="H82" s="29">
        <v>-1</v>
      </c>
      <c r="I82" s="29">
        <v>5.9538000000000002</v>
      </c>
      <c r="J82" s="29">
        <v>-0.66</v>
      </c>
      <c r="K82" s="29">
        <v>0.22</v>
      </c>
      <c r="L82" s="29">
        <v>-0.11749999999999999</v>
      </c>
      <c r="M82" s="29">
        <v>0.16</v>
      </c>
      <c r="N82" s="29">
        <v>0.30740000000000001</v>
      </c>
      <c r="O82" s="29">
        <f t="shared" si="26"/>
        <v>1.2838232000000001</v>
      </c>
      <c r="P82" s="38"/>
    </row>
    <row r="83" spans="6:16" x14ac:dyDescent="0.3">
      <c r="F83" s="32"/>
      <c r="G83" s="33"/>
      <c r="H83" s="33"/>
      <c r="I83" s="33"/>
      <c r="J83" s="33"/>
      <c r="K83" s="33"/>
      <c r="L83" s="33"/>
      <c r="M83" s="33"/>
      <c r="N83" s="56" t="s">
        <v>185</v>
      </c>
      <c r="O83" s="40">
        <f>SUM(O78:O82)</f>
        <v>1.6576537968000002</v>
      </c>
      <c r="P83" s="57" t="str">
        <f>IF(O83&gt;0, "Dangerous","Safe")</f>
        <v>Dangerous</v>
      </c>
    </row>
  </sheetData>
  <mergeCells count="5">
    <mergeCell ref="A1:E1"/>
    <mergeCell ref="H1:Q1"/>
    <mergeCell ref="G24:M24"/>
    <mergeCell ref="H8:N8"/>
    <mergeCell ref="O8:P8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1660-B73D-4735-946A-5A9EEC3865DE}">
  <dimension ref="A1:K26"/>
  <sheetViews>
    <sheetView workbookViewId="0">
      <selection activeCell="I9" sqref="I9"/>
    </sheetView>
  </sheetViews>
  <sheetFormatPr defaultRowHeight="14.4" x14ac:dyDescent="0.3"/>
  <sheetData>
    <row r="1" spans="1:11" x14ac:dyDescent="0.3">
      <c r="A1" s="3" t="s">
        <v>183</v>
      </c>
      <c r="B1" s="3" t="s">
        <v>193</v>
      </c>
      <c r="C1" s="3" t="s">
        <v>194</v>
      </c>
      <c r="D1" s="3" t="s">
        <v>195</v>
      </c>
      <c r="E1" s="3" t="s">
        <v>196</v>
      </c>
      <c r="F1" s="3" t="s">
        <v>127</v>
      </c>
      <c r="G1" s="3" t="s">
        <v>150</v>
      </c>
      <c r="H1" s="3" t="s">
        <v>197</v>
      </c>
      <c r="I1" s="3" t="s">
        <v>198</v>
      </c>
      <c r="J1" s="3" t="s">
        <v>199</v>
      </c>
    </row>
    <row r="2" spans="1:11" x14ac:dyDescent="0.3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0.25</v>
      </c>
      <c r="G2" s="4">
        <v>0.25</v>
      </c>
      <c r="H2" s="4">
        <v>0.25</v>
      </c>
      <c r="I2" s="4">
        <v>0.25</v>
      </c>
      <c r="J2" s="59">
        <f>(F2*B2)+(G2*C2)+(H2*D2)+(I2*E2)</f>
        <v>1</v>
      </c>
    </row>
    <row r="3" spans="1:11" x14ac:dyDescent="0.3">
      <c r="A3" s="4">
        <v>2</v>
      </c>
      <c r="B3" s="4">
        <v>1</v>
      </c>
      <c r="C3" s="4">
        <v>0.5</v>
      </c>
      <c r="D3" s="4">
        <v>0.5</v>
      </c>
      <c r="E3" s="4">
        <v>1</v>
      </c>
      <c r="F3" s="4">
        <v>0.25</v>
      </c>
      <c r="G3" s="4">
        <v>0.25</v>
      </c>
      <c r="H3" s="4">
        <v>0.25</v>
      </c>
      <c r="I3" s="4">
        <v>0.25</v>
      </c>
      <c r="J3" s="59">
        <f t="shared" ref="J3:J5" si="0">(F3*B3)+(G3*C3)+(H3*D3)+(I3*E3)</f>
        <v>0.75</v>
      </c>
    </row>
    <row r="4" spans="1:11" x14ac:dyDescent="0.3">
      <c r="A4" s="4">
        <v>3</v>
      </c>
      <c r="B4" s="4">
        <v>1</v>
      </c>
      <c r="C4" s="4">
        <v>0.5</v>
      </c>
      <c r="D4" s="4">
        <v>0.5</v>
      </c>
      <c r="E4" s="4">
        <v>0</v>
      </c>
      <c r="F4" s="4">
        <v>0.25</v>
      </c>
      <c r="G4" s="4">
        <v>0.25</v>
      </c>
      <c r="H4" s="4">
        <v>0.25</v>
      </c>
      <c r="I4" s="4">
        <v>0.25</v>
      </c>
      <c r="J4" s="59">
        <f t="shared" si="0"/>
        <v>0.5</v>
      </c>
    </row>
    <row r="5" spans="1:11" x14ac:dyDescent="0.3">
      <c r="A5" s="4">
        <v>4</v>
      </c>
      <c r="B5" s="4">
        <v>0</v>
      </c>
      <c r="C5" s="4">
        <v>0.5</v>
      </c>
      <c r="D5" s="4">
        <v>0.5</v>
      </c>
      <c r="E5" s="4">
        <v>0</v>
      </c>
      <c r="F5" s="4">
        <v>0.25</v>
      </c>
      <c r="G5" s="4">
        <v>0.25</v>
      </c>
      <c r="H5" s="4">
        <v>0.25</v>
      </c>
      <c r="I5" s="4">
        <v>0.25</v>
      </c>
      <c r="J5" s="59">
        <f t="shared" si="0"/>
        <v>0.25</v>
      </c>
    </row>
    <row r="7" spans="1:11" x14ac:dyDescent="0.3">
      <c r="A7" s="60" t="s">
        <v>209</v>
      </c>
    </row>
    <row r="8" spans="1:11" x14ac:dyDescent="0.3">
      <c r="A8" s="2" t="s">
        <v>203</v>
      </c>
      <c r="B8" s="2" t="s">
        <v>206</v>
      </c>
      <c r="C8" s="2" t="s">
        <v>201</v>
      </c>
      <c r="D8" s="2" t="s">
        <v>202</v>
      </c>
      <c r="E8" s="2" t="s">
        <v>208</v>
      </c>
      <c r="F8" s="2" t="s">
        <v>207</v>
      </c>
      <c r="G8" s="2" t="s">
        <v>204</v>
      </c>
      <c r="H8" s="2" t="s">
        <v>205</v>
      </c>
      <c r="I8" s="2" t="s">
        <v>200</v>
      </c>
      <c r="J8" s="2" t="s">
        <v>199</v>
      </c>
    </row>
    <row r="9" spans="1:11" x14ac:dyDescent="0.3">
      <c r="A9">
        <v>1</v>
      </c>
      <c r="B9">
        <v>1</v>
      </c>
      <c r="C9">
        <v>3.7</v>
      </c>
      <c r="D9">
        <v>-1.5</v>
      </c>
      <c r="E9">
        <f>A9*C9+A10*C9+B9*D9</f>
        <v>2.2000000000000002</v>
      </c>
      <c r="F9" s="61">
        <f>1/(1+EXP(-E9))</f>
        <v>0.9002495108803148</v>
      </c>
      <c r="G9">
        <v>4.5</v>
      </c>
      <c r="H9">
        <v>-2</v>
      </c>
      <c r="I9" s="6">
        <f>F9*G9+F10*G10+B9*H9</f>
        <v>1.1776184016578237</v>
      </c>
      <c r="J9" s="6">
        <f>1/(1+EXP(-I9))</f>
        <v>0.76451931587073263</v>
      </c>
      <c r="K9">
        <v>1</v>
      </c>
    </row>
    <row r="10" spans="1:11" x14ac:dyDescent="0.3">
      <c r="A10">
        <v>0</v>
      </c>
      <c r="B10" s="1">
        <v>1</v>
      </c>
      <c r="C10">
        <v>2.9</v>
      </c>
      <c r="D10">
        <v>-4.5</v>
      </c>
      <c r="E10" s="1">
        <f>A10*C10+A9*C10+B10*D10</f>
        <v>-1.6</v>
      </c>
      <c r="F10" s="61">
        <f>1/(1+EXP(-E10))</f>
        <v>0.16798161486607552</v>
      </c>
      <c r="G10">
        <v>-5.2</v>
      </c>
    </row>
    <row r="12" spans="1:11" x14ac:dyDescent="0.3">
      <c r="A12" s="2" t="s">
        <v>203</v>
      </c>
      <c r="B12" s="2" t="s">
        <v>206</v>
      </c>
      <c r="C12" s="2" t="s">
        <v>201</v>
      </c>
      <c r="D12" s="2" t="s">
        <v>202</v>
      </c>
      <c r="E12" s="2" t="s">
        <v>208</v>
      </c>
      <c r="F12" s="2" t="s">
        <v>207</v>
      </c>
      <c r="G12" s="2" t="s">
        <v>204</v>
      </c>
      <c r="H12" s="2" t="s">
        <v>205</v>
      </c>
      <c r="I12" s="2" t="s">
        <v>200</v>
      </c>
      <c r="J12" s="2" t="s">
        <v>199</v>
      </c>
    </row>
    <row r="13" spans="1:11" x14ac:dyDescent="0.3">
      <c r="A13" s="1">
        <v>0</v>
      </c>
      <c r="B13" s="1">
        <v>1</v>
      </c>
      <c r="C13" s="1">
        <v>3.7</v>
      </c>
      <c r="D13" s="1">
        <v>-1.5</v>
      </c>
      <c r="E13" s="1">
        <f>A13*C13+A14*C13+B13*D13</f>
        <v>-1.5</v>
      </c>
      <c r="F13" s="6">
        <f>1/(1+EXP(-E13))</f>
        <v>0.18242552380635635</v>
      </c>
      <c r="G13" s="1">
        <v>4.5</v>
      </c>
      <c r="H13" s="1">
        <v>-2</v>
      </c>
      <c r="I13" s="58">
        <f>F13*G13+F14*G14+B13*H13</f>
        <v>-1.2362172445504811</v>
      </c>
      <c r="J13" s="6">
        <f>1/(1+EXP(-I13))</f>
        <v>0.2250951153536675</v>
      </c>
      <c r="K13">
        <v>0</v>
      </c>
    </row>
    <row r="14" spans="1:11" x14ac:dyDescent="0.3">
      <c r="A14" s="1">
        <v>0</v>
      </c>
      <c r="B14" s="1">
        <v>1</v>
      </c>
      <c r="C14" s="1">
        <v>2.9</v>
      </c>
      <c r="D14" s="1">
        <v>-4.5</v>
      </c>
      <c r="E14" s="1">
        <f>A14*C14+A13*C14+B14*D14</f>
        <v>-4.5</v>
      </c>
      <c r="F14" s="6">
        <f>1/(1+EXP(-E14))</f>
        <v>1.098694263059318E-2</v>
      </c>
      <c r="G14" s="1">
        <v>-5.2</v>
      </c>
      <c r="H14" s="1"/>
      <c r="I14" s="1"/>
      <c r="J14" s="1"/>
    </row>
    <row r="16" spans="1:11" x14ac:dyDescent="0.3">
      <c r="A16" s="2" t="s">
        <v>203</v>
      </c>
      <c r="B16" s="2" t="s">
        <v>206</v>
      </c>
      <c r="C16" s="2" t="s">
        <v>201</v>
      </c>
      <c r="D16" s="2" t="s">
        <v>202</v>
      </c>
      <c r="E16" s="2" t="s">
        <v>208</v>
      </c>
      <c r="F16" s="2" t="s">
        <v>207</v>
      </c>
      <c r="G16" s="2" t="s">
        <v>204</v>
      </c>
      <c r="H16" s="2" t="s">
        <v>205</v>
      </c>
      <c r="I16" s="2" t="s">
        <v>200</v>
      </c>
      <c r="J16" s="2" t="s">
        <v>199</v>
      </c>
    </row>
    <row r="17" spans="1:11" x14ac:dyDescent="0.3">
      <c r="A17" s="1">
        <v>0</v>
      </c>
      <c r="B17" s="1">
        <v>1</v>
      </c>
      <c r="C17" s="1">
        <v>3.7</v>
      </c>
      <c r="D17" s="1">
        <v>-1.5</v>
      </c>
      <c r="E17" s="1">
        <f>A17*C17+A18*C17+B17*D17</f>
        <v>2.2000000000000002</v>
      </c>
      <c r="F17" s="6">
        <f>1/(1+EXP(-E17))</f>
        <v>0.9002495108803148</v>
      </c>
      <c r="G17" s="1">
        <v>4.5</v>
      </c>
      <c r="H17" s="1">
        <v>-2</v>
      </c>
      <c r="I17" s="58">
        <f>F17*G17+F18*G18+B17*H17</f>
        <v>1.1776184016578237</v>
      </c>
      <c r="J17" s="6">
        <f>1/(1+EXP(-I17))</f>
        <v>0.76451931587073263</v>
      </c>
      <c r="K17">
        <v>1</v>
      </c>
    </row>
    <row r="18" spans="1:11" x14ac:dyDescent="0.3">
      <c r="A18" s="1">
        <v>1</v>
      </c>
      <c r="B18" s="1">
        <v>1</v>
      </c>
      <c r="C18" s="1">
        <v>2.9</v>
      </c>
      <c r="D18" s="1">
        <v>-4.5</v>
      </c>
      <c r="E18" s="1">
        <f>A18*C18+A17*C18+B18*D18</f>
        <v>-1.6</v>
      </c>
      <c r="F18" s="6">
        <f>1/(1+EXP(-E18))</f>
        <v>0.16798161486607552</v>
      </c>
      <c r="G18" s="1">
        <v>-5.2</v>
      </c>
      <c r="H18" s="1"/>
      <c r="I18" s="1"/>
      <c r="J18" s="1"/>
    </row>
    <row r="20" spans="1:11" x14ac:dyDescent="0.3">
      <c r="A20" s="2" t="s">
        <v>203</v>
      </c>
      <c r="B20" s="2" t="s">
        <v>206</v>
      </c>
      <c r="C20" s="2" t="s">
        <v>201</v>
      </c>
      <c r="D20" s="2" t="s">
        <v>202</v>
      </c>
      <c r="E20" s="2" t="s">
        <v>208</v>
      </c>
      <c r="F20" s="2" t="s">
        <v>207</v>
      </c>
      <c r="G20" s="2" t="s">
        <v>204</v>
      </c>
      <c r="H20" s="2" t="s">
        <v>205</v>
      </c>
      <c r="I20" s="2" t="s">
        <v>200</v>
      </c>
      <c r="J20" s="2" t="s">
        <v>199</v>
      </c>
    </row>
    <row r="21" spans="1:11" x14ac:dyDescent="0.3">
      <c r="A21" s="1">
        <v>1</v>
      </c>
      <c r="B21" s="1">
        <v>1</v>
      </c>
      <c r="C21" s="1">
        <v>3.7</v>
      </c>
      <c r="D21" s="1">
        <v>-1.5</v>
      </c>
      <c r="E21" s="1">
        <f>A21*C21+A22*C21+B21*D21</f>
        <v>2.2000000000000002</v>
      </c>
      <c r="F21" s="6">
        <f>1/(1+EXP(-E21))</f>
        <v>0.9002495108803148</v>
      </c>
      <c r="G21" s="1">
        <v>4.5</v>
      </c>
      <c r="H21" s="1">
        <v>-2</v>
      </c>
      <c r="I21" s="58">
        <f>F21*G21+F22*G22+B21*H21</f>
        <v>1.1776184016578237</v>
      </c>
      <c r="J21" s="6">
        <f>1/(1+EXP(-I21))</f>
        <v>0.76451931587073263</v>
      </c>
      <c r="K21">
        <v>1</v>
      </c>
    </row>
    <row r="22" spans="1:11" x14ac:dyDescent="0.3">
      <c r="A22" s="1">
        <v>0</v>
      </c>
      <c r="B22" s="1">
        <v>1</v>
      </c>
      <c r="C22" s="1">
        <v>2.9</v>
      </c>
      <c r="D22" s="1">
        <v>-4.5</v>
      </c>
      <c r="E22" s="1">
        <f>A22*C22+A21*C22+B22*D22</f>
        <v>-1.6</v>
      </c>
      <c r="F22" s="6">
        <f>1/(1+EXP(-E22))</f>
        <v>0.16798161486607552</v>
      </c>
      <c r="G22" s="1">
        <v>-5.2</v>
      </c>
      <c r="H22" s="1"/>
      <c r="I22" s="1"/>
      <c r="J22" s="1"/>
    </row>
    <row r="24" spans="1:11" x14ac:dyDescent="0.3">
      <c r="A24" s="2" t="s">
        <v>203</v>
      </c>
      <c r="B24" s="2" t="s">
        <v>206</v>
      </c>
      <c r="C24" s="2" t="s">
        <v>201</v>
      </c>
      <c r="D24" s="2" t="s">
        <v>202</v>
      </c>
      <c r="E24" s="2" t="s">
        <v>208</v>
      </c>
      <c r="F24" s="2" t="s">
        <v>207</v>
      </c>
      <c r="G24" s="2" t="s">
        <v>204</v>
      </c>
      <c r="H24" s="2" t="s">
        <v>205</v>
      </c>
      <c r="I24" s="2" t="s">
        <v>200</v>
      </c>
      <c r="J24" s="2" t="s">
        <v>199</v>
      </c>
    </row>
    <row r="25" spans="1:11" x14ac:dyDescent="0.3">
      <c r="A25" s="1">
        <v>1</v>
      </c>
      <c r="B25" s="1">
        <v>1</v>
      </c>
      <c r="C25" s="1">
        <v>3.7</v>
      </c>
      <c r="D25" s="1">
        <v>-1.5</v>
      </c>
      <c r="E25" s="1">
        <f>A25*C25+A26*C25+B25*D25</f>
        <v>5.9</v>
      </c>
      <c r="F25" s="6">
        <f>1/(1+EXP(-E25))</f>
        <v>0.99726803923698903</v>
      </c>
      <c r="G25" s="1">
        <v>4.5</v>
      </c>
      <c r="H25" s="1">
        <v>-2</v>
      </c>
      <c r="I25" s="58">
        <f>F25*G25+F26*G26+B25*H25</f>
        <v>-1.5986357352548541</v>
      </c>
      <c r="J25" s="6">
        <f>1/(1+EXP(-I25))</f>
        <v>0.16817237605784627</v>
      </c>
      <c r="K25">
        <v>0</v>
      </c>
    </row>
    <row r="26" spans="1:11" x14ac:dyDescent="0.3">
      <c r="A26" s="1">
        <v>1</v>
      </c>
      <c r="B26" s="1">
        <v>1</v>
      </c>
      <c r="C26" s="1">
        <v>2.9</v>
      </c>
      <c r="D26" s="1">
        <v>-4.5</v>
      </c>
      <c r="E26" s="1">
        <f>A26*C26+A25*C26+B26*D26</f>
        <v>1.2999999999999998</v>
      </c>
      <c r="F26" s="6">
        <f>1/(1+EXP(-E26))</f>
        <v>0.78583498304255861</v>
      </c>
      <c r="G26" s="1">
        <v>-5.2</v>
      </c>
      <c r="H26" s="1"/>
      <c r="I26" s="1"/>
      <c r="J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11C-9DBB-4F08-896A-4763991F809B}">
  <dimension ref="A1:C8"/>
  <sheetViews>
    <sheetView workbookViewId="0">
      <selection activeCell="A10" sqref="A10"/>
    </sheetView>
  </sheetViews>
  <sheetFormatPr defaultRowHeight="14.4" x14ac:dyDescent="0.3"/>
  <sheetData>
    <row r="1" spans="1:3" x14ac:dyDescent="0.3">
      <c r="A1" t="s">
        <v>214</v>
      </c>
    </row>
    <row r="2" spans="1:3" x14ac:dyDescent="0.3">
      <c r="A2" s="2" t="s">
        <v>210</v>
      </c>
      <c r="B2" s="2" t="s">
        <v>212</v>
      </c>
      <c r="C2" s="2" t="s">
        <v>213</v>
      </c>
    </row>
    <row r="3" spans="1:3" x14ac:dyDescent="0.3">
      <c r="A3">
        <v>1</v>
      </c>
      <c r="B3">
        <v>2.6</v>
      </c>
      <c r="C3">
        <v>6</v>
      </c>
    </row>
    <row r="4" spans="1:3" x14ac:dyDescent="0.3">
      <c r="A4">
        <v>2</v>
      </c>
      <c r="B4">
        <v>3</v>
      </c>
      <c r="C4">
        <v>6.5</v>
      </c>
    </row>
    <row r="5" spans="1:3" x14ac:dyDescent="0.3">
      <c r="A5">
        <v>3</v>
      </c>
      <c r="B5">
        <v>2.5</v>
      </c>
      <c r="C5">
        <v>6.5</v>
      </c>
    </row>
    <row r="6" spans="1:3" x14ac:dyDescent="0.3">
      <c r="A6">
        <v>4</v>
      </c>
      <c r="B6">
        <v>3.2</v>
      </c>
      <c r="C6">
        <v>7</v>
      </c>
    </row>
    <row r="7" spans="1:3" x14ac:dyDescent="0.3">
      <c r="A7">
        <v>5</v>
      </c>
      <c r="B7">
        <v>2.8</v>
      </c>
      <c r="C7">
        <v>7.5</v>
      </c>
    </row>
    <row r="8" spans="1:3" x14ac:dyDescent="0.3">
      <c r="A8" s="2" t="s">
        <v>211</v>
      </c>
      <c r="B8" s="2">
        <f>AVERAGE(B3:B7)</f>
        <v>2.8200000000000003</v>
      </c>
      <c r="C8" s="2">
        <f>AVERAGE(C3:C7)</f>
        <v>6.7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to Insights to Decision</vt:lpstr>
      <vt:lpstr>Data Exploration</vt:lpstr>
      <vt:lpstr>Decision Tree</vt:lpstr>
      <vt:lpstr>Naive Bayes</vt:lpstr>
      <vt:lpstr>Evaluation</vt:lpstr>
      <vt:lpstr>KNN</vt:lpstr>
      <vt:lpstr>Linear Regression</vt:lpstr>
      <vt:lpstr>NN</vt:lpstr>
      <vt:lpstr>Clustering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Sullivan</dc:creator>
  <cp:lastModifiedBy>Rob Sullivan</cp:lastModifiedBy>
  <dcterms:created xsi:type="dcterms:W3CDTF">2022-08-14T17:57:17Z</dcterms:created>
  <dcterms:modified xsi:type="dcterms:W3CDTF">2022-08-23T09:33:29Z</dcterms:modified>
</cp:coreProperties>
</file>