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ssoal --  Roberto Tello\+++++ Curso PUC - Bi Master  +++++\Trabalho final\Entrega\Versão Final\"/>
    </mc:Choice>
  </mc:AlternateContent>
  <xr:revisionPtr revIDLastSave="0" documentId="10_ncr:100000_{7D454AAD-6522-4199-8561-C6C61FFA3FBD}" xr6:coauthVersionLast="31" xr6:coauthVersionMax="31" xr10:uidLastSave="{00000000-0000-0000-0000-000000000000}"/>
  <bookViews>
    <workbookView xWindow="0" yWindow="0" windowWidth="20490" windowHeight="7545" tabRatio="874" xr2:uid="{04479CC0-4BB1-45C1-BDFD-C4204018B998}"/>
  </bookViews>
  <sheets>
    <sheet name="Modelo" sheetId="3" r:id="rId1"/>
    <sheet name="Simulações" sheetId="9" r:id="rId2"/>
    <sheet name="Função Obj" sheetId="18" r:id="rId3"/>
    <sheet name="Escolhas" sheetId="19" r:id="rId4"/>
    <sheet name="Calc Exper." sheetId="8" r:id="rId5"/>
    <sheet name="Calc Custos" sheetId="7" r:id="rId6"/>
    <sheet name="Distância" sheetId="2" r:id="rId7"/>
    <sheet name="sim1" sheetId="20" r:id="rId8"/>
    <sheet name="sim2" sheetId="21" r:id="rId9"/>
    <sheet name="sim3" sheetId="22" r:id="rId10"/>
    <sheet name="sim4" sheetId="23" r:id="rId11"/>
    <sheet name="sim5" sheetId="24" r:id="rId12"/>
    <sheet name="sim6" sheetId="25" r:id="rId13"/>
    <sheet name="sim7" sheetId="26" r:id="rId14"/>
    <sheet name="sim8" sheetId="27" r:id="rId15"/>
    <sheet name="sim9" sheetId="28" r:id="rId16"/>
    <sheet name="sim10" sheetId="29" r:id="rId17"/>
    <sheet name="sim11" sheetId="30" r:id="rId18"/>
    <sheet name="sim12" sheetId="31" r:id="rId19"/>
    <sheet name="sim13" sheetId="32" r:id="rId20"/>
  </sheets>
  <definedNames>
    <definedName name="solver_adj" localSheetId="0" hidden="1">Modelo!$AA$83:$AA$143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Modelo!$AA$83:$AA$143</definedName>
    <definedName name="solver_lhs2" localSheetId="0" hidden="1">Modelo!#REF!</definedName>
    <definedName name="solver_lhs3" localSheetId="0" hidden="1">Modelo!#REF!</definedName>
    <definedName name="solver_mip" localSheetId="0" hidden="1">2147483647</definedName>
    <definedName name="solver_mni" localSheetId="0" hidden="1">30</definedName>
    <definedName name="solver_mrt" localSheetId="0" hidden="1">0.1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Modelo!$AC$145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el2" localSheetId="0" hidden="1">4</definedName>
    <definedName name="solver_rel3" localSheetId="0" hidden="1">3</definedName>
    <definedName name="solver_rhs1" localSheetId="0" hidden="1">AllDifferent</definedName>
    <definedName name="solver_rhs2" localSheetId="0" hidden="1">integer</definedName>
    <definedName name="solver_rhs3" localSheetId="0" hidden="1">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5" i="3" l="1"/>
  <c r="AG143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C142" i="3"/>
  <c r="AC141" i="3"/>
  <c r="AC132" i="3"/>
  <c r="AC128" i="3"/>
  <c r="AC127" i="3"/>
  <c r="AC121" i="3"/>
  <c r="AC106" i="3"/>
  <c r="AC101" i="3"/>
  <c r="E19" i="9" l="1"/>
  <c r="D19" i="9"/>
  <c r="R78" i="3" l="1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4" i="3"/>
  <c r="R13" i="3"/>
  <c r="R12" i="3"/>
  <c r="R11" i="3"/>
  <c r="R10" i="3"/>
  <c r="R9" i="3"/>
  <c r="R8" i="3"/>
  <c r="R7" i="3"/>
  <c r="H126" i="3" s="1"/>
  <c r="R6" i="3"/>
  <c r="R5" i="3"/>
  <c r="I126" i="3" l="1"/>
  <c r="G126" i="3"/>
  <c r="F126" i="3"/>
  <c r="K133" i="3"/>
  <c r="K134" i="3"/>
  <c r="K135" i="3"/>
  <c r="K136" i="3"/>
  <c r="K132" i="3"/>
  <c r="J133" i="3"/>
  <c r="J134" i="3"/>
  <c r="J135" i="3"/>
  <c r="J136" i="3"/>
  <c r="J132" i="3"/>
  <c r="I133" i="3"/>
  <c r="I134" i="3"/>
  <c r="I135" i="3"/>
  <c r="I136" i="3"/>
  <c r="I132" i="3"/>
  <c r="H133" i="3"/>
  <c r="H134" i="3"/>
  <c r="H135" i="3"/>
  <c r="H136" i="3"/>
  <c r="H132" i="3"/>
  <c r="G133" i="3"/>
  <c r="G134" i="3"/>
  <c r="G135" i="3"/>
  <c r="G136" i="3"/>
  <c r="G132" i="3"/>
  <c r="F136" i="3"/>
  <c r="F135" i="3"/>
  <c r="F134" i="3"/>
  <c r="F133" i="3"/>
  <c r="F132" i="3"/>
  <c r="Y9" i="3" l="1"/>
  <c r="Z9" i="3" s="1"/>
  <c r="Y13" i="3"/>
  <c r="Z13" i="3" s="1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6" i="3"/>
  <c r="V7" i="3"/>
  <c r="V8" i="3"/>
  <c r="V9" i="3"/>
  <c r="V10" i="3"/>
  <c r="V11" i="3"/>
  <c r="V12" i="3"/>
  <c r="V13" i="3"/>
  <c r="V14" i="3"/>
  <c r="V5" i="3"/>
  <c r="C76" i="3"/>
  <c r="Y76" i="3"/>
  <c r="Z76" i="3" s="1"/>
  <c r="U76" i="3"/>
  <c r="M76" i="3"/>
  <c r="J76" i="3"/>
  <c r="G76" i="3"/>
  <c r="C78" i="3"/>
  <c r="C77" i="3"/>
  <c r="C75" i="3"/>
  <c r="C74" i="3"/>
  <c r="C73" i="3"/>
  <c r="C72" i="3"/>
  <c r="C71" i="3"/>
  <c r="C70" i="3"/>
  <c r="C69" i="3"/>
  <c r="C68" i="3"/>
  <c r="C67" i="3"/>
  <c r="AI132" i="3" s="1"/>
  <c r="C66" i="3"/>
  <c r="C65" i="3"/>
  <c r="C64" i="3"/>
  <c r="C63" i="3"/>
  <c r="C62" i="3"/>
  <c r="C61" i="3"/>
  <c r="C60" i="3"/>
  <c r="C59" i="3"/>
  <c r="AI124" i="3" s="1"/>
  <c r="C58" i="3"/>
  <c r="C57" i="3"/>
  <c r="C56" i="3"/>
  <c r="C55" i="3"/>
  <c r="AI120" i="3" s="1"/>
  <c r="C54" i="3"/>
  <c r="C53" i="3"/>
  <c r="C52" i="3"/>
  <c r="C51" i="3"/>
  <c r="AI116" i="3" s="1"/>
  <c r="C50" i="3"/>
  <c r="C49" i="3"/>
  <c r="C48" i="3"/>
  <c r="C47" i="3"/>
  <c r="AI112" i="3" s="1"/>
  <c r="C46" i="3"/>
  <c r="C45" i="3"/>
  <c r="AI110" i="3" s="1"/>
  <c r="C44" i="3"/>
  <c r="AI109" i="3" s="1"/>
  <c r="C43" i="3"/>
  <c r="AI108" i="3" s="1"/>
  <c r="C42" i="3"/>
  <c r="C41" i="3"/>
  <c r="AI106" i="3" s="1"/>
  <c r="C40" i="3"/>
  <c r="C39" i="3"/>
  <c r="AI104" i="3" s="1"/>
  <c r="C38" i="3"/>
  <c r="AI103" i="3" s="1"/>
  <c r="C37" i="3"/>
  <c r="C36" i="3"/>
  <c r="C35" i="3"/>
  <c r="AI100" i="3" s="1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Y78" i="3"/>
  <c r="Z78" i="3" s="1"/>
  <c r="U78" i="3"/>
  <c r="M78" i="3"/>
  <c r="J78" i="3"/>
  <c r="G78" i="3"/>
  <c r="Y77" i="3"/>
  <c r="U77" i="3"/>
  <c r="M77" i="3"/>
  <c r="J77" i="3"/>
  <c r="G77" i="3"/>
  <c r="Y75" i="3"/>
  <c r="U75" i="3"/>
  <c r="M75" i="3"/>
  <c r="J75" i="3"/>
  <c r="G75" i="3"/>
  <c r="Y74" i="3"/>
  <c r="Z74" i="3" s="1"/>
  <c r="U74" i="3"/>
  <c r="M74" i="3"/>
  <c r="J74" i="3"/>
  <c r="G74" i="3"/>
  <c r="Y73" i="3"/>
  <c r="U73" i="3"/>
  <c r="M73" i="3"/>
  <c r="J73" i="3"/>
  <c r="G73" i="3"/>
  <c r="Y72" i="3"/>
  <c r="Z72" i="3" s="1"/>
  <c r="U72" i="3"/>
  <c r="M72" i="3"/>
  <c r="J72" i="3"/>
  <c r="G72" i="3"/>
  <c r="Y71" i="3"/>
  <c r="U71" i="3"/>
  <c r="M71" i="3"/>
  <c r="J71" i="3"/>
  <c r="G71" i="3"/>
  <c r="Y70" i="3"/>
  <c r="Z70" i="3" s="1"/>
  <c r="U70" i="3"/>
  <c r="M70" i="3"/>
  <c r="J70" i="3"/>
  <c r="G70" i="3"/>
  <c r="Y69" i="3"/>
  <c r="U69" i="3"/>
  <c r="M69" i="3"/>
  <c r="J69" i="3"/>
  <c r="G69" i="3"/>
  <c r="Y68" i="3"/>
  <c r="Z68" i="3" s="1"/>
  <c r="U68" i="3"/>
  <c r="M68" i="3"/>
  <c r="J68" i="3"/>
  <c r="G68" i="3"/>
  <c r="Y67" i="3"/>
  <c r="U67" i="3"/>
  <c r="M67" i="3"/>
  <c r="J67" i="3"/>
  <c r="G67" i="3"/>
  <c r="Y66" i="3"/>
  <c r="Z66" i="3" s="1"/>
  <c r="U66" i="3"/>
  <c r="M66" i="3"/>
  <c r="J66" i="3"/>
  <c r="G66" i="3"/>
  <c r="Y65" i="3"/>
  <c r="U65" i="3"/>
  <c r="M65" i="3"/>
  <c r="J65" i="3"/>
  <c r="G65" i="3"/>
  <c r="Y64" i="3"/>
  <c r="Z64" i="3" s="1"/>
  <c r="U64" i="3"/>
  <c r="M64" i="3"/>
  <c r="J64" i="3"/>
  <c r="G64" i="3"/>
  <c r="Y63" i="3"/>
  <c r="U63" i="3"/>
  <c r="M63" i="3"/>
  <c r="J63" i="3"/>
  <c r="G63" i="3"/>
  <c r="Y62" i="3"/>
  <c r="Z62" i="3" s="1"/>
  <c r="U62" i="3"/>
  <c r="M62" i="3"/>
  <c r="J62" i="3"/>
  <c r="G62" i="3"/>
  <c r="Y61" i="3"/>
  <c r="U61" i="3"/>
  <c r="M61" i="3"/>
  <c r="J61" i="3"/>
  <c r="G61" i="3"/>
  <c r="Y60" i="3"/>
  <c r="Z60" i="3" s="1"/>
  <c r="U60" i="3"/>
  <c r="M60" i="3"/>
  <c r="J60" i="3"/>
  <c r="G60" i="3"/>
  <c r="Y59" i="3"/>
  <c r="U59" i="3"/>
  <c r="M59" i="3"/>
  <c r="J59" i="3"/>
  <c r="G59" i="3"/>
  <c r="Y58" i="3"/>
  <c r="Z58" i="3" s="1"/>
  <c r="U58" i="3"/>
  <c r="M58" i="3"/>
  <c r="J58" i="3"/>
  <c r="G58" i="3"/>
  <c r="Y57" i="3"/>
  <c r="U57" i="3"/>
  <c r="M57" i="3"/>
  <c r="J57" i="3"/>
  <c r="G57" i="3"/>
  <c r="Y56" i="3"/>
  <c r="Z56" i="3" s="1"/>
  <c r="U56" i="3"/>
  <c r="M56" i="3"/>
  <c r="J56" i="3"/>
  <c r="G56" i="3"/>
  <c r="Y55" i="3"/>
  <c r="U55" i="3"/>
  <c r="M55" i="3"/>
  <c r="J55" i="3"/>
  <c r="G55" i="3"/>
  <c r="Y54" i="3"/>
  <c r="Z54" i="3" s="1"/>
  <c r="U54" i="3"/>
  <c r="M54" i="3"/>
  <c r="J54" i="3"/>
  <c r="G54" i="3"/>
  <c r="Y53" i="3"/>
  <c r="U53" i="3"/>
  <c r="M53" i="3"/>
  <c r="J53" i="3"/>
  <c r="G53" i="3"/>
  <c r="Y52" i="3"/>
  <c r="Z52" i="3" s="1"/>
  <c r="U52" i="3"/>
  <c r="M52" i="3"/>
  <c r="J52" i="3"/>
  <c r="G52" i="3"/>
  <c r="Y51" i="3"/>
  <c r="U51" i="3"/>
  <c r="M51" i="3"/>
  <c r="J51" i="3"/>
  <c r="G51" i="3"/>
  <c r="Y50" i="3"/>
  <c r="Z50" i="3" s="1"/>
  <c r="U50" i="3"/>
  <c r="M50" i="3"/>
  <c r="J50" i="3"/>
  <c r="G50" i="3"/>
  <c r="Y49" i="3"/>
  <c r="U49" i="3"/>
  <c r="M49" i="3"/>
  <c r="J49" i="3"/>
  <c r="G49" i="3"/>
  <c r="Y48" i="3"/>
  <c r="Z48" i="3" s="1"/>
  <c r="U48" i="3"/>
  <c r="M48" i="3"/>
  <c r="J48" i="3"/>
  <c r="G48" i="3"/>
  <c r="Y47" i="3"/>
  <c r="U47" i="3"/>
  <c r="M47" i="3"/>
  <c r="J47" i="3"/>
  <c r="G47" i="3"/>
  <c r="Y46" i="3"/>
  <c r="Z46" i="3" s="1"/>
  <c r="U46" i="3"/>
  <c r="M46" i="3"/>
  <c r="J46" i="3"/>
  <c r="G46" i="3"/>
  <c r="Y45" i="3"/>
  <c r="U45" i="3"/>
  <c r="M45" i="3"/>
  <c r="J45" i="3"/>
  <c r="G45" i="3"/>
  <c r="Y44" i="3"/>
  <c r="Z44" i="3" s="1"/>
  <c r="U44" i="3"/>
  <c r="M44" i="3"/>
  <c r="J44" i="3"/>
  <c r="G44" i="3"/>
  <c r="Y43" i="3"/>
  <c r="U43" i="3"/>
  <c r="M43" i="3"/>
  <c r="J43" i="3"/>
  <c r="G43" i="3"/>
  <c r="Y42" i="3"/>
  <c r="Z42" i="3" s="1"/>
  <c r="U42" i="3"/>
  <c r="M42" i="3"/>
  <c r="J42" i="3"/>
  <c r="G42" i="3"/>
  <c r="Y41" i="3"/>
  <c r="U41" i="3"/>
  <c r="M41" i="3"/>
  <c r="J41" i="3"/>
  <c r="G41" i="3"/>
  <c r="Y40" i="3"/>
  <c r="Z40" i="3" s="1"/>
  <c r="U40" i="3"/>
  <c r="M40" i="3"/>
  <c r="J40" i="3"/>
  <c r="G40" i="3"/>
  <c r="Y39" i="3"/>
  <c r="U39" i="3"/>
  <c r="M39" i="3"/>
  <c r="J39" i="3"/>
  <c r="G39" i="3"/>
  <c r="Y38" i="3"/>
  <c r="Z38" i="3" s="1"/>
  <c r="U38" i="3"/>
  <c r="M38" i="3"/>
  <c r="J38" i="3"/>
  <c r="G38" i="3"/>
  <c r="Y37" i="3"/>
  <c r="U37" i="3"/>
  <c r="M37" i="3"/>
  <c r="J37" i="3"/>
  <c r="G37" i="3"/>
  <c r="Y36" i="3"/>
  <c r="Z36" i="3" s="1"/>
  <c r="U36" i="3"/>
  <c r="M36" i="3"/>
  <c r="J36" i="3"/>
  <c r="G36" i="3"/>
  <c r="Y35" i="3"/>
  <c r="U35" i="3"/>
  <c r="M35" i="3"/>
  <c r="J35" i="3"/>
  <c r="G35" i="3"/>
  <c r="Y34" i="3"/>
  <c r="Z34" i="3" s="1"/>
  <c r="U34" i="3"/>
  <c r="M34" i="3"/>
  <c r="J34" i="3"/>
  <c r="Y33" i="3"/>
  <c r="U33" i="3"/>
  <c r="AG98" i="3" s="1"/>
  <c r="M33" i="3"/>
  <c r="J33" i="3"/>
  <c r="Y32" i="3"/>
  <c r="Z32" i="3" s="1"/>
  <c r="U32" i="3"/>
  <c r="AG97" i="3" s="1"/>
  <c r="M32" i="3"/>
  <c r="J32" i="3"/>
  <c r="Y31" i="3"/>
  <c r="Z31" i="3" s="1"/>
  <c r="U31" i="3"/>
  <c r="AG96" i="3" s="1"/>
  <c r="M31" i="3"/>
  <c r="J31" i="3"/>
  <c r="Y30" i="3"/>
  <c r="Z30" i="3" s="1"/>
  <c r="U30" i="3"/>
  <c r="AG95" i="3" s="1"/>
  <c r="M30" i="3"/>
  <c r="J30" i="3"/>
  <c r="G30" i="3"/>
  <c r="Y29" i="3"/>
  <c r="U29" i="3"/>
  <c r="AG94" i="3" s="1"/>
  <c r="M29" i="3"/>
  <c r="J29" i="3"/>
  <c r="AC94" i="3" s="1"/>
  <c r="G29" i="3"/>
  <c r="Y28" i="3"/>
  <c r="U28" i="3"/>
  <c r="AG93" i="3" s="1"/>
  <c r="M28" i="3"/>
  <c r="J28" i="3"/>
  <c r="G28" i="3"/>
  <c r="Y27" i="3"/>
  <c r="Z27" i="3" s="1"/>
  <c r="U27" i="3"/>
  <c r="AG92" i="3" s="1"/>
  <c r="M27" i="3"/>
  <c r="J27" i="3"/>
  <c r="G27" i="3"/>
  <c r="Y26" i="3"/>
  <c r="Z26" i="3" s="1"/>
  <c r="U26" i="3"/>
  <c r="AG91" i="3" s="1"/>
  <c r="M26" i="3"/>
  <c r="J26" i="3"/>
  <c r="G26" i="3"/>
  <c r="Y25" i="3"/>
  <c r="U25" i="3"/>
  <c r="AG90" i="3" s="1"/>
  <c r="M25" i="3"/>
  <c r="J25" i="3"/>
  <c r="G25" i="3"/>
  <c r="Y24" i="3"/>
  <c r="U24" i="3"/>
  <c r="AG89" i="3" s="1"/>
  <c r="M24" i="3"/>
  <c r="J24" i="3"/>
  <c r="AC89" i="3" s="1"/>
  <c r="G24" i="3"/>
  <c r="Y23" i="3"/>
  <c r="Z23" i="3" s="1"/>
  <c r="U23" i="3"/>
  <c r="AG88" i="3" s="1"/>
  <c r="M23" i="3"/>
  <c r="J23" i="3"/>
  <c r="G23" i="3"/>
  <c r="Y22" i="3"/>
  <c r="Z22" i="3" s="1"/>
  <c r="U22" i="3"/>
  <c r="AG87" i="3" s="1"/>
  <c r="M22" i="3"/>
  <c r="J22" i="3"/>
  <c r="G22" i="3"/>
  <c r="Y21" i="3"/>
  <c r="U21" i="3"/>
  <c r="AG86" i="3" s="1"/>
  <c r="M21" i="3"/>
  <c r="J21" i="3"/>
  <c r="G21" i="3"/>
  <c r="Y20" i="3"/>
  <c r="U20" i="3"/>
  <c r="AG85" i="3" s="1"/>
  <c r="M20" i="3"/>
  <c r="J20" i="3"/>
  <c r="G20" i="3"/>
  <c r="Y19" i="3"/>
  <c r="Z19" i="3" s="1"/>
  <c r="U19" i="3"/>
  <c r="AG84" i="3" s="1"/>
  <c r="M19" i="3"/>
  <c r="J19" i="3"/>
  <c r="G19" i="3"/>
  <c r="Y18" i="3"/>
  <c r="Z18" i="3" s="1"/>
  <c r="U18" i="3"/>
  <c r="AG83" i="3" s="1"/>
  <c r="M18" i="3"/>
  <c r="J18" i="3"/>
  <c r="G18" i="3"/>
  <c r="Y14" i="3"/>
  <c r="Z14" i="3" s="1"/>
  <c r="M14" i="3"/>
  <c r="J14" i="3"/>
  <c r="G14" i="3"/>
  <c r="M13" i="3"/>
  <c r="J13" i="3"/>
  <c r="G13" i="3"/>
  <c r="Y12" i="3"/>
  <c r="Z12" i="3" s="1"/>
  <c r="M12" i="3"/>
  <c r="J12" i="3"/>
  <c r="G12" i="3"/>
  <c r="Y11" i="3"/>
  <c r="Z11" i="3" s="1"/>
  <c r="M11" i="3"/>
  <c r="J11" i="3"/>
  <c r="G11" i="3"/>
  <c r="Y10" i="3"/>
  <c r="Z10" i="3" s="1"/>
  <c r="M10" i="3"/>
  <c r="J10" i="3"/>
  <c r="G10" i="3"/>
  <c r="M9" i="3"/>
  <c r="J9" i="3"/>
  <c r="G9" i="3"/>
  <c r="Y8" i="3"/>
  <c r="Z8" i="3" s="1"/>
  <c r="M8" i="3"/>
  <c r="J8" i="3"/>
  <c r="G8" i="3"/>
  <c r="Y7" i="3"/>
  <c r="Z7" i="3" s="1"/>
  <c r="O83" i="3"/>
  <c r="M7" i="3"/>
  <c r="J7" i="3"/>
  <c r="G7" i="3"/>
  <c r="M83" i="3" s="1"/>
  <c r="Y6" i="3"/>
  <c r="Z6" i="3" s="1"/>
  <c r="M6" i="3"/>
  <c r="J6" i="3"/>
  <c r="G6" i="3"/>
  <c r="Y5" i="3"/>
  <c r="Z5" i="3" s="1"/>
  <c r="M5" i="3"/>
  <c r="J5" i="3"/>
  <c r="G5" i="3"/>
  <c r="I10" i="2"/>
  <c r="I9" i="2"/>
  <c r="I8" i="2"/>
  <c r="I7" i="2"/>
  <c r="I6" i="2"/>
  <c r="I5" i="2"/>
  <c r="I4" i="2"/>
  <c r="Z43" i="3" l="1"/>
  <c r="Z47" i="3"/>
  <c r="Z51" i="3"/>
  <c r="Z59" i="3"/>
  <c r="Z63" i="3"/>
  <c r="M135" i="3"/>
  <c r="Z71" i="3"/>
  <c r="AI128" i="3"/>
  <c r="Z20" i="3"/>
  <c r="Z28" i="3"/>
  <c r="M132" i="3"/>
  <c r="Z77" i="3"/>
  <c r="AI89" i="3"/>
  <c r="Z21" i="3"/>
  <c r="Z25" i="3"/>
  <c r="Z29" i="3"/>
  <c r="Z37" i="3"/>
  <c r="Z41" i="3"/>
  <c r="Z45" i="3"/>
  <c r="Z49" i="3"/>
  <c r="Z53" i="3"/>
  <c r="Z57" i="3"/>
  <c r="M134" i="3"/>
  <c r="Z61" i="3"/>
  <c r="Z65" i="3"/>
  <c r="Z69" i="3"/>
  <c r="Z73" i="3"/>
  <c r="AI94" i="3"/>
  <c r="AI102" i="3"/>
  <c r="AI122" i="3"/>
  <c r="AI130" i="3"/>
  <c r="Z35" i="3"/>
  <c r="Z39" i="3"/>
  <c r="M136" i="3"/>
  <c r="Z55" i="3"/>
  <c r="Z67" i="3"/>
  <c r="Z75" i="3"/>
  <c r="Z24" i="3"/>
  <c r="Z33" i="3"/>
  <c r="M133" i="3"/>
  <c r="AI111" i="3"/>
  <c r="AI131" i="3"/>
  <c r="AI139" i="3"/>
  <c r="AI113" i="3"/>
  <c r="AI121" i="3"/>
  <c r="AI125" i="3"/>
  <c r="AI129" i="3"/>
  <c r="AI137" i="3"/>
  <c r="AI142" i="3"/>
  <c r="V79" i="3"/>
  <c r="W78" i="3" s="1"/>
  <c r="AI136" i="3"/>
  <c r="AI105" i="3"/>
  <c r="AI126" i="3"/>
  <c r="AI138" i="3"/>
  <c r="AI143" i="3"/>
  <c r="AI107" i="3"/>
  <c r="AI134" i="3"/>
  <c r="AI140" i="3"/>
  <c r="AI127" i="3"/>
  <c r="AI101" i="3"/>
  <c r="AI117" i="3"/>
  <c r="AI133" i="3"/>
  <c r="AI141" i="3"/>
  <c r="AI114" i="3"/>
  <c r="AI118" i="3"/>
  <c r="AI115" i="3"/>
  <c r="AI119" i="3"/>
  <c r="AI123" i="3"/>
  <c r="AI135" i="3"/>
  <c r="AE142" i="3"/>
  <c r="AE139" i="3"/>
  <c r="AE137" i="3"/>
  <c r="AE135" i="3"/>
  <c r="AE133" i="3"/>
  <c r="AE132" i="3"/>
  <c r="AE130" i="3"/>
  <c r="AE128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1" i="3"/>
  <c r="AE110" i="3"/>
  <c r="AE109" i="3"/>
  <c r="AE108" i="3"/>
  <c r="AE107" i="3"/>
  <c r="AE106" i="3"/>
  <c r="AE104" i="3"/>
  <c r="AE103" i="3"/>
  <c r="AE101" i="3"/>
  <c r="AE99" i="3"/>
  <c r="AE96" i="3"/>
  <c r="AE143" i="3"/>
  <c r="AE141" i="3"/>
  <c r="AE140" i="3"/>
  <c r="AE138" i="3"/>
  <c r="AE136" i="3"/>
  <c r="AE134" i="3"/>
  <c r="AE131" i="3"/>
  <c r="AE129" i="3"/>
  <c r="AE127" i="3"/>
  <c r="AE112" i="3"/>
  <c r="AE105" i="3"/>
  <c r="AE102" i="3"/>
  <c r="AE100" i="3"/>
  <c r="AE98" i="3"/>
  <c r="AE97" i="3"/>
  <c r="AE95" i="3"/>
  <c r="AE94" i="3"/>
  <c r="AE90" i="3"/>
  <c r="AE86" i="3"/>
  <c r="AE87" i="3"/>
  <c r="AE83" i="3"/>
  <c r="AE92" i="3"/>
  <c r="AE93" i="3"/>
  <c r="AE85" i="3"/>
  <c r="AE91" i="3"/>
  <c r="AE88" i="3"/>
  <c r="AE84" i="3"/>
  <c r="AE89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4" i="3"/>
  <c r="AF123" i="3"/>
  <c r="AF122" i="3"/>
  <c r="AF121" i="3"/>
  <c r="AF120" i="3"/>
  <c r="AF119" i="3"/>
  <c r="AF118" i="3"/>
  <c r="AF117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99" i="3"/>
  <c r="AF98" i="3"/>
  <c r="AF97" i="3"/>
  <c r="AF96" i="3"/>
  <c r="AF95" i="3"/>
  <c r="AF94" i="3"/>
  <c r="AF92" i="3"/>
  <c r="AF90" i="3"/>
  <c r="AF88" i="3"/>
  <c r="AF86" i="3"/>
  <c r="AF83" i="3"/>
  <c r="AF125" i="3"/>
  <c r="AF116" i="3"/>
  <c r="AF100" i="3"/>
  <c r="AF93" i="3"/>
  <c r="AF91" i="3"/>
  <c r="AF89" i="3"/>
  <c r="AF87" i="3"/>
  <c r="AF85" i="3"/>
  <c r="AF84" i="3"/>
  <c r="AI88" i="3"/>
  <c r="AI92" i="3"/>
  <c r="AI85" i="3"/>
  <c r="AI93" i="3"/>
  <c r="AI86" i="3"/>
  <c r="AI90" i="3"/>
  <c r="AI98" i="3"/>
  <c r="AI84" i="3"/>
  <c r="AI96" i="3"/>
  <c r="AI97" i="3"/>
  <c r="AI83" i="3"/>
  <c r="AI87" i="3"/>
  <c r="AI91" i="3"/>
  <c r="AI95" i="3"/>
  <c r="AI99" i="3"/>
  <c r="W35" i="3" l="1"/>
  <c r="W64" i="3"/>
  <c r="W27" i="3"/>
  <c r="W34" i="3"/>
  <c r="W14" i="3"/>
  <c r="W76" i="3"/>
  <c r="W60" i="3"/>
  <c r="W36" i="3"/>
  <c r="W7" i="3"/>
  <c r="W51" i="3"/>
  <c r="W19" i="3"/>
  <c r="N133" i="3" s="1"/>
  <c r="W58" i="3"/>
  <c r="W26" i="3"/>
  <c r="W53" i="3"/>
  <c r="W68" i="3"/>
  <c r="W48" i="3"/>
  <c r="W24" i="3"/>
  <c r="W63" i="3"/>
  <c r="W70" i="3"/>
  <c r="W42" i="3"/>
  <c r="W13" i="3"/>
  <c r="W25" i="3"/>
  <c r="W40" i="3"/>
  <c r="W20" i="3"/>
  <c r="N134" i="3" s="1"/>
  <c r="W59" i="3"/>
  <c r="W62" i="3"/>
  <c r="W69" i="3"/>
  <c r="W72" i="3"/>
  <c r="W52" i="3"/>
  <c r="W32" i="3"/>
  <c r="W5" i="3"/>
  <c r="W71" i="3"/>
  <c r="W43" i="3"/>
  <c r="W12" i="3"/>
  <c r="W50" i="3"/>
  <c r="W18" i="3"/>
  <c r="N132" i="3" s="1"/>
  <c r="W41" i="3"/>
  <c r="W56" i="3"/>
  <c r="W44" i="3"/>
  <c r="W28" i="3"/>
  <c r="W11" i="3"/>
  <c r="W67" i="3"/>
  <c r="W55" i="3"/>
  <c r="W39" i="3"/>
  <c r="W23" i="3"/>
  <c r="W74" i="3"/>
  <c r="W46" i="3"/>
  <c r="W30" i="3"/>
  <c r="W9" i="3"/>
  <c r="W65" i="3"/>
  <c r="W37" i="3"/>
  <c r="W21" i="3"/>
  <c r="N135" i="3" s="1"/>
  <c r="W77" i="3"/>
  <c r="W61" i="3"/>
  <c r="W49" i="3"/>
  <c r="W33" i="3"/>
  <c r="W6" i="3"/>
  <c r="W75" i="3"/>
  <c r="W47" i="3"/>
  <c r="W31" i="3"/>
  <c r="W8" i="3"/>
  <c r="W66" i="3"/>
  <c r="W54" i="3"/>
  <c r="W38" i="3"/>
  <c r="W22" i="3"/>
  <c r="N136" i="3" s="1"/>
  <c r="Z79" i="3"/>
  <c r="AA53" i="3" s="1"/>
  <c r="AB53" i="3" s="1"/>
  <c r="W73" i="3"/>
  <c r="W57" i="3"/>
  <c r="W45" i="3"/>
  <c r="W29" i="3"/>
  <c r="W10" i="3"/>
  <c r="AA21" i="3" l="1"/>
  <c r="O135" i="3" s="1"/>
  <c r="AA49" i="3"/>
  <c r="AA39" i="3"/>
  <c r="AB39" i="3" s="1"/>
  <c r="AA59" i="3"/>
  <c r="AB59" i="3" s="1"/>
  <c r="AH124" i="3" s="1"/>
  <c r="AA45" i="3"/>
  <c r="AA55" i="3"/>
  <c r="AB55" i="3" s="1"/>
  <c r="AA73" i="3"/>
  <c r="AB73" i="3" s="1"/>
  <c r="AA35" i="3"/>
  <c r="AB35" i="3" s="1"/>
  <c r="AC100" i="3" s="1"/>
  <c r="AA43" i="3"/>
  <c r="AB43" i="3" s="1"/>
  <c r="AC108" i="3" s="1"/>
  <c r="AA65" i="3"/>
  <c r="AB65" i="3" s="1"/>
  <c r="AA33" i="3"/>
  <c r="AB33" i="3" s="1"/>
  <c r="AA20" i="3"/>
  <c r="O134" i="3" s="1"/>
  <c r="AA51" i="3"/>
  <c r="AB51" i="3" s="1"/>
  <c r="AA25" i="3"/>
  <c r="AB25" i="3" s="1"/>
  <c r="AH90" i="3" s="1"/>
  <c r="AA67" i="3"/>
  <c r="AB67" i="3" s="1"/>
  <c r="AH132" i="3" s="1"/>
  <c r="AH118" i="3"/>
  <c r="AC118" i="3"/>
  <c r="AH108" i="3"/>
  <c r="AB45" i="3"/>
  <c r="AA28" i="3"/>
  <c r="AB28" i="3" s="1"/>
  <c r="AA77" i="3"/>
  <c r="AB77" i="3" s="1"/>
  <c r="AH142" i="3" s="1"/>
  <c r="AA63" i="3"/>
  <c r="AB63" i="3" s="1"/>
  <c r="AH128" i="3" s="1"/>
  <c r="AA41" i="3"/>
  <c r="AB41" i="3" s="1"/>
  <c r="AH106" i="3" s="1"/>
  <c r="AA8" i="3"/>
  <c r="AA44" i="3"/>
  <c r="AB44" i="3" s="1"/>
  <c r="AA12" i="3"/>
  <c r="AA26" i="3"/>
  <c r="AB26" i="3" s="1"/>
  <c r="AA42" i="3"/>
  <c r="AB42" i="3" s="1"/>
  <c r="AA50" i="3"/>
  <c r="AB50" i="3" s="1"/>
  <c r="AA66" i="3"/>
  <c r="AA74" i="3"/>
  <c r="AB74" i="3" s="1"/>
  <c r="AA76" i="3"/>
  <c r="AB76" i="3" s="1"/>
  <c r="AH141" i="3" s="1"/>
  <c r="AA72" i="3"/>
  <c r="AB72" i="3" s="1"/>
  <c r="AA19" i="3"/>
  <c r="AA5" i="3"/>
  <c r="AA32" i="3"/>
  <c r="AB32" i="3" s="1"/>
  <c r="AA23" i="3"/>
  <c r="AB23" i="3" s="1"/>
  <c r="AA52" i="3"/>
  <c r="AB52" i="3" s="1"/>
  <c r="AA64" i="3"/>
  <c r="AB64" i="3" s="1"/>
  <c r="AA14" i="3"/>
  <c r="AA78" i="3"/>
  <c r="AB78" i="3" s="1"/>
  <c r="AA6" i="3"/>
  <c r="AA18" i="3"/>
  <c r="AA30" i="3"/>
  <c r="AB30" i="3" s="1"/>
  <c r="AA54" i="3"/>
  <c r="AB54" i="3" s="1"/>
  <c r="AA13" i="3"/>
  <c r="AA9" i="3"/>
  <c r="AA40" i="3"/>
  <c r="AB40" i="3" s="1"/>
  <c r="AA58" i="3"/>
  <c r="AB58" i="3" s="1"/>
  <c r="AA27" i="3"/>
  <c r="AB27" i="3" s="1"/>
  <c r="AA36" i="3"/>
  <c r="AB36" i="3" s="1"/>
  <c r="AH101" i="3" s="1"/>
  <c r="AA48" i="3"/>
  <c r="AB48" i="3" s="1"/>
  <c r="AA56" i="3"/>
  <c r="AB56" i="3" s="1"/>
  <c r="AH121" i="3" s="1"/>
  <c r="AA68" i="3"/>
  <c r="AB68" i="3" s="1"/>
  <c r="AA7" i="3"/>
  <c r="L126" i="3" s="1"/>
  <c r="AA10" i="3"/>
  <c r="AA22" i="3"/>
  <c r="O136" i="3" s="1"/>
  <c r="AA31" i="3"/>
  <c r="AB31" i="3" s="1"/>
  <c r="AA34" i="3"/>
  <c r="AB34" i="3" s="1"/>
  <c r="AA46" i="3"/>
  <c r="AB46" i="3" s="1"/>
  <c r="AA62" i="3"/>
  <c r="AB62" i="3" s="1"/>
  <c r="AH127" i="3" s="1"/>
  <c r="AA70" i="3"/>
  <c r="AB70" i="3" s="1"/>
  <c r="AA60" i="3"/>
  <c r="AB60" i="3" s="1"/>
  <c r="AA11" i="3"/>
  <c r="AA38" i="3"/>
  <c r="AB38" i="3" s="1"/>
  <c r="AB66" i="3"/>
  <c r="AA69" i="3"/>
  <c r="AB69" i="3" s="1"/>
  <c r="AA57" i="3"/>
  <c r="AB57" i="3" s="1"/>
  <c r="AB49" i="3"/>
  <c r="AA29" i="3"/>
  <c r="AB29" i="3" s="1"/>
  <c r="AH94" i="3" s="1"/>
  <c r="AB21" i="3"/>
  <c r="AA75" i="3"/>
  <c r="AB75" i="3" s="1"/>
  <c r="AA71" i="3"/>
  <c r="AB71" i="3" s="1"/>
  <c r="AA61" i="3"/>
  <c r="AB61" i="3" s="1"/>
  <c r="AA47" i="3"/>
  <c r="AB47" i="3" s="1"/>
  <c r="AA37" i="3"/>
  <c r="AB37" i="3" s="1"/>
  <c r="AA24" i="3"/>
  <c r="AB24" i="3" s="1"/>
  <c r="AH89" i="3" s="1"/>
  <c r="AC124" i="3" l="1"/>
  <c r="AC116" i="3"/>
  <c r="AH116" i="3"/>
  <c r="AH100" i="3"/>
  <c r="AC90" i="3"/>
  <c r="AB20" i="3"/>
  <c r="AH85" i="3" s="1"/>
  <c r="AH112" i="3"/>
  <c r="AC112" i="3"/>
  <c r="AH88" i="3"/>
  <c r="AC88" i="3"/>
  <c r="AH109" i="3"/>
  <c r="AC109" i="3"/>
  <c r="AH102" i="3"/>
  <c r="AC102" i="3"/>
  <c r="AH140" i="3"/>
  <c r="AC140" i="3"/>
  <c r="AH122" i="3"/>
  <c r="AC122" i="3"/>
  <c r="AH111" i="3"/>
  <c r="AC111" i="3"/>
  <c r="AH138" i="3"/>
  <c r="AC138" i="3"/>
  <c r="AH103" i="3"/>
  <c r="AC103" i="3"/>
  <c r="AH123" i="3"/>
  <c r="AC123" i="3"/>
  <c r="AH119" i="3"/>
  <c r="AC119" i="3"/>
  <c r="AH143" i="3"/>
  <c r="AC143" i="3"/>
  <c r="AH137" i="3"/>
  <c r="AC137" i="3"/>
  <c r="AH115" i="3"/>
  <c r="AC115" i="3"/>
  <c r="AH93" i="3"/>
  <c r="AC93" i="3"/>
  <c r="AH136" i="3"/>
  <c r="AC136" i="3"/>
  <c r="AH86" i="3"/>
  <c r="AC86" i="3"/>
  <c r="P135" i="3" s="1"/>
  <c r="AH134" i="3"/>
  <c r="AC134" i="3"/>
  <c r="AH113" i="3"/>
  <c r="AC113" i="3"/>
  <c r="AH105" i="3"/>
  <c r="AC105" i="3"/>
  <c r="AH95" i="3"/>
  <c r="AC95" i="3"/>
  <c r="AH97" i="3"/>
  <c r="AC97" i="3"/>
  <c r="AH107" i="3"/>
  <c r="AC107" i="3"/>
  <c r="AH104" i="3"/>
  <c r="AC104" i="3"/>
  <c r="AH126" i="3"/>
  <c r="AC126" i="3"/>
  <c r="AH98" i="3"/>
  <c r="AC98" i="3"/>
  <c r="AH120" i="3"/>
  <c r="AC120" i="3"/>
  <c r="AH125" i="3"/>
  <c r="AC125" i="3"/>
  <c r="AH99" i="3"/>
  <c r="AC99" i="3"/>
  <c r="AB18" i="3"/>
  <c r="O132" i="3"/>
  <c r="AH129" i="3"/>
  <c r="AC129" i="3"/>
  <c r="AH139" i="3"/>
  <c r="AC139" i="3"/>
  <c r="AH91" i="3"/>
  <c r="AC91" i="3"/>
  <c r="AH130" i="3"/>
  <c r="AC130" i="3"/>
  <c r="AH110" i="3"/>
  <c r="AC110" i="3"/>
  <c r="AB22" i="3"/>
  <c r="AH114" i="3"/>
  <c r="AC114" i="3"/>
  <c r="AH131" i="3"/>
  <c r="AC131" i="3"/>
  <c r="AH135" i="3"/>
  <c r="AC135" i="3"/>
  <c r="AH96" i="3"/>
  <c r="AC96" i="3"/>
  <c r="AH133" i="3"/>
  <c r="AC133" i="3"/>
  <c r="AH92" i="3"/>
  <c r="AC92" i="3"/>
  <c r="AH117" i="3"/>
  <c r="AC117" i="3"/>
  <c r="AB19" i="3"/>
  <c r="O133" i="3"/>
  <c r="AC85" i="3" l="1"/>
  <c r="P134" i="3" s="1"/>
  <c r="Q135" i="3" s="1"/>
  <c r="AH87" i="3"/>
  <c r="AC87" i="3"/>
  <c r="P136" i="3" s="1"/>
  <c r="Q136" i="3" s="1"/>
  <c r="AH83" i="3"/>
  <c r="AC83" i="3"/>
  <c r="AH84" i="3"/>
  <c r="AC84" i="3"/>
  <c r="P133" i="3" s="1"/>
  <c r="Q134" i="3" l="1"/>
  <c r="AC145" i="3"/>
  <c r="P132" i="3"/>
  <c r="Q13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 Tello</author>
  </authors>
  <commentList>
    <comment ref="G4" authorId="0" shapeId="0" xr:uid="{77FECDF5-5137-4B0F-9112-D620D4C46711}">
      <text>
        <r>
          <rPr>
            <b/>
            <sz val="12"/>
            <color indexed="81"/>
            <rFont val="Calibri"/>
            <family val="2"/>
            <scheme val="minor"/>
          </rPr>
          <t>Supte = 1
Supv = 2
Operador = 3
Trainee = 4</t>
        </r>
      </text>
    </comment>
    <comment ref="H4" authorId="0" shapeId="0" xr:uid="{DE6AABA4-E668-43D5-A751-7CEDE6C501DA}">
      <text>
        <r>
          <rPr>
            <b/>
            <sz val="12"/>
            <color indexed="81"/>
            <rFont val="Calibri"/>
            <family val="2"/>
            <scheme val="minor"/>
          </rPr>
          <t>Número de matricula do Funcionário (único).</t>
        </r>
      </text>
    </comment>
    <comment ref="J4" authorId="0" shapeId="0" xr:uid="{E89CE39C-BA1B-4B4A-BD46-2FF09A99776C}">
      <text>
        <r>
          <rPr>
            <b/>
            <sz val="12"/>
            <color indexed="81"/>
            <rFont val="Calibri"/>
            <family val="2"/>
            <scheme val="minor"/>
          </rPr>
          <t>Ativo = 1
Afastado = 0</t>
        </r>
      </text>
    </comment>
    <comment ref="K4" authorId="0" shapeId="0" xr:uid="{C14AB81A-9B70-4939-8BC3-E9631FEE9D60}">
      <text>
        <r>
          <rPr>
            <b/>
            <sz val="12"/>
            <color indexed="81"/>
            <rFont val="Calibri"/>
            <family val="2"/>
            <scheme val="minor"/>
          </rPr>
          <t>Embarcado = 1
Desembarcado = 0</t>
        </r>
      </text>
    </comment>
    <comment ref="M4" authorId="0" shapeId="0" xr:uid="{37CCDF47-E4B5-4D89-9A05-B4D64D29A905}">
      <text>
        <r>
          <rPr>
            <b/>
            <sz val="12"/>
            <color indexed="81"/>
            <rFont val="Calibri"/>
            <family val="2"/>
            <scheme val="minor"/>
          </rPr>
          <t>Mecânico = 1
Eletrônico = 2
Hidráulico = 3</t>
        </r>
      </text>
    </comment>
    <comment ref="R4" authorId="0" shapeId="0" xr:uid="{70BC9B84-25DB-4948-9FC6-F1BC32E991DD}">
      <text>
        <r>
          <rPr>
            <b/>
            <sz val="12"/>
            <color indexed="81"/>
            <rFont val="Calibri"/>
            <family val="2"/>
            <scheme val="minor"/>
          </rPr>
          <t>Função para o cálculo da experiência.</t>
        </r>
      </text>
    </comment>
    <comment ref="U4" authorId="0" shapeId="0" xr:uid="{FF84F522-8D9A-4662-AE69-52379FF3070F}">
      <text>
        <r>
          <rPr>
            <b/>
            <sz val="12"/>
            <color indexed="81"/>
            <rFont val="Calibri"/>
            <family val="2"/>
            <scheme val="minor"/>
          </rPr>
          <t>Função para o cálculo do tempo Logístico (dias) para chegar no local de embarque.
** não é necessário para quem está offshore.</t>
        </r>
      </text>
    </comment>
    <comment ref="AB4" authorId="0" shapeId="0" xr:uid="{836F4DE6-7B37-4020-B38F-9D1182104396}">
      <text>
        <r>
          <rPr>
            <b/>
            <sz val="12"/>
            <color indexed="81"/>
            <rFont val="Calibri"/>
            <family val="2"/>
            <scheme val="minor"/>
          </rPr>
          <t>Função para o cálculo do custo Logístico e do custo do funcionário durante o embarque.
** não é necessário para quem está offshore.</t>
        </r>
      </text>
    </comment>
  </commentList>
</comments>
</file>

<file path=xl/sharedStrings.xml><?xml version="1.0" encoding="utf-8"?>
<sst xmlns="http://schemas.openxmlformats.org/spreadsheetml/2006/main" count="3161" uniqueCount="310">
  <si>
    <t>Função</t>
  </si>
  <si>
    <t>Supte</t>
  </si>
  <si>
    <t xml:space="preserve">Supv </t>
  </si>
  <si>
    <t>Operador</t>
  </si>
  <si>
    <t>Trainee</t>
  </si>
  <si>
    <t>Embarcados</t>
  </si>
  <si>
    <t>Folga</t>
  </si>
  <si>
    <t>Formação</t>
  </si>
  <si>
    <t>Tempo na função</t>
  </si>
  <si>
    <t>Tempo de experiência</t>
  </si>
  <si>
    <t>Status</t>
  </si>
  <si>
    <t>INSS</t>
  </si>
  <si>
    <t>Ativo</t>
  </si>
  <si>
    <t>Férias</t>
  </si>
  <si>
    <t>Hidráulico</t>
  </si>
  <si>
    <t>Eletrônico</t>
  </si>
  <si>
    <t>Mecânico</t>
  </si>
  <si>
    <t>Distância (Km)</t>
  </si>
  <si>
    <t>Tempo no contrato</t>
  </si>
  <si>
    <t>Tempo com equipamento</t>
  </si>
  <si>
    <t>Escritório</t>
  </si>
  <si>
    <t>Cod Func</t>
  </si>
  <si>
    <t>Cod Stat</t>
  </si>
  <si>
    <t>Cod For</t>
  </si>
  <si>
    <t># Func.</t>
  </si>
  <si>
    <t>Eng</t>
  </si>
  <si>
    <t>Coord</t>
  </si>
  <si>
    <t>Cod Off</t>
  </si>
  <si>
    <t>Macaé</t>
  </si>
  <si>
    <t>Rio de Janeiro</t>
  </si>
  <si>
    <t>Belo Horizonte</t>
  </si>
  <si>
    <t>São Paulo</t>
  </si>
  <si>
    <t>Curitiba</t>
  </si>
  <si>
    <t>Salvador</t>
  </si>
  <si>
    <t>Cidade</t>
  </si>
  <si>
    <t>Vitória</t>
  </si>
  <si>
    <t>Custo Log</t>
  </si>
  <si>
    <t>Ordem</t>
  </si>
  <si>
    <t>Fator</t>
  </si>
  <si>
    <t>Sal. Mês</t>
  </si>
  <si>
    <t>Sal. Dia</t>
  </si>
  <si>
    <t>Func.</t>
  </si>
  <si>
    <t>Fórmula  1</t>
  </si>
  <si>
    <t>Funcionário a ser substituido    #</t>
  </si>
  <si>
    <t>Quantidade de candidatos</t>
  </si>
  <si>
    <t>Form_1</t>
  </si>
  <si>
    <t>Form_2</t>
  </si>
  <si>
    <t>Custo por distância</t>
  </si>
  <si>
    <t>Origem</t>
  </si>
  <si>
    <t>Destino</t>
  </si>
  <si>
    <t>Range</t>
  </si>
  <si>
    <t>Custo Aéreo</t>
  </si>
  <si>
    <t>Custo Terra</t>
  </si>
  <si>
    <t>Refeição</t>
  </si>
  <si>
    <t>Total</t>
  </si>
  <si>
    <t>Funcionário Embarcado</t>
  </si>
  <si>
    <t>Form_3</t>
  </si>
  <si>
    <t>Limite terrestre</t>
  </si>
  <si>
    <t>Dias embarque</t>
  </si>
  <si>
    <t>Km</t>
  </si>
  <si>
    <t>funcionário</t>
  </si>
  <si>
    <t>experiência</t>
  </si>
  <si>
    <t>Funcionário para Embarcar</t>
  </si>
  <si>
    <t>Navio</t>
  </si>
  <si>
    <t>Qte</t>
  </si>
  <si>
    <t>Local</t>
  </si>
  <si>
    <t>Navio  1</t>
  </si>
  <si>
    <t>Navio  2</t>
  </si>
  <si>
    <t>Navio  3</t>
  </si>
  <si>
    <t>Navio  4</t>
  </si>
  <si>
    <t>Navio  5</t>
  </si>
  <si>
    <t>Prioridade Navio</t>
  </si>
  <si>
    <t>A, M, B</t>
  </si>
  <si>
    <t>M</t>
  </si>
  <si>
    <t>Nav.</t>
  </si>
  <si>
    <t>Prior.</t>
  </si>
  <si>
    <t>Pessoas por Navio</t>
  </si>
  <si>
    <t>dist = ABS  [(Função Ori. - Função Reserva)]</t>
  </si>
  <si>
    <t>dist = ABS  [(Experiência Ori. - Experiência Reserva)]</t>
  </si>
  <si>
    <t>Elementos da Função Objetivo :</t>
  </si>
  <si>
    <t>1 dia se distância menor que 200 Km (cel. O88), 2 dias se maior</t>
  </si>
  <si>
    <t>Custo do deslocamente terrestre e aéreo na coluna V.</t>
  </si>
  <si>
    <t>Custo do trabalho durante os dias de substituição = No de dias x diária</t>
  </si>
  <si>
    <r>
      <rPr>
        <u/>
        <sz val="11"/>
        <color rgb="FF002060"/>
        <rFont val="Calibri"/>
        <family val="2"/>
        <scheme val="minor"/>
      </rPr>
      <t>Fórmula</t>
    </r>
    <r>
      <rPr>
        <sz val="11"/>
        <color rgb="FF002060"/>
        <rFont val="Calibri"/>
        <family val="2"/>
        <scheme val="minor"/>
      </rPr>
      <t xml:space="preserve"> para a função.</t>
    </r>
  </si>
  <si>
    <r>
      <rPr>
        <u/>
        <sz val="11"/>
        <color rgb="FF002060"/>
        <rFont val="Calibri"/>
        <family val="2"/>
        <scheme val="minor"/>
      </rPr>
      <t>Fórmula</t>
    </r>
    <r>
      <rPr>
        <sz val="11"/>
        <color rgb="FF002060"/>
        <rFont val="Calibri"/>
        <family val="2"/>
        <scheme val="minor"/>
      </rPr>
      <t xml:space="preserve"> para a experiência.</t>
    </r>
  </si>
  <si>
    <r>
      <rPr>
        <u/>
        <sz val="11"/>
        <color rgb="FF002060"/>
        <rFont val="Calibri"/>
        <family val="2"/>
        <scheme val="minor"/>
      </rPr>
      <t>Fórmula</t>
    </r>
    <r>
      <rPr>
        <sz val="11"/>
        <color rgb="FF002060"/>
        <rFont val="Calibri"/>
        <family val="2"/>
        <scheme val="minor"/>
      </rPr>
      <t xml:space="preserve"> para tempo de deslocamento.</t>
    </r>
  </si>
  <si>
    <r>
      <rPr>
        <u/>
        <sz val="11"/>
        <color rgb="FF002060"/>
        <rFont val="Calibri"/>
        <family val="2"/>
        <scheme val="minor"/>
      </rPr>
      <t>Fórmula</t>
    </r>
    <r>
      <rPr>
        <sz val="11"/>
        <color rgb="FF002060"/>
        <rFont val="Calibri"/>
        <family val="2"/>
        <scheme val="minor"/>
      </rPr>
      <t xml:space="preserve"> para o custo logístico e de trabalho.</t>
    </r>
  </si>
  <si>
    <r>
      <rPr>
        <u/>
        <sz val="11"/>
        <color rgb="FF002060"/>
        <rFont val="Calibri"/>
        <family val="2"/>
        <scheme val="minor"/>
      </rPr>
      <t>Fórmula</t>
    </r>
    <r>
      <rPr>
        <sz val="11"/>
        <color rgb="FF002060"/>
        <rFont val="Calibri"/>
        <family val="2"/>
        <scheme val="minor"/>
      </rPr>
      <t xml:space="preserve"> para a priorização de navios.</t>
    </r>
  </si>
  <si>
    <t xml:space="preserve">Navio com Alta prioridade (A) </t>
  </si>
  <si>
    <t>= funcão objetivo x 0,95</t>
  </si>
  <si>
    <t xml:space="preserve">Navio com Média prioridade (M) </t>
  </si>
  <si>
    <t xml:space="preserve">Navio com Baixa prioridade (B) </t>
  </si>
  <si>
    <t>= funcão objetivo x 1,05</t>
  </si>
  <si>
    <t>= funcão objetivo x 1,00</t>
  </si>
  <si>
    <t xml:space="preserve">* Função dos funcionários desembarcado e proposto.                  </t>
  </si>
  <si>
    <t>(se procura a menor diferência entre ambos).</t>
  </si>
  <si>
    <t xml:space="preserve">* Experiência dos funcionários desembarcado e proposto.          </t>
  </si>
  <si>
    <t>(se procura a menos diferença entre ambos)</t>
  </si>
  <si>
    <t xml:space="preserve">* Status (ativo ou afastado) do funcionário proposto.                    </t>
  </si>
  <si>
    <t>(somente funcionários ativos poderiam ser embarcados)</t>
  </si>
  <si>
    <t xml:space="preserve">* Tempo de deslocamento em terra do funcionário proposto.     </t>
  </si>
  <si>
    <t>(tempo de resposta pode ser importante)</t>
  </si>
  <si>
    <t xml:space="preserve">* Custo Logístico (terra e ar) e custo das Diárias do funcionário proposto.                           </t>
  </si>
  <si>
    <t>(se procura pelo menor custo total)</t>
  </si>
  <si>
    <t xml:space="preserve">* Possibilidade de priorizar ou não o Navio de origem dependendo da atividade            </t>
  </si>
  <si>
    <t>(incrementa ou decrementa a função objetivo em 5%)</t>
  </si>
  <si>
    <r>
      <t>(Exp + (</t>
    </r>
    <r>
      <rPr>
        <b/>
        <sz val="11"/>
        <color rgb="FF002060"/>
        <rFont val="Calibri"/>
        <family val="2"/>
        <scheme val="minor"/>
      </rPr>
      <t>1,5</t>
    </r>
    <r>
      <rPr>
        <sz val="11"/>
        <color rgb="FF002060"/>
        <rFont val="Calibri"/>
        <family val="2"/>
        <scheme val="minor"/>
      </rPr>
      <t xml:space="preserve">) x Func + Cont) x (Equip/Exp)        </t>
    </r>
  </si>
  <si>
    <t>para Supte e Supv, valorizando função (x 1,5)</t>
  </si>
  <si>
    <t xml:space="preserve">(Exp + Func + Cont) x (Equip/Exp)                   </t>
  </si>
  <si>
    <t>para Operador e Trainee</t>
  </si>
  <si>
    <t xml:space="preserve">Ponderação --&gt; (Equip/Exp)                           </t>
  </si>
  <si>
    <t>se pondera a experiencia caso tenha tabalhado com mais de um equipamento</t>
  </si>
  <si>
    <t>Otimização :</t>
  </si>
  <si>
    <t xml:space="preserve">* Se procura uma classificação, dos mais aptos aos menos aptos                 </t>
  </si>
  <si>
    <t>a Minimização força a ordenação da coluna V de menor para maior (ordem inversa de U)</t>
  </si>
  <si>
    <t>se multiplica uma coluna fixa (U) de Maior para Menor</t>
  </si>
  <si>
    <t>por uma coluna variável (V) que depende dos funcionários em T (amarelo)</t>
  </si>
  <si>
    <t>a resposta é a lista de funcionários de reserva ordenada na coluna T</t>
  </si>
  <si>
    <t xml:space="preserve">* A classificação se obtem minimizando uma Soma de Produtos na cel. V145.                </t>
  </si>
  <si>
    <t>Matrícula</t>
  </si>
  <si>
    <t>Exp</t>
  </si>
  <si>
    <t>Os 5 melhores candidatos para embarque</t>
  </si>
  <si>
    <t>Tempo</t>
  </si>
  <si>
    <t>Funcionário desembarcando do Navio 1</t>
  </si>
  <si>
    <t>Dist %</t>
  </si>
  <si>
    <t>Função obj.</t>
  </si>
  <si>
    <t>Custo dia</t>
  </si>
  <si>
    <t>No</t>
  </si>
  <si>
    <t>Reserva</t>
  </si>
  <si>
    <t>Valor original</t>
  </si>
  <si>
    <t>Valor final</t>
  </si>
  <si>
    <t>Max Time Unlimited,  Iterations Unlimited, Precision 0,000001, Use Automatic Scaling</t>
  </si>
  <si>
    <t>Max Subproblems Unlimited, Max Integer Sols Unlimited, Integer Tolerance 1%, Assume NonNegative</t>
  </si>
  <si>
    <t>Simulações Realizadas</t>
  </si>
  <si>
    <t>Média</t>
  </si>
  <si>
    <r>
      <t xml:space="preserve">Require Bounds on Variables = </t>
    </r>
    <r>
      <rPr>
        <b/>
        <sz val="11"/>
        <color theme="1"/>
        <rFont val="Calibri"/>
        <family val="2"/>
        <scheme val="minor"/>
      </rPr>
      <t>NOT</t>
    </r>
  </si>
  <si>
    <t>Equipes determinadas por simulação</t>
  </si>
  <si>
    <t>Funcionário</t>
  </si>
  <si>
    <t>Sim.</t>
  </si>
  <si>
    <t>1 melhor</t>
  </si>
  <si>
    <t>5 melhor</t>
  </si>
  <si>
    <r>
      <t xml:space="preserve">Convergence </t>
    </r>
    <r>
      <rPr>
        <b/>
        <sz val="11"/>
        <color theme="1"/>
        <rFont val="Calibri"/>
        <family val="2"/>
        <scheme val="minor"/>
      </rPr>
      <t>0,0001</t>
    </r>
    <r>
      <rPr>
        <sz val="11"/>
        <color theme="1"/>
        <rFont val="Calibri"/>
        <family val="2"/>
        <scheme val="minor"/>
      </rPr>
      <t xml:space="preserve">, Population Size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, Random Seed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Mutation Rate </t>
    </r>
    <r>
      <rPr>
        <b/>
        <sz val="11"/>
        <color theme="1"/>
        <rFont val="Calibri"/>
        <family val="2"/>
        <scheme val="minor"/>
      </rPr>
      <t>0,1</t>
    </r>
    <r>
      <rPr>
        <sz val="11"/>
        <color theme="1"/>
        <rFont val="Calibri"/>
        <family val="2"/>
        <scheme val="minor"/>
      </rPr>
      <t xml:space="preserve">, Time w/o Improve </t>
    </r>
    <r>
      <rPr>
        <b/>
        <sz val="11"/>
        <color theme="1"/>
        <rFont val="Calibri"/>
        <family val="2"/>
        <scheme val="minor"/>
      </rPr>
      <t>30 sec</t>
    </r>
  </si>
  <si>
    <t>Custo  Dia</t>
  </si>
  <si>
    <t>MAX</t>
  </si>
  <si>
    <t>Custo Log
(0,0 - 1,0)</t>
  </si>
  <si>
    <t>Custo Dia
(0,0 - 1,0)</t>
  </si>
  <si>
    <t>Já está embarcado</t>
  </si>
  <si>
    <t>Experiência</t>
  </si>
  <si>
    <t>Distância</t>
  </si>
  <si>
    <t>Custos</t>
  </si>
  <si>
    <t>Prioridade</t>
  </si>
  <si>
    <t>Verificação</t>
  </si>
  <si>
    <t>Normalizado (valor entre 0,0 - 2,0).</t>
  </si>
  <si>
    <t xml:space="preserve">Teste : </t>
  </si>
  <si>
    <t>Microsoft Excel 16.0 Answer Report</t>
  </si>
  <si>
    <t>Worksheet: [Modelagem Final para a melhor substituição offshore v7.xlsx]Contratos</t>
  </si>
  <si>
    <t>Report Created: 29/01/2022 21:53:17</t>
  </si>
  <si>
    <t>Result: Solver has converged to the current solution.  All Constraints are satisfied.</t>
  </si>
  <si>
    <t>Solver Engine</t>
  </si>
  <si>
    <t>Engine: Evolutionary</t>
  </si>
  <si>
    <t>Solution Time: 26,094 Seconds.</t>
  </si>
  <si>
    <t>Iterations: 0 Subproblems: 10703</t>
  </si>
  <si>
    <t>Solver Options</t>
  </si>
  <si>
    <t xml:space="preserve"> Convergence 0,0001, Population Size 100, Random Seed 0, Mutation Rate 0,1, Time w/o Improve 30 sec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</si>
  <si>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</si>
  <si>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</si>
  <si>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</si>
  <si>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</si>
  <si>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</si>
  <si>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</si>
  <si>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</si>
  <si>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</si>
  <si>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</si>
  <si>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$AC$145</t>
  </si>
  <si>
    <t>Ok Função</t>
  </si>
  <si>
    <t>$AA$83</t>
  </si>
  <si>
    <t>M Func.</t>
  </si>
  <si>
    <t>$AA$84</t>
  </si>
  <si>
    <t>$AA$85</t>
  </si>
  <si>
    <t>$AA$86</t>
  </si>
  <si>
    <t>$AA$87</t>
  </si>
  <si>
    <t>$AA$88</t>
  </si>
  <si>
    <t>Limite terrestre Func.</t>
  </si>
  <si>
    <t>$AA$89</t>
  </si>
  <si>
    <t>Km Func.</t>
  </si>
  <si>
    <t>$AA$90</t>
  </si>
  <si>
    <t>$AA$91</t>
  </si>
  <si>
    <t>Elementos da Função Objetivo : Func.</t>
  </si>
  <si>
    <t>$AA$92</t>
  </si>
  <si>
    <t>(se procura a menor diferência entre ambos). Func.</t>
  </si>
  <si>
    <t>$AA$93</t>
  </si>
  <si>
    <t>(se procura a menos diferença entre ambos) Func.</t>
  </si>
  <si>
    <t>$AA$94</t>
  </si>
  <si>
    <t>(somente funcionários ativos poderiam ser embarcados) Func.</t>
  </si>
  <si>
    <t>$AA$95</t>
  </si>
  <si>
    <t>(tempo de resposta pode ser importante) Func.</t>
  </si>
  <si>
    <t>$AA$96</t>
  </si>
  <si>
    <t>(se procura pelo menor custo total) Func.</t>
  </si>
  <si>
    <t>$AA$97</t>
  </si>
  <si>
    <t>(incrementa ou decrementa a função objetivo em 5%) Func.</t>
  </si>
  <si>
    <t>$AA$98</t>
  </si>
  <si>
    <t>dist = ABS  [(Função Ori. - Função Reserva)] Func.</t>
  </si>
  <si>
    <t>$AA$99</t>
  </si>
  <si>
    <t>dist = ABS  [(Experiência Ori. - Experiência Reserva)] Func.</t>
  </si>
  <si>
    <t>$AA$100</t>
  </si>
  <si>
    <t>para Supte e Supv, valorizando função (x 1,5) Func.</t>
  </si>
  <si>
    <t>$AA$101</t>
  </si>
  <si>
    <t>para Operador e Trainee Func.</t>
  </si>
  <si>
    <t>$AA$102</t>
  </si>
  <si>
    <t>se pondera a experiencia caso tenha tabalhado com mais de um equipamento Func.</t>
  </si>
  <si>
    <t>$AA$103</t>
  </si>
  <si>
    <t>Normalizado (valor entre 0,0 - 2,0). Func.</t>
  </si>
  <si>
    <t>$AA$104</t>
  </si>
  <si>
    <t>Fórmula para tempo de deslocamento. Func.</t>
  </si>
  <si>
    <t>$AA$105</t>
  </si>
  <si>
    <t>1 dia se distância menor que 200 Km (cel. O88), 2 dias se maior Func.</t>
  </si>
  <si>
    <t>$AA$106</t>
  </si>
  <si>
    <t>Fórmula para o custo logístico e de trabalho. Func.</t>
  </si>
  <si>
    <t>$AA$107</t>
  </si>
  <si>
    <t>Custo do deslocamente terrestre e aéreo na coluna V. Func.</t>
  </si>
  <si>
    <t>$AA$108</t>
  </si>
  <si>
    <t>Custo do trabalho durante os dias de substituição = No de dias x diária Func.</t>
  </si>
  <si>
    <t>$AA$109</t>
  </si>
  <si>
    <t>$AA$110</t>
  </si>
  <si>
    <t>Fórmula para a priorização de navios. Func.</t>
  </si>
  <si>
    <t>$AA$111</t>
  </si>
  <si>
    <t>$AA$112</t>
  </si>
  <si>
    <t>$AA$113</t>
  </si>
  <si>
    <t>$AA$114</t>
  </si>
  <si>
    <t>$AA$115</t>
  </si>
  <si>
    <t>Otimização : Func.</t>
  </si>
  <si>
    <t>$AA$116</t>
  </si>
  <si>
    <t>* Se procura uma classificação, dos mais aptos aos menos aptos                  Func.</t>
  </si>
  <si>
    <t>$AA$117</t>
  </si>
  <si>
    <t>* A classificação se obtem minimizando uma Soma de Produtos na cel. V145.                 Func.</t>
  </si>
  <si>
    <t>$AA$118</t>
  </si>
  <si>
    <t>se multiplica uma coluna fixa (U) de Maior para Menor Func.</t>
  </si>
  <si>
    <t>$AA$119</t>
  </si>
  <si>
    <t>por uma coluna variável (V) que depende dos funcionários em T (amarelo) Func.</t>
  </si>
  <si>
    <t>$AA$120</t>
  </si>
  <si>
    <t>a Minimização força a ordenação da coluna V de menor para maior (ordem inversa de U) Func.</t>
  </si>
  <si>
    <t>$AA$121</t>
  </si>
  <si>
    <t>a resposta é a lista de funcionários de reserva ordenada na coluna T Func.</t>
  </si>
  <si>
    <t>$AA$122</t>
  </si>
  <si>
    <t>$AA$123</t>
  </si>
  <si>
    <t>Funcionário desembarcando do Navio 1 Func.</t>
  </si>
  <si>
    <t>$AA$124</t>
  </si>
  <si>
    <t>Custo dia Func.</t>
  </si>
  <si>
    <t>$AA$125</t>
  </si>
  <si>
    <t>$AA$126</t>
  </si>
  <si>
    <t>Macaé Func.</t>
  </si>
  <si>
    <t>$AA$127</t>
  </si>
  <si>
    <t>$AA$128</t>
  </si>
  <si>
    <t>$AA$129</t>
  </si>
  <si>
    <t>Os 5 melhores candidatos para embarque Func.</t>
  </si>
  <si>
    <t>$AA$130</t>
  </si>
  <si>
    <t>Dist % Func.</t>
  </si>
  <si>
    <t>$AA$131</t>
  </si>
  <si>
    <t>$AA$132</t>
  </si>
  <si>
    <t>Rio de Janeiro Func.</t>
  </si>
  <si>
    <t>$AA$133</t>
  </si>
  <si>
    <t>$AA$134</t>
  </si>
  <si>
    <t>$AA$135</t>
  </si>
  <si>
    <t>$AA$136</t>
  </si>
  <si>
    <t>$AA$137</t>
  </si>
  <si>
    <t>$AA$138</t>
  </si>
  <si>
    <t>$AA$139</t>
  </si>
  <si>
    <t>$AA$140</t>
  </si>
  <si>
    <t>$AA$141</t>
  </si>
  <si>
    <t>$AA$142</t>
  </si>
  <si>
    <t>$AA$143</t>
  </si>
  <si>
    <t>$AA$83:$AA$143=AllDiff</t>
  </si>
  <si>
    <t>AllDiff</t>
  </si>
  <si>
    <t>Report Created: 29/01/2022 21:58:06</t>
  </si>
  <si>
    <t>Solution Time: 23,937 Seconds.</t>
  </si>
  <si>
    <t>Iterations: 0 Subproblems: 8781</t>
  </si>
  <si>
    <t>Report Created: 29/01/2022 22:00:50</t>
  </si>
  <si>
    <t>Solution Time: 21,75 Seconds.</t>
  </si>
  <si>
    <t>Iterations: 0 Subproblems: 9138</t>
  </si>
  <si>
    <t>Report Created: 29/01/2022 22:03:15</t>
  </si>
  <si>
    <t>Solution Time: 24,032 Seconds.</t>
  </si>
  <si>
    <t>Iterations: 0 Subproblems: 8889</t>
  </si>
  <si>
    <t>Report Created: 29/01/2022 22:05:31</t>
  </si>
  <si>
    <t>Solution Time: 21,625 Seconds.</t>
  </si>
  <si>
    <t>Iterations: 0 Subproblems: 9060</t>
  </si>
  <si>
    <t>Report Created: 29/01/2022 22:08:43</t>
  </si>
  <si>
    <t>Solution Time: 30,469 Seconds.</t>
  </si>
  <si>
    <t>Iterations: 0 Subproblems: 12931</t>
  </si>
  <si>
    <t>Report Created: 29/01/2022 22:11:03</t>
  </si>
  <si>
    <t>Solution Time: 21,485 Seconds.</t>
  </si>
  <si>
    <t>Iterations: 0 Subproblems: 8861</t>
  </si>
  <si>
    <t>Report Created: 29/01/2022 22:13:43</t>
  </si>
  <si>
    <t>Solution Time: 29,39 Seconds.</t>
  </si>
  <si>
    <t>Iterations: 0 Subproblems: 11066</t>
  </si>
  <si>
    <t>Report Created: 29/01/2022 22:17:29</t>
  </si>
  <si>
    <t>Solution Time: 24,25 Seconds.</t>
  </si>
  <si>
    <t>Iterations: 0 Subproblems: 9588</t>
  </si>
  <si>
    <t>Report Created: 29/01/2022 22:20:04</t>
  </si>
  <si>
    <t>Solution Time: 24,422 Seconds.</t>
  </si>
  <si>
    <t>Iterations: 0 Subproblems: 10043</t>
  </si>
  <si>
    <t>Report Created: 29/01/2022 22:22:22</t>
  </si>
  <si>
    <t>Solution Time: 23,531 Seconds.</t>
  </si>
  <si>
    <t>Iterations: 0 Subproblems: 8557</t>
  </si>
  <si>
    <t>Report Created: 29/01/2022 22:25:06</t>
  </si>
  <si>
    <t>Solution Time: 30,359 Seconds.</t>
  </si>
  <si>
    <t>Iterations: 0 Subproblems: 11014</t>
  </si>
  <si>
    <t>Report Created: 29/01/2022 22:27:59</t>
  </si>
  <si>
    <t>Solution Time: 22,328 Seconds.</t>
  </si>
  <si>
    <t>Iterations: 0 Subproblems: 8683</t>
  </si>
  <si>
    <t>Reservas por Local (Navio ou Terra)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</si>
</sst>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$&quot;\ #,##0;\-&quot;R$&quot;#,##0"/>
    <numFmt numFmtId="165" formatCode="#,##0.00_ ;\-#,##0.00\ "/>
    <numFmt numFmtId="166" formatCode="#,##0.0"/>
    <numFmt numFmtId="167" formatCode="0.00_ ;\-0.00\ "/>
    <numFmt numFmtId="168" formatCode="#,##0.000_ ;\-#,##0.000\ "/>
    <numFmt numFmtId="169" formatCode="0.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indexed="8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2D2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166" fontId="0" fillId="0" borderId="1" xfId="0" applyNumberFormat="1" applyBorder="1"/>
    <xf numFmtId="3" fontId="0" fillId="0" borderId="1" xfId="0" applyNumberFormat="1" applyBorder="1"/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" fontId="0" fillId="7" borderId="1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1" xfId="0" applyBorder="1"/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2" fontId="0" fillId="22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4" fontId="0" fillId="0" borderId="1" xfId="0" applyNumberFormat="1" applyBorder="1"/>
    <xf numFmtId="0" fontId="0" fillId="0" borderId="0" xfId="0" applyFill="1" applyBorder="1"/>
    <xf numFmtId="4" fontId="0" fillId="0" borderId="0" xfId="0" applyNumberFormat="1" applyBorder="1"/>
    <xf numFmtId="2" fontId="0" fillId="22" borderId="5" xfId="0" applyNumberFormat="1" applyFill="1" applyBorder="1" applyAlignment="1">
      <alignment horizontal="center"/>
    </xf>
    <xf numFmtId="2" fontId="0" fillId="23" borderId="3" xfId="0" applyNumberFormat="1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23" fillId="23" borderId="2" xfId="0" applyFont="1" applyFill="1" applyBorder="1" applyAlignment="1">
      <alignment horizontal="center"/>
    </xf>
    <xf numFmtId="0" fontId="23" fillId="23" borderId="4" xfId="0" applyFont="1" applyFill="1" applyBorder="1" applyAlignment="1">
      <alignment horizontal="center"/>
    </xf>
    <xf numFmtId="0" fontId="1" fillId="0" borderId="0" xfId="0" applyFont="1"/>
    <xf numFmtId="0" fontId="0" fillId="0" borderId="23" xfId="0" applyFill="1" applyBorder="1" applyAlignment="1"/>
    <xf numFmtId="0" fontId="28" fillId="0" borderId="22" xfId="0" applyFont="1" applyFill="1" applyBorder="1" applyAlignment="1">
      <alignment horizontal="center"/>
    </xf>
    <xf numFmtId="0" fontId="0" fillId="0" borderId="24" xfId="0" applyFill="1" applyBorder="1" applyAlignment="1"/>
    <xf numFmtId="4" fontId="0" fillId="0" borderId="23" xfId="0" applyNumberFormat="1" applyFill="1" applyBorder="1" applyAlignment="1"/>
    <xf numFmtId="0" fontId="0" fillId="0" borderId="24" xfId="0" applyNumberFormat="1" applyFill="1" applyBorder="1" applyAlignment="1"/>
    <xf numFmtId="0" fontId="0" fillId="0" borderId="23" xfId="0" applyNumberFormat="1" applyFill="1" applyBorder="1" applyAlignment="1"/>
    <xf numFmtId="0" fontId="28" fillId="0" borderId="22" xfId="0" applyFont="1" applyFill="1" applyBorder="1" applyAlignment="1">
      <alignment horizontal="centerContinuous"/>
    </xf>
    <xf numFmtId="0" fontId="29" fillId="0" borderId="22" xfId="0" applyFont="1" applyFill="1" applyBorder="1" applyAlignment="1">
      <alignment horizontal="center"/>
    </xf>
    <xf numFmtId="0" fontId="29" fillId="0" borderId="22" xfId="0" applyFont="1" applyFill="1" applyBorder="1" applyAlignment="1">
      <alignment horizontal="centerContinuous"/>
    </xf>
    <xf numFmtId="4" fontId="0" fillId="0" borderId="1" xfId="0" applyNumberFormat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5" fillId="11" borderId="1" xfId="0" applyFont="1" applyFill="1" applyBorder="1" applyAlignment="1" applyProtection="1">
      <alignment horizontal="center" vertical="center" wrapText="1"/>
      <protection locked="0"/>
    </xf>
    <xf numFmtId="0" fontId="1" fillId="11" borderId="1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11" fillId="15" borderId="2" xfId="0" applyFont="1" applyFill="1" applyBorder="1" applyAlignment="1" applyProtection="1">
      <alignment horizontal="center" vertic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8" borderId="4" xfId="0" applyFill="1" applyBorder="1" applyProtection="1">
      <protection locked="0"/>
    </xf>
    <xf numFmtId="0" fontId="7" fillId="7" borderId="1" xfId="0" applyFon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/>
      <protection locked="0"/>
    </xf>
    <xf numFmtId="2" fontId="0" fillId="18" borderId="1" xfId="0" applyNumberFormat="1" applyFill="1" applyBorder="1" applyAlignment="1" applyProtection="1">
      <alignment horizontal="center"/>
      <protection locked="0"/>
    </xf>
    <xf numFmtId="3" fontId="0" fillId="18" borderId="5" xfId="0" applyNumberFormat="1" applyFill="1" applyBorder="1" applyAlignment="1" applyProtection="1">
      <alignment horizontal="center"/>
      <protection locked="0"/>
    </xf>
    <xf numFmtId="164" fontId="0" fillId="18" borderId="6" xfId="0" applyNumberFormat="1" applyFill="1" applyBorder="1" applyAlignment="1" applyProtection="1">
      <alignment horizontal="center"/>
      <protection locked="0"/>
    </xf>
    <xf numFmtId="168" fontId="0" fillId="18" borderId="6" xfId="0" applyNumberFormat="1" applyFill="1" applyBorder="1" applyAlignment="1" applyProtection="1">
      <alignment horizontal="center"/>
      <protection locked="0"/>
    </xf>
    <xf numFmtId="168" fontId="0" fillId="18" borderId="1" xfId="0" applyNumberFormat="1" applyFill="1" applyBorder="1" applyAlignment="1" applyProtection="1">
      <alignment horizontal="center"/>
      <protection locked="0"/>
    </xf>
    <xf numFmtId="0" fontId="11" fillId="15" borderId="3" xfId="0" applyFont="1" applyFill="1" applyBorder="1" applyAlignment="1" applyProtection="1">
      <alignment horizontal="center" vertical="center"/>
      <protection locked="0"/>
    </xf>
    <xf numFmtId="0" fontId="0" fillId="18" borderId="1" xfId="0" applyFill="1" applyBorder="1" applyProtection="1">
      <protection locked="0"/>
    </xf>
    <xf numFmtId="0" fontId="11" fillId="15" borderId="4" xfId="0" applyFont="1" applyFill="1" applyBorder="1" applyAlignment="1" applyProtection="1">
      <alignment horizontal="center" vertical="center"/>
      <protection locked="0"/>
    </xf>
    <xf numFmtId="164" fontId="0" fillId="18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15" borderId="4" xfId="0" applyFill="1" applyBorder="1" applyAlignment="1" applyProtection="1">
      <alignment horizontal="center"/>
      <protection locked="0"/>
    </xf>
    <xf numFmtId="0" fontId="0" fillId="18" borderId="4" xfId="0" applyFill="1" applyBorder="1" applyAlignment="1" applyProtection="1">
      <alignment horizontal="center"/>
      <protection locked="0"/>
    </xf>
    <xf numFmtId="0" fontId="7" fillId="7" borderId="4" xfId="0" applyFont="1" applyFill="1" applyBorder="1" applyAlignment="1" applyProtection="1">
      <alignment horizontal="center"/>
      <protection locked="0"/>
    </xf>
    <xf numFmtId="0" fontId="5" fillId="7" borderId="4" xfId="0" applyFont="1" applyFill="1" applyBorder="1" applyAlignment="1" applyProtection="1">
      <alignment horizontal="center"/>
      <protection locked="0"/>
    </xf>
    <xf numFmtId="2" fontId="0" fillId="18" borderId="4" xfId="0" applyNumberFormat="1" applyFill="1" applyBorder="1" applyAlignment="1" applyProtection="1">
      <alignment horizontal="center"/>
      <protection locked="0"/>
    </xf>
    <xf numFmtId="3" fontId="0" fillId="18" borderId="4" xfId="0" applyNumberFormat="1" applyFill="1" applyBorder="1" applyAlignment="1" applyProtection="1">
      <alignment horizontal="center"/>
      <protection locked="0"/>
    </xf>
    <xf numFmtId="168" fontId="0" fillId="18" borderId="4" xfId="0" applyNumberFormat="1" applyFill="1" applyBorder="1" applyAlignment="1" applyProtection="1">
      <alignment horizontal="center"/>
      <protection locked="0"/>
    </xf>
    <xf numFmtId="168" fontId="0" fillId="18" borderId="14" xfId="0" applyNumberFormat="1" applyFill="1" applyBorder="1" applyAlignment="1" applyProtection="1">
      <alignment horizontal="center"/>
      <protection locked="0"/>
    </xf>
    <xf numFmtId="169" fontId="0" fillId="18" borderId="14" xfId="0" applyNumberFormat="1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3" fontId="0" fillId="18" borderId="1" xfId="0" applyNumberFormat="1" applyFill="1" applyBorder="1" applyAlignment="1" applyProtection="1">
      <alignment horizontal="center"/>
      <protection locked="0"/>
    </xf>
    <xf numFmtId="169" fontId="0" fillId="18" borderId="6" xfId="0" applyNumberForma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0" fillId="15" borderId="16" xfId="0" applyFill="1" applyBorder="1" applyAlignment="1" applyProtection="1">
      <alignment horizontal="center"/>
      <protection locked="0"/>
    </xf>
    <xf numFmtId="0" fontId="0" fillId="18" borderId="16" xfId="0" applyFill="1" applyBorder="1" applyAlignment="1" applyProtection="1">
      <alignment horizontal="center"/>
      <protection locked="0"/>
    </xf>
    <xf numFmtId="0" fontId="0" fillId="18" borderId="16" xfId="0" applyFill="1" applyBorder="1" applyProtection="1">
      <protection locked="0"/>
    </xf>
    <xf numFmtId="0" fontId="7" fillId="7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2" fontId="0" fillId="18" borderId="16" xfId="0" applyNumberFormat="1" applyFill="1" applyBorder="1" applyAlignment="1" applyProtection="1">
      <alignment horizontal="center"/>
      <protection locked="0"/>
    </xf>
    <xf numFmtId="3" fontId="0" fillId="18" borderId="16" xfId="0" applyNumberFormat="1" applyFill="1" applyBorder="1" applyAlignment="1" applyProtection="1">
      <alignment horizontal="center"/>
      <protection locked="0"/>
    </xf>
    <xf numFmtId="168" fontId="0" fillId="18" borderId="16" xfId="0" applyNumberFormat="1" applyFill="1" applyBorder="1" applyAlignment="1" applyProtection="1">
      <alignment horizontal="center"/>
      <protection locked="0"/>
    </xf>
    <xf numFmtId="168" fontId="0" fillId="18" borderId="17" xfId="0" applyNumberFormat="1" applyFill="1" applyBorder="1" applyAlignment="1" applyProtection="1">
      <alignment horizontal="center"/>
      <protection locked="0"/>
    </xf>
    <xf numFmtId="169" fontId="0" fillId="18" borderId="17" xfId="0" applyNumberFormat="1" applyFill="1" applyBorder="1" applyAlignment="1" applyProtection="1">
      <alignment horizontal="center"/>
      <protection locked="0"/>
    </xf>
    <xf numFmtId="0" fontId="0" fillId="20" borderId="18" xfId="0" applyFill="1" applyBorder="1" applyAlignment="1" applyProtection="1">
      <alignment horizontal="center"/>
      <protection locked="0"/>
    </xf>
    <xf numFmtId="0" fontId="0" fillId="20" borderId="4" xfId="0" applyFill="1" applyBorder="1" applyAlignment="1" applyProtection="1">
      <alignment horizontal="center"/>
      <protection locked="0"/>
    </xf>
    <xf numFmtId="0" fontId="0" fillId="7" borderId="4" xfId="0" applyFill="1" applyBorder="1" applyProtection="1">
      <protection locked="0"/>
    </xf>
    <xf numFmtId="2" fontId="0" fillId="18" borderId="18" xfId="0" applyNumberFormat="1" applyFill="1" applyBorder="1" applyAlignment="1" applyProtection="1">
      <alignment horizontal="center"/>
      <protection locked="0"/>
    </xf>
    <xf numFmtId="0" fontId="0" fillId="18" borderId="18" xfId="0" applyFill="1" applyBorder="1" applyAlignment="1" applyProtection="1">
      <alignment horizontal="center"/>
      <protection locked="0"/>
    </xf>
    <xf numFmtId="3" fontId="0" fillId="18" borderId="18" xfId="0" applyNumberFormat="1" applyFill="1" applyBorder="1" applyAlignment="1" applyProtection="1">
      <alignment horizontal="center"/>
      <protection locked="0"/>
    </xf>
    <xf numFmtId="168" fontId="0" fillId="18" borderId="18" xfId="0" applyNumberFormat="1" applyFill="1" applyBorder="1" applyAlignment="1" applyProtection="1">
      <alignment horizontal="center"/>
      <protection locked="0"/>
    </xf>
    <xf numFmtId="168" fontId="0" fillId="18" borderId="19" xfId="0" applyNumberFormat="1" applyFill="1" applyBorder="1" applyAlignment="1" applyProtection="1">
      <alignment horizontal="center"/>
      <protection locked="0"/>
    </xf>
    <xf numFmtId="169" fontId="0" fillId="18" borderId="19" xfId="0" applyNumberFormat="1" applyFill="1" applyBorder="1" applyAlignment="1" applyProtection="1">
      <alignment horizontal="center"/>
      <protection locked="0"/>
    </xf>
    <xf numFmtId="0" fontId="0" fillId="20" borderId="1" xfId="0" applyFill="1" applyBorder="1" applyAlignment="1" applyProtection="1">
      <alignment horizontal="center"/>
      <protection locked="0"/>
    </xf>
    <xf numFmtId="0" fontId="0" fillId="7" borderId="1" xfId="0" applyFill="1" applyBorder="1" applyProtection="1">
      <protection locked="0"/>
    </xf>
    <xf numFmtId="0" fontId="0" fillId="20" borderId="16" xfId="0" applyFill="1" applyBorder="1" applyAlignment="1" applyProtection="1">
      <alignment horizontal="center"/>
      <protection locked="0"/>
    </xf>
    <xf numFmtId="0" fontId="0" fillId="7" borderId="16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18" borderId="20" xfId="0" applyFill="1" applyBorder="1" applyAlignment="1" applyProtection="1">
      <alignment horizontal="center"/>
      <protection locked="0"/>
    </xf>
    <xf numFmtId="0" fontId="0" fillId="8" borderId="18" xfId="0" applyFill="1" applyBorder="1" applyAlignment="1" applyProtection="1">
      <alignment horizontal="center"/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6" xfId="0" applyFill="1" applyBorder="1" applyAlignment="1" applyProtection="1">
      <alignment horizontal="center"/>
      <protection locked="0"/>
    </xf>
    <xf numFmtId="0" fontId="3" fillId="4" borderId="16" xfId="0" applyFont="1" applyFill="1" applyBorder="1" applyAlignment="1" applyProtection="1">
      <alignment horizontal="center"/>
      <protection locked="0"/>
    </xf>
    <xf numFmtId="0" fontId="0" fillId="13" borderId="4" xfId="0" applyFill="1" applyBorder="1" applyAlignment="1" applyProtection="1">
      <alignment horizontal="center"/>
      <protection locked="0"/>
    </xf>
    <xf numFmtId="0" fontId="0" fillId="13" borderId="1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19" borderId="4" xfId="0" applyFill="1" applyBorder="1" applyAlignment="1" applyProtection="1">
      <alignment horizontal="center"/>
      <protection locked="0"/>
    </xf>
    <xf numFmtId="0" fontId="0" fillId="19" borderId="1" xfId="0" applyFill="1" applyBorder="1" applyAlignment="1" applyProtection="1">
      <alignment horizontal="center"/>
      <protection locked="0"/>
    </xf>
    <xf numFmtId="0" fontId="0" fillId="19" borderId="16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8" borderId="5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0" fillId="8" borderId="6" xfId="0" applyFill="1" applyBorder="1" applyProtection="1"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9" fontId="0" fillId="5" borderId="1" xfId="0" applyNumberFormat="1" applyFill="1" applyBorder="1" applyAlignment="1" applyProtection="1">
      <alignment horizontal="center"/>
      <protection locked="0"/>
    </xf>
    <xf numFmtId="0" fontId="0" fillId="8" borderId="6" xfId="0" applyFill="1" applyBorder="1" applyAlignment="1" applyProtection="1">
      <alignment horizontal="center"/>
      <protection locked="0"/>
    </xf>
    <xf numFmtId="0" fontId="24" fillId="26" borderId="1" xfId="0" applyFont="1" applyFill="1" applyBorder="1" applyAlignment="1" applyProtection="1">
      <alignment horizontal="center"/>
      <protection locked="0"/>
    </xf>
    <xf numFmtId="0" fontId="0" fillId="10" borderId="10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10" borderId="11" xfId="0" applyFill="1" applyBorder="1" applyAlignment="1" applyProtection="1">
      <alignment horizontal="center"/>
      <protection locked="0"/>
    </xf>
    <xf numFmtId="2" fontId="0" fillId="5" borderId="2" xfId="0" applyNumberFormat="1" applyFill="1" applyBorder="1" applyAlignment="1" applyProtection="1">
      <alignment horizontal="center"/>
      <protection locked="0"/>
    </xf>
    <xf numFmtId="0" fontId="0" fillId="10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/>
      <protection locked="0"/>
    </xf>
    <xf numFmtId="2" fontId="0" fillId="0" borderId="2" xfId="0" applyNumberFormat="1" applyBorder="1" applyProtection="1">
      <protection locked="0"/>
    </xf>
    <xf numFmtId="0" fontId="16" fillId="0" borderId="10" xfId="0" applyFont="1" applyBorder="1" applyAlignment="1" applyProtection="1">
      <alignment horizontal="center"/>
      <protection locked="0"/>
    </xf>
    <xf numFmtId="2" fontId="16" fillId="0" borderId="11" xfId="0" applyNumberFormat="1" applyFont="1" applyBorder="1" applyAlignment="1" applyProtection="1">
      <alignment horizontal="center"/>
      <protection locked="0"/>
    </xf>
    <xf numFmtId="1" fontId="16" fillId="0" borderId="11" xfId="0" applyNumberFormat="1" applyFont="1" applyBorder="1" applyAlignment="1" applyProtection="1">
      <alignment horizontal="center"/>
      <protection locked="0"/>
    </xf>
    <xf numFmtId="2" fontId="17" fillId="0" borderId="12" xfId="0" applyNumberFormat="1" applyFont="1" applyBorder="1" applyAlignment="1" applyProtection="1">
      <alignment horizontal="center"/>
      <protection locked="0"/>
    </xf>
    <xf numFmtId="0" fontId="0" fillId="10" borderId="1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10" borderId="9" xfId="0" applyFill="1" applyBorder="1" applyAlignment="1" applyProtection="1">
      <alignment horizontal="center"/>
      <protection locked="0"/>
    </xf>
    <xf numFmtId="0" fontId="0" fillId="10" borderId="3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2" fontId="0" fillId="0" borderId="3" xfId="0" applyNumberFormat="1" applyBorder="1" applyProtection="1"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2" fontId="16" fillId="0" borderId="0" xfId="0" applyNumberFormat="1" applyFont="1" applyBorder="1" applyAlignment="1" applyProtection="1">
      <alignment horizontal="center" vertical="center"/>
      <protection locked="0"/>
    </xf>
    <xf numFmtId="1" fontId="16" fillId="0" borderId="0" xfId="0" applyNumberFormat="1" applyFont="1" applyBorder="1" applyAlignment="1" applyProtection="1">
      <alignment horizontal="center"/>
      <protection locked="0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7" fillId="0" borderId="8" xfId="0" applyNumberFormat="1" applyFont="1" applyBorder="1" applyAlignment="1" applyProtection="1">
      <alignment horizontal="center"/>
      <protection locked="0"/>
    </xf>
    <xf numFmtId="0" fontId="0" fillId="10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10" borderId="4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Border="1" applyProtection="1">
      <protection locked="0"/>
    </xf>
    <xf numFmtId="0" fontId="10" fillId="0" borderId="0" xfId="0" quotePrefix="1" applyFont="1" applyBorder="1" applyProtection="1"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quotePrefix="1" applyFont="1" applyAlignment="1" applyProtection="1">
      <alignment horizontal="left"/>
      <protection locked="0"/>
    </xf>
    <xf numFmtId="0" fontId="21" fillId="0" borderId="0" xfId="0" applyFont="1" applyAlignment="1" applyProtection="1">
      <alignment vertical="center"/>
      <protection locked="0"/>
    </xf>
    <xf numFmtId="0" fontId="12" fillId="21" borderId="1" xfId="0" applyFont="1" applyFill="1" applyBorder="1" applyAlignment="1" applyProtection="1">
      <alignment horizontal="center"/>
      <protection locked="0"/>
    </xf>
    <xf numFmtId="2" fontId="12" fillId="21" borderId="1" xfId="0" applyNumberFormat="1" applyFont="1" applyFill="1" applyBorder="1" applyAlignment="1" applyProtection="1">
      <alignment horizontal="center"/>
      <protection locked="0"/>
    </xf>
    <xf numFmtId="0" fontId="12" fillId="21" borderId="5" xfId="0" applyFont="1" applyFill="1" applyBorder="1" applyProtection="1">
      <protection locked="0"/>
    </xf>
    <xf numFmtId="0" fontId="12" fillId="21" borderId="7" xfId="0" applyFont="1" applyFill="1" applyBorder="1" applyProtection="1">
      <protection locked="0"/>
    </xf>
    <xf numFmtId="0" fontId="12" fillId="21" borderId="6" xfId="0" applyFont="1" applyFill="1" applyBorder="1" applyProtection="1">
      <protection locked="0"/>
    </xf>
    <xf numFmtId="168" fontId="12" fillId="21" borderId="1" xfId="0" applyNumberFormat="1" applyFont="1" applyFill="1" applyBorder="1" applyAlignment="1" applyProtection="1">
      <alignment horizont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12" fillId="21" borderId="6" xfId="0" applyFont="1" applyFill="1" applyBorder="1" applyAlignment="1" applyProtection="1">
      <alignment horizontal="center"/>
      <protection locked="0"/>
    </xf>
    <xf numFmtId="169" fontId="12" fillId="21" borderId="1" xfId="0" applyNumberFormat="1" applyFont="1" applyFill="1" applyBorder="1" applyAlignment="1" applyProtection="1">
      <alignment horizontal="center"/>
      <protection locked="0"/>
    </xf>
    <xf numFmtId="0" fontId="12" fillId="21" borderId="1" xfId="0" applyFont="1" applyFill="1" applyBorder="1" applyProtection="1">
      <protection locked="0"/>
    </xf>
    <xf numFmtId="0" fontId="12" fillId="8" borderId="1" xfId="0" applyFont="1" applyFill="1" applyBorder="1" applyAlignment="1" applyProtection="1">
      <alignment horizontal="center"/>
      <protection locked="0"/>
    </xf>
    <xf numFmtId="2" fontId="12" fillId="8" borderId="1" xfId="0" applyNumberFormat="1" applyFont="1" applyFill="1" applyBorder="1" applyAlignment="1" applyProtection="1">
      <alignment horizontal="center"/>
      <protection locked="0"/>
    </xf>
    <xf numFmtId="0" fontId="12" fillId="8" borderId="5" xfId="0" applyFont="1" applyFill="1" applyBorder="1" applyProtection="1">
      <protection locked="0"/>
    </xf>
    <xf numFmtId="0" fontId="12" fillId="8" borderId="6" xfId="0" applyFont="1" applyFill="1" applyBorder="1" applyAlignment="1" applyProtection="1">
      <alignment horizontal="center"/>
      <protection locked="0"/>
    </xf>
    <xf numFmtId="169" fontId="12" fillId="8" borderId="1" xfId="0" applyNumberFormat="1" applyFont="1" applyFill="1" applyBorder="1" applyAlignment="1" applyProtection="1">
      <alignment horizontal="center"/>
      <protection locked="0"/>
    </xf>
    <xf numFmtId="10" fontId="12" fillId="8" borderId="1" xfId="0" applyNumberFormat="1" applyFont="1" applyFill="1" applyBorder="1" applyAlignment="1" applyProtection="1">
      <alignment horizontal="center"/>
      <protection locked="0"/>
    </xf>
    <xf numFmtId="10" fontId="12" fillId="21" borderId="1" xfId="0" applyNumberFormat="1" applyFont="1" applyFill="1" applyBorder="1" applyAlignment="1" applyProtection="1">
      <alignment horizontal="center"/>
      <protection locked="0"/>
    </xf>
    <xf numFmtId="2" fontId="0" fillId="0" borderId="4" xfId="0" applyNumberFormat="1" applyBorder="1" applyProtection="1"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2" fontId="16" fillId="0" borderId="9" xfId="0" applyNumberFormat="1" applyFont="1" applyBorder="1" applyAlignment="1" applyProtection="1">
      <alignment horizontal="center" vertical="center"/>
      <protection locked="0"/>
    </xf>
    <xf numFmtId="1" fontId="16" fillId="0" borderId="9" xfId="0" applyNumberFormat="1" applyFont="1" applyBorder="1" applyAlignment="1" applyProtection="1">
      <alignment horizontal="center"/>
      <protection locked="0"/>
    </xf>
    <xf numFmtId="2" fontId="16" fillId="0" borderId="9" xfId="0" applyNumberFormat="1" applyFont="1" applyBorder="1" applyAlignment="1" applyProtection="1">
      <alignment horizontal="center"/>
      <protection locked="0"/>
    </xf>
    <xf numFmtId="2" fontId="17" fillId="0" borderId="14" xfId="0" applyNumberFormat="1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right"/>
      <protection locked="0"/>
    </xf>
    <xf numFmtId="0" fontId="25" fillId="0" borderId="0" xfId="0" applyFont="1" applyAlignment="1" applyProtection="1">
      <alignment horizontal="center"/>
      <protection locked="0"/>
    </xf>
    <xf numFmtId="4" fontId="13" fillId="12" borderId="15" xfId="0" applyNumberFormat="1" applyFont="1" applyFill="1" applyBorder="1" applyProtection="1">
      <protection locked="0"/>
    </xf>
    <xf numFmtId="167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1" fillId="24" borderId="4" xfId="0" applyFont="1" applyFill="1" applyBorder="1" applyAlignment="1" applyProtection="1">
      <alignment horizontal="right"/>
      <protection locked="0"/>
    </xf>
    <xf numFmtId="165" fontId="1" fillId="24" borderId="4" xfId="0" applyNumberFormat="1" applyFont="1" applyFill="1" applyBorder="1" applyAlignment="1" applyProtection="1">
      <alignment horizontal="center"/>
      <protection locked="0"/>
    </xf>
    <xf numFmtId="164" fontId="0" fillId="18" borderId="6" xfId="0" applyNumberFormat="1" applyFill="1" applyBorder="1" applyAlignment="1" applyProtection="1">
      <alignment horizontal="center"/>
      <protection locked="0" hidden="1"/>
    </xf>
    <xf numFmtId="164" fontId="0" fillId="18" borderId="1" xfId="0" applyNumberFormat="1" applyFill="1" applyBorder="1" applyProtection="1">
      <protection locked="0" hidden="1"/>
    </xf>
    <xf numFmtId="164" fontId="0" fillId="18" borderId="5" xfId="0" applyNumberFormat="1" applyFill="1" applyBorder="1" applyProtection="1">
      <protection locked="0" hidden="1"/>
    </xf>
    <xf numFmtId="164" fontId="0" fillId="18" borderId="10" xfId="0" applyNumberFormat="1" applyFill="1" applyBorder="1" applyProtection="1">
      <protection locked="0" hidden="1"/>
    </xf>
    <xf numFmtId="164" fontId="0" fillId="18" borderId="13" xfId="0" applyNumberFormat="1" applyFill="1" applyBorder="1" applyProtection="1">
      <protection locked="0" hidden="1"/>
    </xf>
    <xf numFmtId="164" fontId="0" fillId="18" borderId="4" xfId="0" applyNumberFormat="1" applyFill="1" applyBorder="1" applyAlignment="1" applyProtection="1">
      <alignment horizontal="center"/>
      <protection locked="0" hidden="1"/>
    </xf>
    <xf numFmtId="164" fontId="0" fillId="18" borderId="1" xfId="0" applyNumberFormat="1" applyFill="1" applyBorder="1" applyAlignment="1" applyProtection="1">
      <alignment horizontal="center"/>
      <protection locked="0" hidden="1"/>
    </xf>
    <xf numFmtId="164" fontId="0" fillId="18" borderId="16" xfId="0" applyNumberFormat="1" applyFill="1" applyBorder="1" applyAlignment="1" applyProtection="1">
      <alignment horizontal="center"/>
      <protection locked="0" hidden="1"/>
    </xf>
    <xf numFmtId="164" fontId="0" fillId="18" borderId="18" xfId="0" applyNumberFormat="1" applyFill="1" applyBorder="1" applyAlignment="1" applyProtection="1">
      <alignment horizontal="center"/>
      <protection locked="0" hidden="1"/>
    </xf>
    <xf numFmtId="164" fontId="0" fillId="18" borderId="4" xfId="0" applyNumberFormat="1" applyFill="1" applyBorder="1" applyProtection="1">
      <protection locked="0" hidden="1"/>
    </xf>
    <xf numFmtId="164" fontId="0" fillId="18" borderId="14" xfId="0" applyNumberFormat="1" applyFill="1" applyBorder="1" applyProtection="1">
      <protection locked="0" hidden="1"/>
    </xf>
    <xf numFmtId="164" fontId="0" fillId="18" borderId="6" xfId="0" applyNumberFormat="1" applyFill="1" applyBorder="1" applyProtection="1">
      <protection locked="0" hidden="1"/>
    </xf>
    <xf numFmtId="164" fontId="0" fillId="18" borderId="16" xfId="0" applyNumberFormat="1" applyFill="1" applyBorder="1" applyProtection="1">
      <protection locked="0" hidden="1"/>
    </xf>
    <xf numFmtId="164" fontId="0" fillId="18" borderId="17" xfId="0" applyNumberFormat="1" applyFill="1" applyBorder="1" applyProtection="1">
      <protection locked="0" hidden="1"/>
    </xf>
    <xf numFmtId="164" fontId="0" fillId="18" borderId="18" xfId="0" applyNumberFormat="1" applyFill="1" applyBorder="1" applyProtection="1">
      <protection locked="0" hidden="1"/>
    </xf>
    <xf numFmtId="164" fontId="0" fillId="18" borderId="19" xfId="0" applyNumberFormat="1" applyFill="1" applyBorder="1" applyProtection="1">
      <protection locked="0" hidden="1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12" fillId="6" borderId="4" xfId="0" applyFont="1" applyFill="1" applyBorder="1" applyAlignment="1" applyProtection="1">
      <alignment horizontal="center" vertical="center" textRotation="90"/>
      <protection locked="0"/>
    </xf>
    <xf numFmtId="0" fontId="12" fillId="6" borderId="1" xfId="0" applyFont="1" applyFill="1" applyBorder="1" applyAlignment="1" applyProtection="1">
      <alignment horizontal="center" vertical="center" textRotation="90"/>
      <protection locked="0"/>
    </xf>
    <xf numFmtId="0" fontId="12" fillId="6" borderId="16" xfId="0" applyFont="1" applyFill="1" applyBorder="1" applyAlignment="1" applyProtection="1">
      <alignment horizontal="center" vertical="center" textRotation="90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2" xfId="0" applyFont="1" applyFill="1" applyBorder="1" applyAlignment="1" applyProtection="1">
      <alignment horizontal="center" vertical="center"/>
      <protection locked="0"/>
    </xf>
    <xf numFmtId="0" fontId="13" fillId="8" borderId="13" xfId="0" applyFont="1" applyFill="1" applyBorder="1" applyAlignment="1" applyProtection="1">
      <alignment horizontal="center" vertical="center"/>
      <protection locked="0"/>
    </xf>
    <xf numFmtId="0" fontId="13" fillId="8" borderId="0" xfId="0" applyFont="1" applyFill="1" applyBorder="1" applyAlignment="1" applyProtection="1">
      <alignment horizontal="center" vertical="center"/>
      <protection locked="0"/>
    </xf>
    <xf numFmtId="0" fontId="13" fillId="8" borderId="9" xfId="0" applyFont="1" applyFill="1" applyBorder="1" applyAlignment="1" applyProtection="1">
      <alignment horizontal="center" vertical="center"/>
      <protection locked="0"/>
    </xf>
    <xf numFmtId="0" fontId="13" fillId="8" borderId="8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 textRotation="90"/>
      <protection locked="0"/>
    </xf>
    <xf numFmtId="0" fontId="2" fillId="9" borderId="1" xfId="0" applyFont="1" applyFill="1" applyBorder="1" applyAlignment="1" applyProtection="1">
      <alignment horizontal="center" vertical="center" textRotation="90"/>
      <protection locked="0"/>
    </xf>
    <xf numFmtId="0" fontId="6" fillId="16" borderId="1" xfId="0" applyFont="1" applyFill="1" applyBorder="1" applyAlignment="1" applyProtection="1">
      <alignment horizontal="center" vertical="center" textRotation="90"/>
      <protection locked="0"/>
    </xf>
    <xf numFmtId="0" fontId="6" fillId="16" borderId="16" xfId="0" applyFont="1" applyFill="1" applyBorder="1" applyAlignment="1" applyProtection="1">
      <alignment horizontal="center" vertical="center" textRotation="90"/>
      <protection locked="0"/>
    </xf>
    <xf numFmtId="3" fontId="26" fillId="17" borderId="2" xfId="0" applyNumberFormat="1" applyFont="1" applyFill="1" applyBorder="1" applyAlignment="1" applyProtection="1">
      <alignment horizontal="center" vertical="center" textRotation="90"/>
      <protection locked="0"/>
    </xf>
    <xf numFmtId="3" fontId="26" fillId="17" borderId="3" xfId="0" applyNumberFormat="1" applyFont="1" applyFill="1" applyBorder="1" applyAlignment="1" applyProtection="1">
      <alignment horizontal="center" vertical="center" textRotation="90"/>
      <protection locked="0"/>
    </xf>
    <xf numFmtId="3" fontId="26" fillId="17" borderId="4" xfId="0" applyNumberFormat="1" applyFont="1" applyFill="1" applyBorder="1" applyAlignment="1" applyProtection="1">
      <alignment horizontal="center" vertical="center" textRotation="90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4" xfId="0" applyFill="1" applyBorder="1" applyAlignment="1" applyProtection="1">
      <alignment horizontal="center" vertical="center"/>
      <protection locked="0"/>
    </xf>
    <xf numFmtId="0" fontId="11" fillId="15" borderId="2" xfId="0" applyFont="1" applyFill="1" applyBorder="1" applyAlignment="1" applyProtection="1">
      <alignment horizontal="center" vertical="center"/>
      <protection locked="0"/>
    </xf>
    <xf numFmtId="0" fontId="11" fillId="15" borderId="3" xfId="0" applyFont="1" applyFill="1" applyBorder="1" applyAlignment="1" applyProtection="1">
      <alignment horizontal="center" vertical="center"/>
      <protection locked="0"/>
    </xf>
    <xf numFmtId="0" fontId="11" fillId="15" borderId="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textRotation="90"/>
      <protection locked="0"/>
    </xf>
    <xf numFmtId="0" fontId="2" fillId="2" borderId="3" xfId="0" applyFont="1" applyFill="1" applyBorder="1" applyAlignment="1" applyProtection="1">
      <alignment horizontal="center" vertical="center" textRotation="90"/>
      <protection locked="0"/>
    </xf>
    <xf numFmtId="0" fontId="2" fillId="2" borderId="4" xfId="0" applyFont="1" applyFill="1" applyBorder="1" applyAlignment="1" applyProtection="1">
      <alignment horizontal="center" vertical="center" textRotation="90"/>
      <protection locked="0"/>
    </xf>
    <xf numFmtId="0" fontId="12" fillId="16" borderId="1" xfId="0" applyFont="1" applyFill="1" applyBorder="1" applyAlignment="1" applyProtection="1">
      <alignment horizontal="center" vertical="center" textRotation="90"/>
      <protection locked="0"/>
    </xf>
    <xf numFmtId="0" fontId="12" fillId="16" borderId="16" xfId="0" applyFont="1" applyFill="1" applyBorder="1" applyAlignment="1" applyProtection="1">
      <alignment horizontal="center" vertical="center" textRotation="90"/>
      <protection locked="0"/>
    </xf>
    <xf numFmtId="0" fontId="13" fillId="8" borderId="14" xfId="0" applyFont="1" applyFill="1" applyBorder="1" applyAlignment="1" applyProtection="1">
      <alignment horizontal="center" vertical="center"/>
      <protection locked="0"/>
    </xf>
    <xf numFmtId="0" fontId="0" fillId="25" borderId="1" xfId="0" applyFill="1" applyBorder="1" applyAlignment="1" applyProtection="1">
      <alignment horizontal="center"/>
      <protection locked="0"/>
    </xf>
    <xf numFmtId="0" fontId="0" fillId="20" borderId="1" xfId="0" applyFill="1" applyBorder="1" applyAlignment="1" applyProtection="1">
      <alignment horizontal="center" vertical="center"/>
      <protection locked="0"/>
    </xf>
    <xf numFmtId="0" fontId="0" fillId="20" borderId="10" xfId="0" applyFill="1" applyBorder="1" applyAlignment="1" applyProtection="1">
      <alignment horizontal="center" vertical="center"/>
      <protection locked="0"/>
    </xf>
    <xf numFmtId="0" fontId="0" fillId="20" borderId="12" xfId="0" applyFill="1" applyBorder="1" applyAlignment="1" applyProtection="1">
      <alignment horizontal="center" vertical="center"/>
      <protection locked="0"/>
    </xf>
    <xf numFmtId="0" fontId="0" fillId="20" borderId="13" xfId="0" applyFill="1" applyBorder="1" applyAlignment="1" applyProtection="1">
      <alignment horizontal="center" vertical="center"/>
      <protection locked="0"/>
    </xf>
    <xf numFmtId="0" fontId="0" fillId="20" borderId="14" xfId="0" applyFill="1" applyBorder="1" applyAlignment="1" applyProtection="1">
      <alignment horizontal="center" vertical="center"/>
      <protection locked="0"/>
    </xf>
    <xf numFmtId="0" fontId="22" fillId="14" borderId="5" xfId="0" applyFont="1" applyFill="1" applyBorder="1" applyAlignment="1">
      <alignment horizontal="center" vertical="center"/>
    </xf>
    <xf numFmtId="0" fontId="22" fillId="14" borderId="7" xfId="0" applyFont="1" applyFill="1" applyBorder="1" applyAlignment="1">
      <alignment horizontal="center" vertical="center"/>
    </xf>
    <xf numFmtId="0" fontId="22" fillId="14" borderId="6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2" fontId="0" fillId="23" borderId="10" xfId="0" applyNumberFormat="1" applyFill="1" applyBorder="1" applyAlignment="1">
      <alignment horizontal="center" vertical="center" textRotation="90"/>
    </xf>
    <xf numFmtId="2" fontId="0" fillId="23" borderId="21" xfId="0" applyNumberFormat="1" applyFill="1" applyBorder="1" applyAlignment="1">
      <alignment horizontal="center" vertical="center" textRotation="90"/>
    </xf>
    <xf numFmtId="2" fontId="0" fillId="23" borderId="13" xfId="0" applyNumberFormat="1" applyFill="1" applyBorder="1" applyAlignment="1">
      <alignment horizontal="center" vertical="center" textRotation="90"/>
    </xf>
    <xf numFmtId="2" fontId="0" fillId="14" borderId="5" xfId="0" applyNumberFormat="1" applyFill="1" applyBorder="1" applyAlignment="1">
      <alignment horizontal="center"/>
    </xf>
    <xf numFmtId="2" fontId="0" fillId="14" borderId="6" xfId="0" applyNumberForma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2D2D"/>
      <color rgb="FFFF8585"/>
      <color rgb="FFFFFF66"/>
      <color rgb="FFFF9966"/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3" Type="http://schemas.openxmlformats.org/officeDocument/2006/relationships/chartsheet" Target="chart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24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Valor da função objetivo e tempo de simulação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7228133645456484E-2"/>
          <c:y val="0.13977806262589274"/>
          <c:w val="0.86793122952654178"/>
          <c:h val="0.75617111963568662"/>
        </c:manualLayout>
      </c:layout>
      <c:lineChart>
        <c:grouping val="standard"/>
        <c:varyColors val="0"/>
        <c:ser>
          <c:idx val="0"/>
          <c:order val="0"/>
          <c:tx>
            <c:v>Simulação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22225" cap="flat" cmpd="sng" algn="ctr">
                <a:solidFill>
                  <a:schemeClr val="accent1">
                    <a:alpha val="92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3780946300631327E-2"/>
                  <c:y val="-3.7381676127693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6D-4E6F-B15D-7813E19E6645}"/>
                </c:ext>
              </c:extLst>
            </c:dLbl>
            <c:dLbl>
              <c:idx val="1"/>
              <c:layout>
                <c:manualLayout>
                  <c:x val="-3.6098815350783853E-2"/>
                  <c:y val="-4.03896722212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6D-4E6F-B15D-7813E19E6645}"/>
                </c:ext>
              </c:extLst>
            </c:dLbl>
            <c:dLbl>
              <c:idx val="2"/>
              <c:layout>
                <c:manualLayout>
                  <c:x val="-3.6807654110803716E-2"/>
                  <c:y val="-3.7036928523469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D6D-4E6F-B15D-7813E19E6645}"/>
                </c:ext>
              </c:extLst>
            </c:dLbl>
            <c:dLbl>
              <c:idx val="3"/>
              <c:layout>
                <c:manualLayout>
                  <c:x val="-4.7545219638242896E-2"/>
                  <c:y val="3.4188034188034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6D-4E6F-B15D-7813E19E6645}"/>
                </c:ext>
              </c:extLst>
            </c:dLbl>
            <c:dLbl>
              <c:idx val="4"/>
              <c:layout>
                <c:manualLayout>
                  <c:x val="-3.9059906363056007E-2"/>
                  <c:y val="-3.4188121833608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6D-4E6F-B15D-7813E19E6645}"/>
                </c:ext>
              </c:extLst>
            </c:dLbl>
            <c:dLbl>
              <c:idx val="5"/>
              <c:layout>
                <c:manualLayout>
                  <c:x val="-4.3410852713178294E-2"/>
                  <c:y val="3.4188034188034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D-4E6F-B15D-7813E19E6645}"/>
                </c:ext>
              </c:extLst>
            </c:dLbl>
            <c:dLbl>
              <c:idx val="6"/>
              <c:layout>
                <c:manualLayout>
                  <c:x val="-5.2018337234872668E-2"/>
                  <c:y val="-3.1590795336629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D6D-4E6F-B15D-7813E19E6645}"/>
                </c:ext>
              </c:extLst>
            </c:dLbl>
            <c:dLbl>
              <c:idx val="7"/>
              <c:layout>
                <c:manualLayout>
                  <c:x val="-5.6924345605447971E-2"/>
                  <c:y val="4.47888665079655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353514932255091E-2"/>
                      <c:h val="3.64807422328022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D6D-4E6F-B15D-7813E19E6645}"/>
                </c:ext>
              </c:extLst>
            </c:dLbl>
            <c:dLbl>
              <c:idx val="8"/>
              <c:layout>
                <c:manualLayout>
                  <c:x val="-4.1312158615308223E-2"/>
                  <c:y val="-3.7792345724226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6D-4E6F-B15D-7813E19E6645}"/>
                </c:ext>
              </c:extLst>
            </c:dLbl>
            <c:dLbl>
              <c:idx val="9"/>
              <c:layout>
                <c:manualLayout>
                  <c:x val="-4.1343669250645997E-2"/>
                  <c:y val="3.7037037037036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6D-4E6F-B15D-7813E19E6645}"/>
                </c:ext>
              </c:extLst>
            </c:dLbl>
            <c:dLbl>
              <c:idx val="10"/>
              <c:layout>
                <c:manualLayout>
                  <c:x val="-4.5446548911115839E-2"/>
                  <c:y val="-3.7036928523469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6D-4E6F-B15D-7813E19E6645}"/>
                </c:ext>
              </c:extLst>
            </c:dLbl>
            <c:dLbl>
              <c:idx val="11"/>
              <c:layout>
                <c:manualLayout>
                  <c:x val="-4.1497304391005345E-2"/>
                  <c:y val="3.6626258926936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6D-4E6F-B15D-7813E19E6645}"/>
                </c:ext>
              </c:extLst>
            </c:dLbl>
            <c:dLbl>
              <c:idx val="12"/>
              <c:layout>
                <c:manualLayout>
                  <c:x val="-5.8436369440306446E-2"/>
                  <c:y val="-3.1180125740096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6D-4E6F-B15D-7813E19E66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Simulações!$D$5:$D$17</c:f>
              <c:numCache>
                <c:formatCode>#,##0.00</c:formatCode>
                <c:ptCount val="13"/>
                <c:pt idx="0">
                  <c:v>6402.29</c:v>
                </c:pt>
                <c:pt idx="1">
                  <c:v>6400.27</c:v>
                </c:pt>
                <c:pt idx="2">
                  <c:v>6399.16</c:v>
                </c:pt>
                <c:pt idx="3">
                  <c:v>6398.88</c:v>
                </c:pt>
                <c:pt idx="4">
                  <c:v>6400.11</c:v>
                </c:pt>
                <c:pt idx="5">
                  <c:v>6399.36</c:v>
                </c:pt>
                <c:pt idx="6">
                  <c:v>6399.41</c:v>
                </c:pt>
                <c:pt idx="7">
                  <c:v>6399.97</c:v>
                </c:pt>
                <c:pt idx="8">
                  <c:v>6399.08</c:v>
                </c:pt>
                <c:pt idx="9">
                  <c:v>6399.17</c:v>
                </c:pt>
                <c:pt idx="10">
                  <c:v>6399.31</c:v>
                </c:pt>
                <c:pt idx="11">
                  <c:v>6399.08</c:v>
                </c:pt>
                <c:pt idx="12">
                  <c:v>6401.11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6D-4E6F-B15D-7813E19E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29216"/>
        <c:axId val="830131840"/>
      </c:lineChart>
      <c:lineChart>
        <c:grouping val="standard"/>
        <c:varyColors val="0"/>
        <c:ser>
          <c:idx val="1"/>
          <c:order val="1"/>
          <c:tx>
            <c:v>Tempo (seg)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Simulações!$E$5:$E$17</c:f>
              <c:numCache>
                <c:formatCode>0.00</c:formatCode>
                <c:ptCount val="13"/>
                <c:pt idx="0">
                  <c:v>26.094000000000001</c:v>
                </c:pt>
                <c:pt idx="1">
                  <c:v>23.937000000000001</c:v>
                </c:pt>
                <c:pt idx="2">
                  <c:v>21.75</c:v>
                </c:pt>
                <c:pt idx="3">
                  <c:v>24.032</c:v>
                </c:pt>
                <c:pt idx="4">
                  <c:v>21.625</c:v>
                </c:pt>
                <c:pt idx="5">
                  <c:v>30.469000000000001</c:v>
                </c:pt>
                <c:pt idx="6">
                  <c:v>21.484999999999999</c:v>
                </c:pt>
                <c:pt idx="7">
                  <c:v>29.39</c:v>
                </c:pt>
                <c:pt idx="8">
                  <c:v>24.25</c:v>
                </c:pt>
                <c:pt idx="9">
                  <c:v>24.422000000000001</c:v>
                </c:pt>
                <c:pt idx="10">
                  <c:v>23.530999999999999</c:v>
                </c:pt>
                <c:pt idx="11">
                  <c:v>30.359000000000002</c:v>
                </c:pt>
                <c:pt idx="12">
                  <c:v>22.327999999999999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6D-4E6F-B15D-7813E19E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417504"/>
        <c:axId val="806416848"/>
      </c:lineChart>
      <c:catAx>
        <c:axId val="83012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131840"/>
        <c:crosses val="autoZero"/>
        <c:auto val="1"/>
        <c:lblAlgn val="ctr"/>
        <c:lblOffset val="100"/>
        <c:noMultiLvlLbl val="0"/>
      </c:catAx>
      <c:valAx>
        <c:axId val="830131840"/>
        <c:scaling>
          <c:orientation val="minMax"/>
          <c:max val="6405"/>
          <c:min val="6393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129216"/>
        <c:crosses val="autoZero"/>
        <c:crossBetween val="between"/>
        <c:majorUnit val="2"/>
      </c:valAx>
      <c:valAx>
        <c:axId val="806416848"/>
        <c:scaling>
          <c:orientation val="minMax"/>
          <c:max val="10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417504"/>
        <c:crosses val="max"/>
        <c:crossBetween val="between"/>
        <c:majorUnit val="25"/>
      </c:valAx>
      <c:catAx>
        <c:axId val="80641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806416848"/>
        <c:crosses val="autoZero"/>
        <c:auto val="1"/>
        <c:lblAlgn val="ctr"/>
        <c:lblOffset val="100"/>
        <c:noMultiLvlLbl val="0"/>
      </c:catAx>
      <c:spPr>
        <a:gradFill flip="none" rotWithShape="1">
          <a:gsLst>
            <a:gs pos="0">
              <a:schemeClr val="accent5">
                <a:lumMod val="7000"/>
                <a:lumOff val="93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8872809817687"/>
          <c:y val="0.94016846731367865"/>
          <c:w val="0.40262254380364615"/>
          <c:h val="5.9831532686321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Conjunto</a:t>
            </a:r>
            <a:r>
              <a:rPr lang="pt-BR" baseline="0">
                <a:solidFill>
                  <a:sysClr val="windowText" lastClr="000000"/>
                </a:solidFill>
              </a:rPr>
              <a:t> dos 5 primeiros colocados por simulação</a:t>
            </a:r>
            <a:endParaRPr lang="pt-BR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 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Simulações!$H$6:$H$10</c:f>
              <c:numCache>
                <c:formatCode>General</c:formatCode>
                <c:ptCount val="5"/>
                <c:pt idx="0">
                  <c:v>32</c:v>
                </c:pt>
                <c:pt idx="1">
                  <c:v>41</c:v>
                </c:pt>
                <c:pt idx="2">
                  <c:v>4</c:v>
                </c:pt>
                <c:pt idx="3">
                  <c:v>42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20-439F-A8AA-F9CA3650DB04}"/>
            </c:ext>
          </c:extLst>
        </c:ser>
        <c:ser>
          <c:idx val="1"/>
          <c:order val="1"/>
          <c:tx>
            <c:v>Sim 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Simulações!$I$6:$I$10</c:f>
              <c:numCache>
                <c:formatCode>General</c:formatCode>
                <c:ptCount val="5"/>
                <c:pt idx="0">
                  <c:v>32</c:v>
                </c:pt>
                <c:pt idx="1">
                  <c:v>51</c:v>
                </c:pt>
                <c:pt idx="2">
                  <c:v>42</c:v>
                </c:pt>
                <c:pt idx="3">
                  <c:v>41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20-439F-A8AA-F9CA3650DB04}"/>
            </c:ext>
          </c:extLst>
        </c:ser>
        <c:ser>
          <c:idx val="2"/>
          <c:order val="2"/>
          <c:tx>
            <c:v>Sim 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Simulações!$J$6:$J$10</c:f>
              <c:numCache>
                <c:formatCode>General</c:formatCode>
                <c:ptCount val="5"/>
                <c:pt idx="0">
                  <c:v>32</c:v>
                </c:pt>
                <c:pt idx="1">
                  <c:v>42</c:v>
                </c:pt>
                <c:pt idx="2">
                  <c:v>41</c:v>
                </c:pt>
                <c:pt idx="3">
                  <c:v>31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20-439F-A8AA-F9CA3650DB04}"/>
            </c:ext>
          </c:extLst>
        </c:ser>
        <c:ser>
          <c:idx val="3"/>
          <c:order val="3"/>
          <c:tx>
            <c:v>Sim 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Simulações!$K$6:$K$10</c:f>
              <c:numCache>
                <c:formatCode>General</c:formatCode>
                <c:ptCount val="5"/>
                <c:pt idx="0">
                  <c:v>32</c:v>
                </c:pt>
                <c:pt idx="1">
                  <c:v>42</c:v>
                </c:pt>
                <c:pt idx="2">
                  <c:v>51</c:v>
                </c:pt>
                <c:pt idx="3">
                  <c:v>31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20-439F-A8AA-F9CA3650DB04}"/>
            </c:ext>
          </c:extLst>
        </c:ser>
        <c:ser>
          <c:idx val="4"/>
          <c:order val="4"/>
          <c:tx>
            <c:v>Sim 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Simulações!$L$6:$L$10</c:f>
              <c:numCache>
                <c:formatCode>General</c:formatCode>
                <c:ptCount val="5"/>
                <c:pt idx="0">
                  <c:v>51</c:v>
                </c:pt>
                <c:pt idx="1">
                  <c:v>32</c:v>
                </c:pt>
                <c:pt idx="2">
                  <c:v>42</c:v>
                </c:pt>
                <c:pt idx="3">
                  <c:v>41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20-439F-A8AA-F9CA3650DB04}"/>
            </c:ext>
          </c:extLst>
        </c:ser>
        <c:ser>
          <c:idx val="5"/>
          <c:order val="5"/>
          <c:tx>
            <c:v>Sim 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Simulações!$M$6:$M$10</c:f>
              <c:numCache>
                <c:formatCode>General</c:formatCode>
                <c:ptCount val="5"/>
                <c:pt idx="0">
                  <c:v>32</c:v>
                </c:pt>
                <c:pt idx="1">
                  <c:v>42</c:v>
                </c:pt>
                <c:pt idx="2">
                  <c:v>51</c:v>
                </c:pt>
                <c:pt idx="3">
                  <c:v>41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20-439F-A8AA-F9CA3650DB04}"/>
            </c:ext>
          </c:extLst>
        </c:ser>
        <c:ser>
          <c:idx val="6"/>
          <c:order val="6"/>
          <c:tx>
            <c:v>Sim 7</c:v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Simulações!$N$6:$N$10</c:f>
              <c:numCache>
                <c:formatCode>General</c:formatCode>
                <c:ptCount val="5"/>
                <c:pt idx="0">
                  <c:v>32</c:v>
                </c:pt>
                <c:pt idx="1">
                  <c:v>41</c:v>
                </c:pt>
                <c:pt idx="2">
                  <c:v>42</c:v>
                </c:pt>
                <c:pt idx="3">
                  <c:v>51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B20-439F-A8AA-F9CA3650DB04}"/>
            </c:ext>
          </c:extLst>
        </c:ser>
        <c:ser>
          <c:idx val="7"/>
          <c:order val="7"/>
          <c:tx>
            <c:v>Sim 8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Simulações!$O$6:$O$10</c:f>
              <c:numCache>
                <c:formatCode>General</c:formatCode>
                <c:ptCount val="5"/>
                <c:pt idx="0">
                  <c:v>32</c:v>
                </c:pt>
                <c:pt idx="1">
                  <c:v>42</c:v>
                </c:pt>
                <c:pt idx="2">
                  <c:v>51</c:v>
                </c:pt>
                <c:pt idx="3">
                  <c:v>3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20-439F-A8AA-F9CA3650DB04}"/>
            </c:ext>
          </c:extLst>
        </c:ser>
        <c:ser>
          <c:idx val="8"/>
          <c:order val="8"/>
          <c:tx>
            <c:v>Sim 9</c:v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Simulações!$P$6:$P$10</c:f>
              <c:numCache>
                <c:formatCode>General</c:formatCode>
                <c:ptCount val="5"/>
                <c:pt idx="0">
                  <c:v>32</c:v>
                </c:pt>
                <c:pt idx="1">
                  <c:v>51</c:v>
                </c:pt>
                <c:pt idx="2">
                  <c:v>31</c:v>
                </c:pt>
                <c:pt idx="3">
                  <c:v>42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20-439F-A8AA-F9CA3650DB04}"/>
            </c:ext>
          </c:extLst>
        </c:ser>
        <c:ser>
          <c:idx val="9"/>
          <c:order val="9"/>
          <c:tx>
            <c:v>Sim 10</c:v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Simulações!$Q$6:$Q$10</c:f>
              <c:numCache>
                <c:formatCode>General</c:formatCode>
                <c:ptCount val="5"/>
                <c:pt idx="0">
                  <c:v>32</c:v>
                </c:pt>
                <c:pt idx="1">
                  <c:v>51</c:v>
                </c:pt>
                <c:pt idx="2">
                  <c:v>42</c:v>
                </c:pt>
                <c:pt idx="3">
                  <c:v>41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B20-439F-A8AA-F9CA3650DB04}"/>
            </c:ext>
          </c:extLst>
        </c:ser>
        <c:ser>
          <c:idx val="10"/>
          <c:order val="10"/>
          <c:tx>
            <c:v>Sim 11</c:v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Simulações!$R$6:$R$10</c:f>
              <c:numCache>
                <c:formatCode>General</c:formatCode>
                <c:ptCount val="5"/>
                <c:pt idx="0">
                  <c:v>32</c:v>
                </c:pt>
                <c:pt idx="1">
                  <c:v>41</c:v>
                </c:pt>
                <c:pt idx="2">
                  <c:v>42</c:v>
                </c:pt>
                <c:pt idx="3">
                  <c:v>31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B20-439F-A8AA-F9CA3650DB04}"/>
            </c:ext>
          </c:extLst>
        </c:ser>
        <c:ser>
          <c:idx val="11"/>
          <c:order val="11"/>
          <c:tx>
            <c:v>Sim 12</c:v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Simulações!$S$6:$S$10</c:f>
              <c:numCache>
                <c:formatCode>General</c:formatCode>
                <c:ptCount val="5"/>
                <c:pt idx="0">
                  <c:v>32</c:v>
                </c:pt>
                <c:pt idx="1">
                  <c:v>51</c:v>
                </c:pt>
                <c:pt idx="2">
                  <c:v>41</c:v>
                </c:pt>
                <c:pt idx="3">
                  <c:v>42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B20-439F-A8AA-F9CA3650DB04}"/>
            </c:ext>
          </c:extLst>
        </c:ser>
        <c:ser>
          <c:idx val="12"/>
          <c:order val="12"/>
          <c:tx>
            <c:v>Sim 13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Simulações!$T$6:$T$10</c:f>
              <c:numCache>
                <c:formatCode>General</c:formatCode>
                <c:ptCount val="5"/>
                <c:pt idx="0">
                  <c:v>32</c:v>
                </c:pt>
                <c:pt idx="1">
                  <c:v>4</c:v>
                </c:pt>
                <c:pt idx="2">
                  <c:v>41</c:v>
                </c:pt>
                <c:pt idx="3">
                  <c:v>42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B20-439F-A8AA-F9CA3650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29216"/>
        <c:axId val="830131840"/>
      </c:lineChart>
      <c:catAx>
        <c:axId val="83012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131840"/>
        <c:crosses val="autoZero"/>
        <c:auto val="1"/>
        <c:lblAlgn val="ctr"/>
        <c:lblOffset val="100"/>
        <c:noMultiLvlLbl val="0"/>
      </c:catAx>
      <c:valAx>
        <c:axId val="830131840"/>
        <c:scaling>
          <c:orientation val="minMax"/>
          <c:max val="70"/>
          <c:min val="0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FUNCIONÁRIO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129216"/>
        <c:crosses val="autoZero"/>
        <c:crossBetween val="between"/>
        <c:majorUnit val="10"/>
      </c:valAx>
      <c:spPr>
        <a:gradFill flip="none" rotWithShape="1">
          <a:gsLst>
            <a:gs pos="0">
              <a:schemeClr val="accent5">
                <a:lumMod val="7000"/>
                <a:lumOff val="93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Cálculo das Experiências do pessoal desembarcado </a:t>
            </a:r>
            <a:br>
              <a:rPr lang="pt-BR">
                <a:solidFill>
                  <a:sysClr val="windowText" lastClr="000000"/>
                </a:solidFill>
              </a:rPr>
            </a:br>
            <a:r>
              <a:rPr lang="pt-BR">
                <a:solidFill>
                  <a:sysClr val="windowText" lastClr="000000"/>
                </a:solidFill>
              </a:rPr>
              <a:t>(normalizado 2.00-0.00)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Nav1</c:v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Modelo!$R$18:$R$30</c:f>
              <c:numCache>
                <c:formatCode>0.00</c:formatCode>
                <c:ptCount val="13"/>
                <c:pt idx="0">
                  <c:v>1.7052265257459562</c:v>
                </c:pt>
                <c:pt idx="1">
                  <c:v>1.6587452471482893</c:v>
                </c:pt>
                <c:pt idx="2">
                  <c:v>1.4591254752851712</c:v>
                </c:pt>
                <c:pt idx="3">
                  <c:v>1.4781368821292777</c:v>
                </c:pt>
                <c:pt idx="4">
                  <c:v>0.92205323193916344</c:v>
                </c:pt>
                <c:pt idx="5">
                  <c:v>0.94106463878327007</c:v>
                </c:pt>
                <c:pt idx="6">
                  <c:v>1.0503802281368821</c:v>
                </c:pt>
                <c:pt idx="7">
                  <c:v>0.59885931558935357</c:v>
                </c:pt>
                <c:pt idx="8">
                  <c:v>0.66064638783269969</c:v>
                </c:pt>
                <c:pt idx="9">
                  <c:v>0.8697718631178708</c:v>
                </c:pt>
                <c:pt idx="10">
                  <c:v>0.61311787072243351</c:v>
                </c:pt>
                <c:pt idx="11">
                  <c:v>0.48479087452471481</c:v>
                </c:pt>
                <c:pt idx="12">
                  <c:v>4.7528517110266164E-2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A-415F-B4BA-A756DFF8F3B3}"/>
            </c:ext>
          </c:extLst>
        </c:ser>
        <c:ser>
          <c:idx val="1"/>
          <c:order val="1"/>
          <c:tx>
            <c:v>Esc.</c:v>
          </c:tx>
          <c:spPr>
            <a:solidFill>
              <a:srgbClr val="C00000"/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Modelo!$R$31:$R$34</c:f>
              <c:numCache>
                <c:formatCode>0.00</c:formatCode>
                <c:ptCount val="4"/>
                <c:pt idx="0">
                  <c:v>0.71768060836501901</c:v>
                </c:pt>
                <c:pt idx="1">
                  <c:v>0.7414448669201521</c:v>
                </c:pt>
                <c:pt idx="2">
                  <c:v>1.1406844106463878</c:v>
                </c:pt>
                <c:pt idx="3">
                  <c:v>0.45152091254752852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A-415F-B4BA-A756DFF8F3B3}"/>
            </c:ext>
          </c:extLst>
        </c:ser>
        <c:ser>
          <c:idx val="2"/>
          <c:order val="2"/>
          <c:tx>
            <c:v>Nav2</c:v>
          </c:tx>
          <c:spPr>
            <a:solidFill>
              <a:srgbClr val="0070C0"/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Modelo!$R$35:$R$45</c:f>
              <c:numCache>
                <c:formatCode>0.00</c:formatCode>
                <c:ptCount val="11"/>
                <c:pt idx="0">
                  <c:v>1.6242566052451985</c:v>
                </c:pt>
                <c:pt idx="1">
                  <c:v>1.7585551330798483</c:v>
                </c:pt>
                <c:pt idx="2">
                  <c:v>2.000950570342205</c:v>
                </c:pt>
                <c:pt idx="3">
                  <c:v>0.79473441640742015</c:v>
                </c:pt>
                <c:pt idx="4">
                  <c:v>0.84773591427583839</c:v>
                </c:pt>
                <c:pt idx="5">
                  <c:v>1.2262357414448668</c:v>
                </c:pt>
                <c:pt idx="6">
                  <c:v>0.77946768060836502</c:v>
                </c:pt>
                <c:pt idx="7">
                  <c:v>0.7652091254752853</c:v>
                </c:pt>
                <c:pt idx="8">
                  <c:v>0.84600760456273771</c:v>
                </c:pt>
                <c:pt idx="9">
                  <c:v>0.34549575899385787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A-415F-B4BA-A756DFF8F3B3}"/>
            </c:ext>
          </c:extLst>
        </c:ser>
        <c:ser>
          <c:idx val="3"/>
          <c:order val="3"/>
          <c:tx>
            <c:v>Nav3</c:v>
          </c:tx>
          <c:spPr>
            <a:solidFill>
              <a:srgbClr val="00B0F0"/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Modelo!$R$46:$R$56</c:f>
              <c:numCache>
                <c:formatCode>0.00</c:formatCode>
                <c:ptCount val="11"/>
                <c:pt idx="0">
                  <c:v>1.3830798479087454</c:v>
                </c:pt>
                <c:pt idx="1">
                  <c:v>1.6492395437262359</c:v>
                </c:pt>
                <c:pt idx="2">
                  <c:v>1.3830798479087454</c:v>
                </c:pt>
                <c:pt idx="3">
                  <c:v>1.0836501901140683</c:v>
                </c:pt>
                <c:pt idx="4">
                  <c:v>1.088403041825095</c:v>
                </c:pt>
                <c:pt idx="5">
                  <c:v>0.90779467680608372</c:v>
                </c:pt>
                <c:pt idx="6">
                  <c:v>0.91730038022813698</c:v>
                </c:pt>
                <c:pt idx="7">
                  <c:v>0.96007604562737647</c:v>
                </c:pt>
                <c:pt idx="8">
                  <c:v>0.90779467680608372</c:v>
                </c:pt>
                <c:pt idx="9">
                  <c:v>0.93631178707224338</c:v>
                </c:pt>
                <c:pt idx="10">
                  <c:v>0.75570342205323204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A-415F-B4BA-A756DFF8F3B3}"/>
            </c:ext>
          </c:extLst>
        </c:ser>
        <c:ser>
          <c:idx val="4"/>
          <c:order val="4"/>
          <c:tx>
            <c:v>Nav4</c:v>
          </c:tx>
          <c:spPr>
            <a:solidFill>
              <a:srgbClr val="00B050"/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Modelo!$R$57:$R$65</c:f>
              <c:numCache>
                <c:formatCode>0.00</c:formatCode>
                <c:ptCount val="9"/>
                <c:pt idx="0">
                  <c:v>0.99334600760456271</c:v>
                </c:pt>
                <c:pt idx="1">
                  <c:v>0.9553231939163499</c:v>
                </c:pt>
                <c:pt idx="2">
                  <c:v>0.86026615969581754</c:v>
                </c:pt>
                <c:pt idx="3">
                  <c:v>0.70817490494296575</c:v>
                </c:pt>
                <c:pt idx="4">
                  <c:v>0.7652091254752853</c:v>
                </c:pt>
                <c:pt idx="5">
                  <c:v>0.59885931558935357</c:v>
                </c:pt>
                <c:pt idx="6">
                  <c:v>0.55608365019011408</c:v>
                </c:pt>
                <c:pt idx="7">
                  <c:v>0.5323193916349811</c:v>
                </c:pt>
                <c:pt idx="8">
                  <c:v>0.16634980988593157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7A-415F-B4BA-A756DFF8F3B3}"/>
            </c:ext>
          </c:extLst>
        </c:ser>
        <c:ser>
          <c:idx val="5"/>
          <c:order val="5"/>
          <c:tx>
            <c:v>Nav5</c:v>
          </c:tx>
          <c:spPr>
            <a:solidFill>
              <a:srgbClr val="92D050"/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Modelo!$R$66:$R$78</c:f>
              <c:numCache>
                <c:formatCode>0.00</c:formatCode>
                <c:ptCount val="13"/>
                <c:pt idx="0">
                  <c:v>1.9484877949670567</c:v>
                </c:pt>
                <c:pt idx="1">
                  <c:v>1.5209125475285172</c:v>
                </c:pt>
                <c:pt idx="2">
                  <c:v>0.9815672011902794</c:v>
                </c:pt>
                <c:pt idx="3">
                  <c:v>0.97908745247148288</c:v>
                </c:pt>
                <c:pt idx="4">
                  <c:v>0.81749049429657794</c:v>
                </c:pt>
                <c:pt idx="5">
                  <c:v>0.80323193916349822</c:v>
                </c:pt>
                <c:pt idx="6">
                  <c:v>0.82224334600760463</c:v>
                </c:pt>
                <c:pt idx="7">
                  <c:v>0.87927756653992395</c:v>
                </c:pt>
                <c:pt idx="8">
                  <c:v>0.61787072243346008</c:v>
                </c:pt>
                <c:pt idx="9">
                  <c:v>0.68441064638783278</c:v>
                </c:pt>
                <c:pt idx="10">
                  <c:v>1.2119771863117872</c:v>
                </c:pt>
                <c:pt idx="11">
                  <c:v>0.66539923954372615</c:v>
                </c:pt>
                <c:pt idx="12">
                  <c:v>0.13307984790874525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7A-415F-B4BA-A756DFF8F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30129216"/>
        <c:axId val="830131840"/>
      </c:barChart>
      <c:catAx>
        <c:axId val="83012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131840"/>
        <c:crosses val="autoZero"/>
        <c:auto val="1"/>
        <c:lblAlgn val="ctr"/>
        <c:lblOffset val="100"/>
        <c:noMultiLvlLbl val="0"/>
      </c:catAx>
      <c:valAx>
        <c:axId val="8301318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129216"/>
        <c:crosses val="autoZero"/>
        <c:crossBetween val="between"/>
      </c:valAx>
      <c:spPr>
        <a:gradFill flip="none" rotWithShape="1">
          <a:gsLst>
            <a:gs pos="0">
              <a:schemeClr val="accent5">
                <a:lumMod val="7000"/>
                <a:lumOff val="93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Cálculo dos Custos logísticos e diárias do pessoal desembarcado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pt-BR" sz="1400" b="0" i="0" baseline="0">
                <a:effectLst/>
              </a:rPr>
              <a:t>(normalizado 2.00-0.00)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Modelo!$AB$18:$AB$78</c:f>
              <c:numCache>
                <c:formatCode>0.000</c:formatCode>
                <c:ptCount val="61"/>
                <c:pt idx="0">
                  <c:v>1.9722222222222223</c:v>
                </c:pt>
                <c:pt idx="1">
                  <c:v>1.3209810212006063</c:v>
                </c:pt>
                <c:pt idx="2">
                  <c:v>1.3249055212940466</c:v>
                </c:pt>
                <c:pt idx="3">
                  <c:v>1.2199709201905053</c:v>
                </c:pt>
                <c:pt idx="4">
                  <c:v>0.78778699912600114</c:v>
                </c:pt>
                <c:pt idx="5">
                  <c:v>0.82878330114827947</c:v>
                </c:pt>
                <c:pt idx="6">
                  <c:v>0.72581095009145824</c:v>
                </c:pt>
                <c:pt idx="7">
                  <c:v>0.6650014912722817</c:v>
                </c:pt>
                <c:pt idx="8">
                  <c:v>0.65519024103868051</c:v>
                </c:pt>
                <c:pt idx="9">
                  <c:v>0.62372817126601465</c:v>
                </c:pt>
                <c:pt idx="10">
                  <c:v>0.69948574702359045</c:v>
                </c:pt>
                <c:pt idx="11">
                  <c:v>0.59429442056521098</c:v>
                </c:pt>
                <c:pt idx="12">
                  <c:v>0.38008212379825163</c:v>
                </c:pt>
                <c:pt idx="13">
                  <c:v>0.67916173508586142</c:v>
                </c:pt>
                <c:pt idx="14">
                  <c:v>0.6321789186954575</c:v>
                </c:pt>
                <c:pt idx="15">
                  <c:v>0.42957660137159293</c:v>
                </c:pt>
                <c:pt idx="16">
                  <c:v>0.4489363783603178</c:v>
                </c:pt>
                <c:pt idx="17">
                  <c:v>1.8888888888888888</c:v>
                </c:pt>
                <c:pt idx="18">
                  <c:v>1.3504147719014097</c:v>
                </c:pt>
                <c:pt idx="19">
                  <c:v>1.2709894214052315</c:v>
                </c:pt>
                <c:pt idx="20">
                  <c:v>0.71202942336842545</c:v>
                </c:pt>
                <c:pt idx="21">
                  <c:v>0.73165192383562783</c:v>
                </c:pt>
                <c:pt idx="22">
                  <c:v>0.73954670041850001</c:v>
                </c:pt>
                <c:pt idx="23">
                  <c:v>0.63353942149961584</c:v>
                </c:pt>
                <c:pt idx="24">
                  <c:v>0.75135701058425775</c:v>
                </c:pt>
                <c:pt idx="25">
                  <c:v>0.73165192383562783</c:v>
                </c:pt>
                <c:pt idx="26">
                  <c:v>0.49328431955511004</c:v>
                </c:pt>
                <c:pt idx="27">
                  <c:v>0.38008212379825163</c:v>
                </c:pt>
                <c:pt idx="28">
                  <c:v>1.6632759099120527</c:v>
                </c:pt>
                <c:pt idx="29">
                  <c:v>1.3170565211071659</c:v>
                </c:pt>
                <c:pt idx="30">
                  <c:v>1.2238496438879545</c:v>
                </c:pt>
                <c:pt idx="31">
                  <c:v>1.1355483917855436</c:v>
                </c:pt>
                <c:pt idx="32">
                  <c:v>0.62083057259192542</c:v>
                </c:pt>
                <c:pt idx="33">
                  <c:v>0.84946951292026973</c:v>
                </c:pt>
                <c:pt idx="34">
                  <c:v>0.85257428518034006</c:v>
                </c:pt>
                <c:pt idx="35">
                  <c:v>0.59139682189112197</c:v>
                </c:pt>
                <c:pt idx="36">
                  <c:v>0.66297317220041929</c:v>
                </c:pt>
                <c:pt idx="37">
                  <c:v>0.66297317220041929</c:v>
                </c:pt>
                <c:pt idx="38">
                  <c:v>0.68259567266762189</c:v>
                </c:pt>
                <c:pt idx="39">
                  <c:v>1.7691293423866772</c:v>
                </c:pt>
                <c:pt idx="40">
                  <c:v>1.2042271434207519</c:v>
                </c:pt>
                <c:pt idx="41">
                  <c:v>1.0639720414762459</c:v>
                </c:pt>
                <c:pt idx="42">
                  <c:v>0.79759824935960222</c:v>
                </c:pt>
                <c:pt idx="43">
                  <c:v>0.72184067360202642</c:v>
                </c:pt>
                <c:pt idx="44">
                  <c:v>0.55215182095671711</c:v>
                </c:pt>
                <c:pt idx="45">
                  <c:v>0.67986324655638797</c:v>
                </c:pt>
                <c:pt idx="46">
                  <c:v>0.53252932048951485</c:v>
                </c:pt>
                <c:pt idx="47">
                  <c:v>0.38008212379825163</c:v>
                </c:pt>
                <c:pt idx="48">
                  <c:v>1.4250628599582067</c:v>
                </c:pt>
                <c:pt idx="49">
                  <c:v>1.3111697709670049</c:v>
                </c:pt>
                <c:pt idx="50">
                  <c:v>1.2434721443551568</c:v>
                </c:pt>
                <c:pt idx="51">
                  <c:v>0.7512744243028302</c:v>
                </c:pt>
                <c:pt idx="52">
                  <c:v>0.80235899454269843</c:v>
                </c:pt>
                <c:pt idx="53">
                  <c:v>0.68259567266762189</c:v>
                </c:pt>
                <c:pt idx="54">
                  <c:v>0.74146317406922901</c:v>
                </c:pt>
                <c:pt idx="55">
                  <c:v>0.74146317406922901</c:v>
                </c:pt>
                <c:pt idx="56">
                  <c:v>0.61391692103241335</c:v>
                </c:pt>
                <c:pt idx="57">
                  <c:v>0.72386899267388882</c:v>
                </c:pt>
                <c:pt idx="58">
                  <c:v>1.1649821424863469</c:v>
                </c:pt>
                <c:pt idx="59">
                  <c:v>0.59429442056521098</c:v>
                </c:pt>
                <c:pt idx="60">
                  <c:v>0.38008212379825163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E-4D72-8266-B860E277C2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0129216"/>
        <c:axId val="830131840"/>
      </c:barChart>
      <c:catAx>
        <c:axId val="830129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0131840"/>
        <c:crosses val="autoZero"/>
        <c:auto val="1"/>
        <c:lblAlgn val="ctr"/>
        <c:lblOffset val="100"/>
        <c:noMultiLvlLbl val="0"/>
      </c:catAx>
      <c:valAx>
        <c:axId val="8301318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129216"/>
        <c:crosses val="autoZero"/>
        <c:crossBetween val="between"/>
      </c:valAx>
      <c:spPr>
        <a:gradFill flip="none" rotWithShape="1">
          <a:gsLst>
            <a:gs pos="0">
              <a:schemeClr val="accent5">
                <a:lumMod val="7000"/>
                <a:lumOff val="93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5F9307-7901-4815-8EE3-E7F5F64B5BF4}">
  <sheetPr>
    <tabColor rgb="FF92D050"/>
  </sheetPr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116CDE-AE19-412A-8941-EEEFC774A9DD}">
  <sheetPr>
    <tabColor rgb="FF92D050"/>
  </sheetPr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1505A4-3C8B-4E87-90E6-5D341DE9A5C5}">
  <sheetPr>
    <tabColor rgb="FF92D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87AB91-B602-4D4F-B4CB-56D7FC2F4921}">
  <sheetPr>
    <tabColor rgb="FF92D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1621C-BFAF-4A2E-B582-7E09D774E1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1C584-2A7A-4C48-8D3E-DBEB2CD959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84B2F-78FD-4CF9-954C-7FD8C20108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DF74E-4071-49B1-B5AB-3F515623B6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0067-AC27-447F-B4C2-375287C3F2D3}">
  <sheetPr>
    <tabColor rgb="FF00B050"/>
  </sheetPr>
  <dimension ref="B2:AI145"/>
  <sheetViews>
    <sheetView showGridLines="0" tabSelected="1" zoomScale="71" zoomScaleNormal="71" workbookViewId="0">
      <pane ySplit="4" topLeftCell="A5" activePane="bottomLeft" state="frozen"/>
      <selection pane="bottomLeft" activeCell="AH20" sqref="AH20"/>
    </sheetView>
  </sheetViews>
  <sheetFormatPr defaultRowHeight="15" x14ac:dyDescent="0.25"/>
  <cols>
    <col min="1" max="1" width="4.42578125" style="69" customWidth="1"/>
    <col min="2" max="3" width="6.85546875" style="69" customWidth="1"/>
    <col min="4" max="4" width="6.28515625" style="69" customWidth="1"/>
    <col min="5" max="5" width="5" style="121" customWidth="1"/>
    <col min="6" max="6" width="12.5703125" style="69" customWidth="1"/>
    <col min="7" max="7" width="10.42578125" style="69" customWidth="1"/>
    <col min="8" max="8" width="11" style="69" customWidth="1"/>
    <col min="9" max="9" width="12.5703125" style="69" customWidth="1"/>
    <col min="10" max="10" width="8.7109375" style="69" customWidth="1"/>
    <col min="11" max="11" width="7.7109375" style="69" customWidth="1"/>
    <col min="12" max="12" width="15.28515625" style="121" customWidth="1"/>
    <col min="13" max="13" width="7.7109375" style="121" customWidth="1"/>
    <col min="14" max="14" width="15.7109375" style="69" customWidth="1"/>
    <col min="15" max="15" width="12.28515625" style="69" customWidth="1"/>
    <col min="16" max="16" width="14.85546875" style="69" customWidth="1"/>
    <col min="17" max="17" width="18.140625" style="69" customWidth="1"/>
    <col min="18" max="18" width="12.7109375" style="69" customWidth="1"/>
    <col min="19" max="19" width="17.5703125" style="69" customWidth="1"/>
    <col min="20" max="21" width="13.28515625" style="69" customWidth="1"/>
    <col min="22" max="22" width="14.7109375" style="69" hidden="1" customWidth="1"/>
    <col min="23" max="23" width="14.7109375" style="69" customWidth="1"/>
    <col min="24" max="24" width="14.140625" style="69" hidden="1" customWidth="1"/>
    <col min="25" max="26" width="12.5703125" style="69" hidden="1" customWidth="1"/>
    <col min="27" max="27" width="14.7109375" style="69" customWidth="1"/>
    <col min="28" max="28" width="11.7109375" style="69" customWidth="1"/>
    <col min="29" max="29" width="14.7109375" style="69" customWidth="1"/>
    <col min="30" max="30" width="7.28515625" style="69" customWidth="1"/>
    <col min="31" max="31" width="9.7109375" style="69" customWidth="1"/>
    <col min="32" max="16384" width="9.140625" style="69"/>
  </cols>
  <sheetData>
    <row r="2" spans="2:31" ht="30" customHeight="1" x14ac:dyDescent="0.25">
      <c r="B2" s="216" t="s">
        <v>76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8"/>
    </row>
    <row r="3" spans="2:31" ht="17.25" hidden="1" customHeight="1" x14ac:dyDescent="0.25">
      <c r="B3" s="43">
        <v>1</v>
      </c>
      <c r="C3" s="44">
        <v>2</v>
      </c>
      <c r="D3" s="43">
        <v>3</v>
      </c>
      <c r="E3" s="43">
        <v>4</v>
      </c>
      <c r="F3" s="43">
        <v>5</v>
      </c>
      <c r="G3" s="44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43">
        <v>13</v>
      </c>
      <c r="O3" s="43">
        <v>14</v>
      </c>
      <c r="P3" s="43">
        <v>15</v>
      </c>
      <c r="Q3" s="43">
        <v>16</v>
      </c>
      <c r="R3" s="44">
        <v>17</v>
      </c>
      <c r="S3" s="43">
        <v>18</v>
      </c>
      <c r="T3" s="43">
        <v>19</v>
      </c>
      <c r="U3" s="44">
        <v>20</v>
      </c>
      <c r="V3" s="43">
        <v>21</v>
      </c>
      <c r="W3" s="43">
        <v>22</v>
      </c>
      <c r="X3" s="43">
        <v>23</v>
      </c>
      <c r="Y3" s="43">
        <v>24</v>
      </c>
      <c r="Z3" s="43">
        <v>25</v>
      </c>
      <c r="AA3" s="43">
        <v>26</v>
      </c>
      <c r="AB3" s="44">
        <v>27</v>
      </c>
    </row>
    <row r="4" spans="2:31" ht="31.5" customHeight="1" x14ac:dyDescent="0.25">
      <c r="B4" s="45" t="s">
        <v>74</v>
      </c>
      <c r="C4" s="46" t="s">
        <v>75</v>
      </c>
      <c r="D4" s="47" t="s">
        <v>65</v>
      </c>
      <c r="E4" s="47" t="s">
        <v>64</v>
      </c>
      <c r="F4" s="48" t="s">
        <v>0</v>
      </c>
      <c r="G4" s="49" t="s">
        <v>21</v>
      </c>
      <c r="H4" s="50" t="s">
        <v>24</v>
      </c>
      <c r="I4" s="48" t="s">
        <v>10</v>
      </c>
      <c r="J4" s="50" t="s">
        <v>22</v>
      </c>
      <c r="K4" s="50" t="s">
        <v>27</v>
      </c>
      <c r="L4" s="48" t="s">
        <v>7</v>
      </c>
      <c r="M4" s="50" t="s">
        <v>23</v>
      </c>
      <c r="N4" s="51" t="s">
        <v>9</v>
      </c>
      <c r="O4" s="51" t="s">
        <v>8</v>
      </c>
      <c r="P4" s="51" t="s">
        <v>18</v>
      </c>
      <c r="Q4" s="51" t="s">
        <v>19</v>
      </c>
      <c r="R4" s="49" t="s">
        <v>45</v>
      </c>
      <c r="S4" s="52" t="s">
        <v>34</v>
      </c>
      <c r="T4" s="52" t="s">
        <v>17</v>
      </c>
      <c r="U4" s="53" t="s">
        <v>46</v>
      </c>
      <c r="V4" s="52" t="s">
        <v>36</v>
      </c>
      <c r="W4" s="52" t="s">
        <v>144</v>
      </c>
      <c r="X4" s="54" t="s">
        <v>39</v>
      </c>
      <c r="Y4" s="54" t="s">
        <v>40</v>
      </c>
      <c r="Z4" s="54" t="s">
        <v>142</v>
      </c>
      <c r="AA4" s="52" t="s">
        <v>145</v>
      </c>
      <c r="AB4" s="53" t="s">
        <v>56</v>
      </c>
    </row>
    <row r="5" spans="2:31" ht="15" customHeight="1" x14ac:dyDescent="0.25">
      <c r="B5" s="240">
        <v>1</v>
      </c>
      <c r="C5" s="55"/>
      <c r="D5" s="243" t="s">
        <v>5</v>
      </c>
      <c r="E5" s="56">
        <v>1</v>
      </c>
      <c r="F5" s="57" t="s">
        <v>1</v>
      </c>
      <c r="G5" s="58">
        <f>IF(F5="Supte",1,IF(F5="Supv ",2,IF(F5="Operador",3,4)))</f>
        <v>1</v>
      </c>
      <c r="H5" s="59">
        <v>1</v>
      </c>
      <c r="I5" s="56" t="s">
        <v>12</v>
      </c>
      <c r="J5" s="58">
        <f>IF(I5="Ativo",1,0)</f>
        <v>1</v>
      </c>
      <c r="K5" s="58">
        <v>1</v>
      </c>
      <c r="L5" s="56" t="s">
        <v>15</v>
      </c>
      <c r="M5" s="58">
        <f>IF(L5="Mecânico",1,IF(L5="Eletrônico",2,3))</f>
        <v>2</v>
      </c>
      <c r="N5" s="60">
        <v>10.1</v>
      </c>
      <c r="O5" s="60">
        <v>3.2</v>
      </c>
      <c r="P5" s="60">
        <v>3</v>
      </c>
      <c r="Q5" s="60">
        <v>10.1</v>
      </c>
      <c r="R5" s="60">
        <f>((N5 + (1.5*O5) + P5)*(Q5/N5))/10.52</f>
        <v>1.7015209125475284</v>
      </c>
      <c r="S5" s="56" t="s">
        <v>29</v>
      </c>
      <c r="T5" s="61">
        <v>155</v>
      </c>
      <c r="U5" s="235" t="s">
        <v>146</v>
      </c>
      <c r="V5" s="200">
        <f>IF(T5=0,150,IF(T5=155,550,IF(T5=272,830,IF(T5=354,880,IF(T5=511,900,IF(T5=843,990,850))))))</f>
        <v>550</v>
      </c>
      <c r="W5" s="63">
        <f>V5/$V$79</f>
        <v>0.55555555555555558</v>
      </c>
      <c r="X5" s="201">
        <v>17867.796610169491</v>
      </c>
      <c r="Y5" s="202">
        <f>X5/14</f>
        <v>1276.2711864406779</v>
      </c>
      <c r="Z5" s="203">
        <f>Y5*2</f>
        <v>2552.5423728813557</v>
      </c>
      <c r="AA5" s="64">
        <f>Z5/$Z$79</f>
        <v>0.98504952345355989</v>
      </c>
      <c r="AB5" s="235" t="s">
        <v>146</v>
      </c>
      <c r="AD5" s="195"/>
      <c r="AE5" s="196"/>
    </row>
    <row r="6" spans="2:31" ht="15" customHeight="1" x14ac:dyDescent="0.25">
      <c r="B6" s="241"/>
      <c r="C6" s="65"/>
      <c r="D6" s="244"/>
      <c r="E6" s="56">
        <v>2</v>
      </c>
      <c r="F6" s="66" t="s">
        <v>2</v>
      </c>
      <c r="G6" s="58">
        <f>IF(F6="Supte",1,IF(F6="Supv ",2,IF(F6="Operador",3,4)))</f>
        <v>2</v>
      </c>
      <c r="H6" s="59">
        <v>2</v>
      </c>
      <c r="I6" s="56" t="s">
        <v>12</v>
      </c>
      <c r="J6" s="58">
        <f t="shared" ref="J6:J34" si="0">IF(I6="Ativo",1,0)</f>
        <v>1</v>
      </c>
      <c r="K6" s="58">
        <v>1</v>
      </c>
      <c r="L6" s="56" t="s">
        <v>15</v>
      </c>
      <c r="M6" s="58">
        <f t="shared" ref="M6:M14" si="1">IF(L6="Mecânico",1,IF(L6="Eletrônico",2,3))</f>
        <v>2</v>
      </c>
      <c r="N6" s="60">
        <v>8.3000000000000007</v>
      </c>
      <c r="O6" s="60">
        <v>2.2999999999999998</v>
      </c>
      <c r="P6" s="60">
        <v>2.6</v>
      </c>
      <c r="Q6" s="60">
        <v>6.1</v>
      </c>
      <c r="R6" s="60">
        <f t="shared" ref="R6:R14" si="2">((N6 + (1.5*O6) + P6)*(Q6/N6))/10.52</f>
        <v>1.002508131384855</v>
      </c>
      <c r="S6" s="56" t="s">
        <v>29</v>
      </c>
      <c r="T6" s="61">
        <v>155</v>
      </c>
      <c r="U6" s="236"/>
      <c r="V6" s="200">
        <f t="shared" ref="V6:V14" si="3">IF(T6=0,150,IF(T6=155,550,IF(T6=272,830,IF(T6=354,880,IF(T6=511,900,IF(T6=843,990,850))))))</f>
        <v>550</v>
      </c>
      <c r="W6" s="63">
        <f t="shared" ref="W6:W14" si="4">V6/$V$79</f>
        <v>0.55555555555555558</v>
      </c>
      <c r="X6" s="201">
        <v>10838.983050847457</v>
      </c>
      <c r="Y6" s="202">
        <f t="shared" ref="Y6:Y14" si="5">X6/14</f>
        <v>774.21307506053267</v>
      </c>
      <c r="Z6" s="203">
        <f t="shared" ref="Z6:Z14" si="6">Y6*2</f>
        <v>1548.4261501210653</v>
      </c>
      <c r="AA6" s="64">
        <f t="shared" ref="AA6:AA14" si="7">Z6/$Z$79</f>
        <v>0.59755185946552036</v>
      </c>
      <c r="AB6" s="236"/>
      <c r="AD6" s="195"/>
      <c r="AE6" s="196"/>
    </row>
    <row r="7" spans="2:31" ht="15" customHeight="1" x14ac:dyDescent="0.25">
      <c r="B7" s="241"/>
      <c r="C7" s="65"/>
      <c r="D7" s="244"/>
      <c r="E7" s="56">
        <v>3</v>
      </c>
      <c r="F7" s="66" t="s">
        <v>2</v>
      </c>
      <c r="G7" s="58">
        <f t="shared" ref="G7:G14" si="8">IF(F7="Supte",1,IF(F7="Supv ",2,IF(F7="Operador",3,4)))</f>
        <v>2</v>
      </c>
      <c r="H7" s="59">
        <v>3</v>
      </c>
      <c r="I7" s="56" t="s">
        <v>12</v>
      </c>
      <c r="J7" s="58">
        <f t="shared" si="0"/>
        <v>1</v>
      </c>
      <c r="K7" s="58">
        <v>1</v>
      </c>
      <c r="L7" s="56" t="s">
        <v>14</v>
      </c>
      <c r="M7" s="58">
        <f t="shared" si="1"/>
        <v>3</v>
      </c>
      <c r="N7" s="60">
        <v>6.3</v>
      </c>
      <c r="O7" s="60">
        <v>2</v>
      </c>
      <c r="P7" s="60">
        <v>3</v>
      </c>
      <c r="Q7" s="60">
        <v>6.3</v>
      </c>
      <c r="R7" s="60">
        <f t="shared" si="2"/>
        <v>1.1692015209125477</v>
      </c>
      <c r="S7" s="56" t="s">
        <v>28</v>
      </c>
      <c r="T7" s="61">
        <v>0</v>
      </c>
      <c r="U7" s="236"/>
      <c r="V7" s="200">
        <f t="shared" si="3"/>
        <v>150</v>
      </c>
      <c r="W7" s="63">
        <f t="shared" si="4"/>
        <v>0.15151515151515152</v>
      </c>
      <c r="X7" s="201">
        <v>10533.898305084746</v>
      </c>
      <c r="Y7" s="202">
        <f t="shared" si="5"/>
        <v>752.42130750605327</v>
      </c>
      <c r="Z7" s="203">
        <f t="shared" si="6"/>
        <v>1504.8426150121065</v>
      </c>
      <c r="AA7" s="64">
        <f t="shared" si="7"/>
        <v>0.58073257335077555</v>
      </c>
      <c r="AB7" s="236"/>
      <c r="AD7" s="195"/>
      <c r="AE7" s="196"/>
    </row>
    <row r="8" spans="2:31" ht="15" customHeight="1" x14ac:dyDescent="0.25">
      <c r="B8" s="241"/>
      <c r="C8" s="65"/>
      <c r="D8" s="244"/>
      <c r="E8" s="56">
        <v>4</v>
      </c>
      <c r="F8" s="66" t="s">
        <v>3</v>
      </c>
      <c r="G8" s="58">
        <f t="shared" si="8"/>
        <v>3</v>
      </c>
      <c r="H8" s="59">
        <v>4</v>
      </c>
      <c r="I8" s="56" t="s">
        <v>12</v>
      </c>
      <c r="J8" s="58">
        <f t="shared" si="0"/>
        <v>1</v>
      </c>
      <c r="K8" s="58">
        <v>1</v>
      </c>
      <c r="L8" s="56" t="s">
        <v>16</v>
      </c>
      <c r="M8" s="58">
        <f t="shared" si="1"/>
        <v>1</v>
      </c>
      <c r="N8" s="60">
        <v>2.5</v>
      </c>
      <c r="O8" s="60">
        <v>1.5</v>
      </c>
      <c r="P8" s="60">
        <v>1.9</v>
      </c>
      <c r="Q8" s="60">
        <v>2.2000000000000002</v>
      </c>
      <c r="R8" s="60">
        <f t="shared" si="2"/>
        <v>0.55627376425855524</v>
      </c>
      <c r="S8" s="56" t="s">
        <v>32</v>
      </c>
      <c r="T8" s="61">
        <v>843</v>
      </c>
      <c r="U8" s="236"/>
      <c r="V8" s="200">
        <f t="shared" si="3"/>
        <v>990</v>
      </c>
      <c r="W8" s="63">
        <f t="shared" si="4"/>
        <v>1</v>
      </c>
      <c r="X8" s="201">
        <v>5025.4237288135591</v>
      </c>
      <c r="Y8" s="202">
        <f t="shared" si="5"/>
        <v>358.95883777239709</v>
      </c>
      <c r="Z8" s="203">
        <f t="shared" si="6"/>
        <v>717.91767554479418</v>
      </c>
      <c r="AA8" s="64">
        <f t="shared" si="7"/>
        <v>0.27705101850121472</v>
      </c>
      <c r="AB8" s="236"/>
      <c r="AD8" s="195"/>
      <c r="AE8" s="196"/>
    </row>
    <row r="9" spans="2:31" ht="15" customHeight="1" x14ac:dyDescent="0.25">
      <c r="B9" s="241"/>
      <c r="C9" s="65"/>
      <c r="D9" s="244"/>
      <c r="E9" s="56">
        <v>5</v>
      </c>
      <c r="F9" s="66" t="s">
        <v>3</v>
      </c>
      <c r="G9" s="58">
        <f t="shared" si="8"/>
        <v>3</v>
      </c>
      <c r="H9" s="59">
        <v>5</v>
      </c>
      <c r="I9" s="56" t="s">
        <v>12</v>
      </c>
      <c r="J9" s="58">
        <f t="shared" si="0"/>
        <v>1</v>
      </c>
      <c r="K9" s="58">
        <v>1</v>
      </c>
      <c r="L9" s="56" t="s">
        <v>16</v>
      </c>
      <c r="M9" s="58">
        <f t="shared" si="1"/>
        <v>1</v>
      </c>
      <c r="N9" s="60">
        <v>2.9</v>
      </c>
      <c r="O9" s="60">
        <v>1.3</v>
      </c>
      <c r="P9" s="60">
        <v>1.3</v>
      </c>
      <c r="Q9" s="60">
        <v>2.9</v>
      </c>
      <c r="R9" s="60">
        <f t="shared" si="2"/>
        <v>0.58460076045627374</v>
      </c>
      <c r="S9" s="56" t="s">
        <v>31</v>
      </c>
      <c r="T9" s="61">
        <v>511</v>
      </c>
      <c r="U9" s="236"/>
      <c r="V9" s="200">
        <f t="shared" si="3"/>
        <v>900</v>
      </c>
      <c r="W9" s="63">
        <f t="shared" si="4"/>
        <v>0.90909090909090906</v>
      </c>
      <c r="X9" s="201">
        <v>4822.0338983050842</v>
      </c>
      <c r="Y9" s="202">
        <f t="shared" si="5"/>
        <v>344.43099273607743</v>
      </c>
      <c r="Z9" s="203">
        <f t="shared" si="6"/>
        <v>688.86198547215486</v>
      </c>
      <c r="AA9" s="64">
        <f t="shared" si="7"/>
        <v>0.26583816109138475</v>
      </c>
      <c r="AB9" s="236"/>
      <c r="AD9" s="195"/>
      <c r="AE9" s="196"/>
    </row>
    <row r="10" spans="2:31" ht="15" customHeight="1" x14ac:dyDescent="0.25">
      <c r="B10" s="241"/>
      <c r="C10" s="65"/>
      <c r="D10" s="244"/>
      <c r="E10" s="56">
        <v>6</v>
      </c>
      <c r="F10" s="66" t="s">
        <v>3</v>
      </c>
      <c r="G10" s="58">
        <f t="shared" si="8"/>
        <v>3</v>
      </c>
      <c r="H10" s="59">
        <v>6</v>
      </c>
      <c r="I10" s="56" t="s">
        <v>12</v>
      </c>
      <c r="J10" s="58">
        <f t="shared" si="0"/>
        <v>1</v>
      </c>
      <c r="K10" s="58">
        <v>1</v>
      </c>
      <c r="L10" s="56" t="s">
        <v>15</v>
      </c>
      <c r="M10" s="58">
        <f t="shared" si="1"/>
        <v>2</v>
      </c>
      <c r="N10" s="60">
        <v>3.1</v>
      </c>
      <c r="O10" s="60">
        <v>2.5</v>
      </c>
      <c r="P10" s="60">
        <v>3</v>
      </c>
      <c r="Q10" s="60">
        <v>3.1</v>
      </c>
      <c r="R10" s="60">
        <f t="shared" si="2"/>
        <v>0.93631178707224338</v>
      </c>
      <c r="S10" s="56" t="s">
        <v>29</v>
      </c>
      <c r="T10" s="61">
        <v>155</v>
      </c>
      <c r="U10" s="236"/>
      <c r="V10" s="200">
        <f t="shared" si="3"/>
        <v>550</v>
      </c>
      <c r="W10" s="63">
        <f t="shared" si="4"/>
        <v>0.55555555555555558</v>
      </c>
      <c r="X10" s="201">
        <v>6042.3728813559319</v>
      </c>
      <c r="Y10" s="202">
        <f t="shared" si="5"/>
        <v>431.59806295399511</v>
      </c>
      <c r="Z10" s="203">
        <f t="shared" si="6"/>
        <v>863.19612590799022</v>
      </c>
      <c r="AA10" s="64">
        <f t="shared" si="7"/>
        <v>0.33311530555036434</v>
      </c>
      <c r="AB10" s="236"/>
      <c r="AD10" s="195"/>
      <c r="AE10" s="196"/>
    </row>
    <row r="11" spans="2:31" ht="15" customHeight="1" x14ac:dyDescent="0.25">
      <c r="B11" s="241"/>
      <c r="C11" s="65"/>
      <c r="D11" s="244"/>
      <c r="E11" s="56">
        <v>7</v>
      </c>
      <c r="F11" s="66" t="s">
        <v>3</v>
      </c>
      <c r="G11" s="58">
        <f t="shared" si="8"/>
        <v>3</v>
      </c>
      <c r="H11" s="59">
        <v>7</v>
      </c>
      <c r="I11" s="56" t="s">
        <v>12</v>
      </c>
      <c r="J11" s="58">
        <f t="shared" si="0"/>
        <v>1</v>
      </c>
      <c r="K11" s="58">
        <v>1</v>
      </c>
      <c r="L11" s="56" t="s">
        <v>15</v>
      </c>
      <c r="M11" s="58">
        <f t="shared" si="1"/>
        <v>2</v>
      </c>
      <c r="N11" s="60">
        <v>4.2</v>
      </c>
      <c r="O11" s="60">
        <v>1</v>
      </c>
      <c r="P11" s="60">
        <v>3</v>
      </c>
      <c r="Q11" s="60">
        <v>4.2</v>
      </c>
      <c r="R11" s="60">
        <f t="shared" si="2"/>
        <v>0.8269961977186312</v>
      </c>
      <c r="S11" s="56" t="s">
        <v>28</v>
      </c>
      <c r="T11" s="61">
        <v>0</v>
      </c>
      <c r="U11" s="236"/>
      <c r="V11" s="200">
        <f t="shared" si="3"/>
        <v>150</v>
      </c>
      <c r="W11" s="63">
        <f t="shared" si="4"/>
        <v>0.15151515151515152</v>
      </c>
      <c r="X11" s="201">
        <v>4516.9491525423728</v>
      </c>
      <c r="Y11" s="202">
        <f t="shared" si="5"/>
        <v>322.63922518159808</v>
      </c>
      <c r="Z11" s="203">
        <f t="shared" si="6"/>
        <v>645.27845036319616</v>
      </c>
      <c r="AA11" s="64">
        <f t="shared" si="7"/>
        <v>0.24901887497663988</v>
      </c>
      <c r="AB11" s="236"/>
      <c r="AD11" s="195"/>
      <c r="AE11" s="196"/>
    </row>
    <row r="12" spans="2:31" ht="15" customHeight="1" x14ac:dyDescent="0.25">
      <c r="B12" s="241"/>
      <c r="C12" s="65"/>
      <c r="D12" s="244"/>
      <c r="E12" s="56">
        <v>8</v>
      </c>
      <c r="F12" s="66" t="s">
        <v>3</v>
      </c>
      <c r="G12" s="58">
        <f t="shared" si="8"/>
        <v>3</v>
      </c>
      <c r="H12" s="59">
        <v>8</v>
      </c>
      <c r="I12" s="56" t="s">
        <v>12</v>
      </c>
      <c r="J12" s="58">
        <f t="shared" si="0"/>
        <v>1</v>
      </c>
      <c r="K12" s="58">
        <v>1</v>
      </c>
      <c r="L12" s="56" t="s">
        <v>14</v>
      </c>
      <c r="M12" s="58">
        <f t="shared" si="1"/>
        <v>3</v>
      </c>
      <c r="N12" s="60">
        <v>1.7</v>
      </c>
      <c r="O12" s="60">
        <v>0.3</v>
      </c>
      <c r="P12" s="60">
        <v>1.7</v>
      </c>
      <c r="Q12" s="60">
        <v>1.7</v>
      </c>
      <c r="R12" s="60">
        <f t="shared" si="2"/>
        <v>0.36596958174904942</v>
      </c>
      <c r="S12" s="56" t="s">
        <v>29</v>
      </c>
      <c r="T12" s="61">
        <v>155</v>
      </c>
      <c r="U12" s="236"/>
      <c r="V12" s="200">
        <f t="shared" si="3"/>
        <v>550</v>
      </c>
      <c r="W12" s="63">
        <f t="shared" si="4"/>
        <v>0.55555555555555558</v>
      </c>
      <c r="X12" s="201">
        <v>3805.0847457627119</v>
      </c>
      <c r="Y12" s="202">
        <f t="shared" si="5"/>
        <v>271.79176755447941</v>
      </c>
      <c r="Z12" s="203">
        <f t="shared" si="6"/>
        <v>543.58353510895881</v>
      </c>
      <c r="AA12" s="64">
        <f t="shared" si="7"/>
        <v>0.20977387404223508</v>
      </c>
      <c r="AB12" s="236"/>
      <c r="AD12" s="195"/>
      <c r="AE12" s="196"/>
    </row>
    <row r="13" spans="2:31" ht="15" customHeight="1" x14ac:dyDescent="0.25">
      <c r="B13" s="241"/>
      <c r="C13" s="65"/>
      <c r="D13" s="244"/>
      <c r="E13" s="56">
        <v>9</v>
      </c>
      <c r="F13" s="66" t="s">
        <v>3</v>
      </c>
      <c r="G13" s="58">
        <f t="shared" si="8"/>
        <v>3</v>
      </c>
      <c r="H13" s="59">
        <v>9</v>
      </c>
      <c r="I13" s="56" t="s">
        <v>12</v>
      </c>
      <c r="J13" s="58">
        <f t="shared" si="0"/>
        <v>1</v>
      </c>
      <c r="K13" s="58">
        <v>1</v>
      </c>
      <c r="L13" s="56" t="s">
        <v>16</v>
      </c>
      <c r="M13" s="58">
        <f t="shared" si="1"/>
        <v>1</v>
      </c>
      <c r="N13" s="60">
        <v>1.3</v>
      </c>
      <c r="O13" s="60">
        <v>0.7</v>
      </c>
      <c r="P13" s="60">
        <v>0.5</v>
      </c>
      <c r="Q13" s="60">
        <v>1.3</v>
      </c>
      <c r="R13" s="60">
        <f t="shared" si="2"/>
        <v>0.27091254752851707</v>
      </c>
      <c r="S13" s="56" t="s">
        <v>29</v>
      </c>
      <c r="T13" s="61">
        <v>155</v>
      </c>
      <c r="U13" s="236"/>
      <c r="V13" s="200">
        <f t="shared" si="3"/>
        <v>550</v>
      </c>
      <c r="W13" s="63">
        <f t="shared" si="4"/>
        <v>0.55555555555555558</v>
      </c>
      <c r="X13" s="201">
        <v>4211.8644067796613</v>
      </c>
      <c r="Y13" s="202">
        <f t="shared" si="5"/>
        <v>300.84745762711867</v>
      </c>
      <c r="Z13" s="203">
        <f t="shared" si="6"/>
        <v>601.69491525423734</v>
      </c>
      <c r="AA13" s="64">
        <f t="shared" si="7"/>
        <v>0.23219958886189498</v>
      </c>
      <c r="AB13" s="236"/>
      <c r="AD13" s="195"/>
      <c r="AE13" s="196"/>
    </row>
    <row r="14" spans="2:31" ht="15" customHeight="1" x14ac:dyDescent="0.25">
      <c r="B14" s="241"/>
      <c r="C14" s="65"/>
      <c r="D14" s="244"/>
      <c r="E14" s="56">
        <v>10</v>
      </c>
      <c r="F14" s="66" t="s">
        <v>4</v>
      </c>
      <c r="G14" s="58">
        <f t="shared" si="8"/>
        <v>4</v>
      </c>
      <c r="H14" s="59">
        <v>10</v>
      </c>
      <c r="I14" s="56" t="s">
        <v>12</v>
      </c>
      <c r="J14" s="58">
        <f t="shared" si="0"/>
        <v>1</v>
      </c>
      <c r="K14" s="58">
        <v>1</v>
      </c>
      <c r="L14" s="56" t="s">
        <v>16</v>
      </c>
      <c r="M14" s="58">
        <f t="shared" si="1"/>
        <v>1</v>
      </c>
      <c r="N14" s="60">
        <v>0.5</v>
      </c>
      <c r="O14" s="60">
        <v>0.5</v>
      </c>
      <c r="P14" s="60">
        <v>0.3</v>
      </c>
      <c r="Q14" s="60">
        <v>0.5</v>
      </c>
      <c r="R14" s="60">
        <f t="shared" si="2"/>
        <v>0.14733840304182511</v>
      </c>
      <c r="S14" s="56" t="s">
        <v>28</v>
      </c>
      <c r="T14" s="61">
        <v>0</v>
      </c>
      <c r="U14" s="236"/>
      <c r="V14" s="200">
        <f t="shared" si="3"/>
        <v>150</v>
      </c>
      <c r="W14" s="63">
        <f t="shared" si="4"/>
        <v>0.15151515151515152</v>
      </c>
      <c r="X14" s="201">
        <v>2500</v>
      </c>
      <c r="Y14" s="202">
        <f t="shared" si="5"/>
        <v>178.57142857142858</v>
      </c>
      <c r="Z14" s="201">
        <f t="shared" si="6"/>
        <v>357.14285714285717</v>
      </c>
      <c r="AA14" s="64">
        <f t="shared" si="7"/>
        <v>0.137824705662493</v>
      </c>
      <c r="AB14" s="236"/>
      <c r="AD14" s="195"/>
      <c r="AE14" s="196"/>
    </row>
    <row r="15" spans="2:31" ht="15" customHeight="1" x14ac:dyDescent="0.25">
      <c r="B15" s="242"/>
      <c r="C15" s="67"/>
      <c r="D15" s="245"/>
      <c r="E15" s="56"/>
      <c r="F15" s="66"/>
      <c r="G15" s="58"/>
      <c r="H15" s="58"/>
      <c r="I15" s="56"/>
      <c r="J15" s="58"/>
      <c r="K15" s="58"/>
      <c r="L15" s="56"/>
      <c r="M15" s="58"/>
      <c r="N15" s="60"/>
      <c r="O15" s="60"/>
      <c r="P15" s="60"/>
      <c r="Q15" s="60"/>
      <c r="R15" s="60"/>
      <c r="S15" s="56"/>
      <c r="T15" s="61"/>
      <c r="U15" s="237"/>
      <c r="V15" s="200"/>
      <c r="W15" s="62"/>
      <c r="X15" s="201"/>
      <c r="Y15" s="202"/>
      <c r="Z15" s="204"/>
      <c r="AA15" s="68"/>
      <c r="AB15" s="237"/>
      <c r="AD15" s="195"/>
      <c r="AE15" s="196"/>
    </row>
    <row r="16" spans="2:31" ht="15" customHeight="1" x14ac:dyDescent="0.25">
      <c r="E16" s="69"/>
      <c r="L16" s="69"/>
      <c r="M16" s="69"/>
      <c r="AD16" s="195"/>
      <c r="AE16" s="196"/>
    </row>
    <row r="17" spans="2:34" ht="30" customHeight="1" x14ac:dyDescent="0.25">
      <c r="B17" s="216" t="s">
        <v>309</v>
      </c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8"/>
      <c r="AD17" s="195"/>
      <c r="AE17" s="196"/>
    </row>
    <row r="18" spans="2:34" ht="15" customHeight="1" x14ac:dyDescent="0.25">
      <c r="B18" s="70">
        <v>1</v>
      </c>
      <c r="C18" s="70">
        <f t="shared" ref="C18:C34" si="9">IF($R$83="A",1-$R$82,IF($R$83="B",1+$R$82,1))</f>
        <v>1</v>
      </c>
      <c r="D18" s="231" t="s">
        <v>6</v>
      </c>
      <c r="E18" s="71">
        <v>1</v>
      </c>
      <c r="F18" s="57" t="s">
        <v>1</v>
      </c>
      <c r="G18" s="72">
        <f>IF(F18="Supte",1,IF(F18="Supv ",2,IF(F18="Operador",3,4)))</f>
        <v>1</v>
      </c>
      <c r="H18" s="73">
        <v>11</v>
      </c>
      <c r="I18" s="71" t="s">
        <v>12</v>
      </c>
      <c r="J18" s="72">
        <f t="shared" si="0"/>
        <v>1</v>
      </c>
      <c r="K18" s="72">
        <v>0</v>
      </c>
      <c r="L18" s="71" t="s">
        <v>14</v>
      </c>
      <c r="M18" s="72">
        <f>IF(L18="Mecânico",1,IF(L18="Eletrônico",2,3))</f>
        <v>3</v>
      </c>
      <c r="N18" s="74">
        <v>11.8</v>
      </c>
      <c r="O18" s="74">
        <v>4.2</v>
      </c>
      <c r="P18" s="74">
        <v>1.5</v>
      </c>
      <c r="Q18" s="74">
        <v>10.8</v>
      </c>
      <c r="R18" s="74">
        <f t="shared" ref="R18:R78" si="10">((N18 + (1.5*O18) + P18)*(Q18/N18))/10.52</f>
        <v>1.7052265257459562</v>
      </c>
      <c r="S18" s="71" t="s">
        <v>30</v>
      </c>
      <c r="T18" s="75">
        <v>354</v>
      </c>
      <c r="U18" s="75">
        <f t="shared" ref="U18:U49" si="11">IF(T18&lt;=$O$88,1,2)</f>
        <v>2</v>
      </c>
      <c r="V18" s="205">
        <f t="shared" ref="V18:V78" si="12">IF(T18=0,150,IF(T18=155,550,IF(T18=272,830,IF(T18=354,880,IF(T18=511,900,IF(T18=843,990,850))))))</f>
        <v>880</v>
      </c>
      <c r="W18" s="76">
        <f t="shared" ref="W18:W78" si="13">V18/$V$79</f>
        <v>0.88888888888888884</v>
      </c>
      <c r="X18" s="209">
        <v>18138.983050847459</v>
      </c>
      <c r="Y18" s="209">
        <f>X18/14</f>
        <v>1295.6416464891042</v>
      </c>
      <c r="Z18" s="210">
        <f t="shared" ref="Z18:Z78" si="14">Y18*2</f>
        <v>2591.2832929782085</v>
      </c>
      <c r="AA18" s="77">
        <f t="shared" ref="AA18:AA78" si="15">Z18/$Z$79</f>
        <v>1</v>
      </c>
      <c r="AB18" s="78">
        <f>(W18+($M$88*AA18))/(($M$88+1)*0.5)</f>
        <v>1.9722222222222223</v>
      </c>
      <c r="AD18" s="195"/>
      <c r="AE18" s="196"/>
      <c r="AG18" s="197"/>
      <c r="AH18" s="197"/>
    </row>
    <row r="19" spans="2:34" x14ac:dyDescent="0.25">
      <c r="B19" s="79">
        <v>1</v>
      </c>
      <c r="C19" s="79">
        <f t="shared" si="9"/>
        <v>1</v>
      </c>
      <c r="D19" s="232"/>
      <c r="E19" s="56">
        <v>2</v>
      </c>
      <c r="F19" s="66" t="s">
        <v>2</v>
      </c>
      <c r="G19" s="58">
        <f t="shared" ref="G19:G29" si="16">IF(F19="Supte",1,IF(F19="Supv ",2,IF(F19="Operador",3,4)))</f>
        <v>2</v>
      </c>
      <c r="H19" s="59">
        <v>12</v>
      </c>
      <c r="I19" s="56" t="s">
        <v>12</v>
      </c>
      <c r="J19" s="58">
        <f t="shared" si="0"/>
        <v>1</v>
      </c>
      <c r="K19" s="58">
        <v>0</v>
      </c>
      <c r="L19" s="56" t="s">
        <v>15</v>
      </c>
      <c r="M19" s="58">
        <f t="shared" ref="M19:M34" si="17">IF(L19="Mecânico",1,IF(L19="Eletrônico",2,3))</f>
        <v>2</v>
      </c>
      <c r="N19" s="60">
        <v>8.9</v>
      </c>
      <c r="O19" s="60">
        <v>3.7</v>
      </c>
      <c r="P19" s="60">
        <v>3</v>
      </c>
      <c r="Q19" s="60">
        <v>8.9</v>
      </c>
      <c r="R19" s="60">
        <f t="shared" si="10"/>
        <v>1.6587452471482893</v>
      </c>
      <c r="S19" s="56" t="s">
        <v>29</v>
      </c>
      <c r="T19" s="80">
        <v>155</v>
      </c>
      <c r="U19" s="80">
        <f t="shared" si="11"/>
        <v>1</v>
      </c>
      <c r="V19" s="206">
        <f t="shared" si="12"/>
        <v>550</v>
      </c>
      <c r="W19" s="64">
        <f t="shared" si="13"/>
        <v>0.55555555555555558</v>
      </c>
      <c r="X19" s="201">
        <v>12252.542372881357</v>
      </c>
      <c r="Y19" s="201">
        <f t="shared" ref="Y19:Y30" si="18">X19/14</f>
        <v>875.18159806295409</v>
      </c>
      <c r="Z19" s="211">
        <f t="shared" si="14"/>
        <v>1750.3631961259082</v>
      </c>
      <c r="AA19" s="63">
        <f t="shared" si="15"/>
        <v>0.67548121846383857</v>
      </c>
      <c r="AB19" s="78">
        <f t="shared" ref="AB19:AB78" si="19">(W19+($M$88*AA19))/(($M$88+1)*0.5)</f>
        <v>1.3209810212006063</v>
      </c>
      <c r="AD19" s="195"/>
      <c r="AE19" s="196"/>
      <c r="AG19" s="197"/>
      <c r="AH19" s="197"/>
    </row>
    <row r="20" spans="2:34" x14ac:dyDescent="0.25">
      <c r="B20" s="79">
        <v>1</v>
      </c>
      <c r="C20" s="79">
        <f t="shared" si="9"/>
        <v>1</v>
      </c>
      <c r="D20" s="232"/>
      <c r="E20" s="56">
        <v>3</v>
      </c>
      <c r="F20" s="66" t="s">
        <v>2</v>
      </c>
      <c r="G20" s="58">
        <f t="shared" si="16"/>
        <v>2</v>
      </c>
      <c r="H20" s="59">
        <v>13</v>
      </c>
      <c r="I20" s="56" t="s">
        <v>12</v>
      </c>
      <c r="J20" s="58">
        <f t="shared" si="0"/>
        <v>1</v>
      </c>
      <c r="K20" s="58">
        <v>0</v>
      </c>
      <c r="L20" s="56" t="s">
        <v>16</v>
      </c>
      <c r="M20" s="58">
        <f t="shared" si="17"/>
        <v>1</v>
      </c>
      <c r="N20" s="60">
        <v>7.5</v>
      </c>
      <c r="O20" s="60">
        <v>3.9</v>
      </c>
      <c r="P20" s="60">
        <v>2</v>
      </c>
      <c r="Q20" s="60">
        <v>7.5</v>
      </c>
      <c r="R20" s="60">
        <f t="shared" si="10"/>
        <v>1.4591254752851712</v>
      </c>
      <c r="S20" s="56" t="s">
        <v>29</v>
      </c>
      <c r="T20" s="80">
        <v>155</v>
      </c>
      <c r="U20" s="80">
        <f t="shared" si="11"/>
        <v>1</v>
      </c>
      <c r="V20" s="206">
        <f t="shared" si="12"/>
        <v>550</v>
      </c>
      <c r="W20" s="64">
        <f t="shared" si="13"/>
        <v>0.55555555555555558</v>
      </c>
      <c r="X20" s="201">
        <v>12293.22033898305</v>
      </c>
      <c r="Y20" s="201">
        <f t="shared" si="18"/>
        <v>878.0871670702179</v>
      </c>
      <c r="Z20" s="211">
        <f t="shared" si="14"/>
        <v>1756.1743341404358</v>
      </c>
      <c r="AA20" s="63">
        <f t="shared" si="15"/>
        <v>0.6777237899458044</v>
      </c>
      <c r="AB20" s="81">
        <f t="shared" si="19"/>
        <v>1.3249055212940466</v>
      </c>
      <c r="AD20" s="195"/>
      <c r="AE20" s="196"/>
      <c r="AG20" s="197"/>
      <c r="AH20" s="197"/>
    </row>
    <row r="21" spans="2:34" x14ac:dyDescent="0.25">
      <c r="B21" s="79">
        <v>1</v>
      </c>
      <c r="C21" s="79">
        <f t="shared" si="9"/>
        <v>1</v>
      </c>
      <c r="D21" s="232"/>
      <c r="E21" s="56">
        <v>4</v>
      </c>
      <c r="F21" s="66" t="s">
        <v>2</v>
      </c>
      <c r="G21" s="58">
        <f t="shared" si="16"/>
        <v>2</v>
      </c>
      <c r="H21" s="59">
        <v>14</v>
      </c>
      <c r="I21" s="56" t="s">
        <v>12</v>
      </c>
      <c r="J21" s="58">
        <f t="shared" si="0"/>
        <v>1</v>
      </c>
      <c r="K21" s="58">
        <v>0</v>
      </c>
      <c r="L21" s="56" t="s">
        <v>16</v>
      </c>
      <c r="M21" s="58">
        <f t="shared" si="17"/>
        <v>1</v>
      </c>
      <c r="N21" s="60">
        <v>7</v>
      </c>
      <c r="O21" s="60">
        <v>3.7</v>
      </c>
      <c r="P21" s="60">
        <v>3</v>
      </c>
      <c r="Q21" s="60">
        <v>7</v>
      </c>
      <c r="R21" s="60">
        <f t="shared" si="10"/>
        <v>1.4781368821292777</v>
      </c>
      <c r="S21" s="56" t="s">
        <v>28</v>
      </c>
      <c r="T21" s="80">
        <v>0</v>
      </c>
      <c r="U21" s="80">
        <f t="shared" si="11"/>
        <v>1</v>
      </c>
      <c r="V21" s="206">
        <f t="shared" si="12"/>
        <v>150</v>
      </c>
      <c r="W21" s="64">
        <f t="shared" si="13"/>
        <v>0.15151515151515152</v>
      </c>
      <c r="X21" s="201">
        <v>12252.542372881357</v>
      </c>
      <c r="Y21" s="201">
        <f t="shared" si="18"/>
        <v>875.18159806295409</v>
      </c>
      <c r="Z21" s="211">
        <f t="shared" si="14"/>
        <v>1750.3631961259082</v>
      </c>
      <c r="AA21" s="63">
        <f t="shared" si="15"/>
        <v>0.67548121846383857</v>
      </c>
      <c r="AB21" s="81">
        <f t="shared" si="19"/>
        <v>1.2199709201905053</v>
      </c>
      <c r="AD21" s="195"/>
      <c r="AE21" s="196"/>
      <c r="AG21" s="197"/>
      <c r="AH21" s="197"/>
    </row>
    <row r="22" spans="2:34" x14ac:dyDescent="0.25">
      <c r="B22" s="79">
        <v>1</v>
      </c>
      <c r="C22" s="79">
        <f t="shared" si="9"/>
        <v>1</v>
      </c>
      <c r="D22" s="232"/>
      <c r="E22" s="56">
        <v>5</v>
      </c>
      <c r="F22" s="66" t="s">
        <v>3</v>
      </c>
      <c r="G22" s="58">
        <f t="shared" si="16"/>
        <v>3</v>
      </c>
      <c r="H22" s="59">
        <v>15</v>
      </c>
      <c r="I22" s="56" t="s">
        <v>12</v>
      </c>
      <c r="J22" s="58">
        <f t="shared" si="0"/>
        <v>1</v>
      </c>
      <c r="K22" s="58">
        <v>0</v>
      </c>
      <c r="L22" s="56" t="s">
        <v>16</v>
      </c>
      <c r="M22" s="58">
        <f t="shared" si="17"/>
        <v>1</v>
      </c>
      <c r="N22" s="60">
        <v>3.1</v>
      </c>
      <c r="O22" s="60">
        <v>2.4</v>
      </c>
      <c r="P22" s="60">
        <v>3</v>
      </c>
      <c r="Q22" s="60">
        <v>3.1</v>
      </c>
      <c r="R22" s="60">
        <f t="shared" si="10"/>
        <v>0.92205323193916344</v>
      </c>
      <c r="S22" s="56" t="s">
        <v>33</v>
      </c>
      <c r="T22" s="80">
        <v>1103</v>
      </c>
      <c r="U22" s="80">
        <f t="shared" si="11"/>
        <v>2</v>
      </c>
      <c r="V22" s="206">
        <f t="shared" si="12"/>
        <v>850</v>
      </c>
      <c r="W22" s="64">
        <f t="shared" si="13"/>
        <v>0.85858585858585856</v>
      </c>
      <c r="X22" s="201">
        <v>5940.6779661016953</v>
      </c>
      <c r="Y22" s="201">
        <f t="shared" si="18"/>
        <v>424.33414043583537</v>
      </c>
      <c r="Z22" s="211">
        <f t="shared" si="14"/>
        <v>848.66828087167073</v>
      </c>
      <c r="AA22" s="63">
        <f t="shared" si="15"/>
        <v>0.32750887684544944</v>
      </c>
      <c r="AB22" s="81">
        <f t="shared" si="19"/>
        <v>0.78778699912600114</v>
      </c>
      <c r="AD22" s="195"/>
      <c r="AE22" s="196"/>
      <c r="AG22" s="197"/>
      <c r="AH22" s="197"/>
    </row>
    <row r="23" spans="2:34" x14ac:dyDescent="0.25">
      <c r="B23" s="79">
        <v>1</v>
      </c>
      <c r="C23" s="79">
        <f t="shared" si="9"/>
        <v>1</v>
      </c>
      <c r="D23" s="232"/>
      <c r="E23" s="56">
        <v>6</v>
      </c>
      <c r="F23" s="66" t="s">
        <v>3</v>
      </c>
      <c r="G23" s="58">
        <f t="shared" si="16"/>
        <v>3</v>
      </c>
      <c r="H23" s="59">
        <v>16</v>
      </c>
      <c r="I23" s="56" t="s">
        <v>12</v>
      </c>
      <c r="J23" s="58">
        <f t="shared" si="0"/>
        <v>1</v>
      </c>
      <c r="K23" s="58">
        <v>0</v>
      </c>
      <c r="L23" s="56" t="s">
        <v>15</v>
      </c>
      <c r="M23" s="58">
        <f t="shared" si="17"/>
        <v>2</v>
      </c>
      <c r="N23" s="60">
        <v>4.0999999999999996</v>
      </c>
      <c r="O23" s="60">
        <v>3.2</v>
      </c>
      <c r="P23" s="60">
        <v>1</v>
      </c>
      <c r="Q23" s="60">
        <v>4.0999999999999996</v>
      </c>
      <c r="R23" s="60">
        <f t="shared" si="10"/>
        <v>0.94106463878327007</v>
      </c>
      <c r="S23" s="56" t="s">
        <v>29</v>
      </c>
      <c r="T23" s="80">
        <v>155</v>
      </c>
      <c r="U23" s="80">
        <f t="shared" si="11"/>
        <v>1</v>
      </c>
      <c r="V23" s="206">
        <f t="shared" si="12"/>
        <v>550</v>
      </c>
      <c r="W23" s="64">
        <f t="shared" si="13"/>
        <v>0.55555555555555558</v>
      </c>
      <c r="X23" s="201">
        <v>7150.8474576271183</v>
      </c>
      <c r="Y23" s="201">
        <f t="shared" si="18"/>
        <v>510.77481840193701</v>
      </c>
      <c r="Z23" s="211">
        <f t="shared" si="14"/>
        <v>1021.549636803874</v>
      </c>
      <c r="AA23" s="63">
        <f t="shared" si="15"/>
        <v>0.39422537843393751</v>
      </c>
      <c r="AB23" s="81">
        <f t="shared" si="19"/>
        <v>0.82878330114827947</v>
      </c>
      <c r="AD23" s="195"/>
      <c r="AE23" s="196"/>
      <c r="AG23" s="197"/>
      <c r="AH23" s="197"/>
    </row>
    <row r="24" spans="2:34" x14ac:dyDescent="0.25">
      <c r="B24" s="79">
        <v>1</v>
      </c>
      <c r="C24" s="79">
        <f t="shared" si="9"/>
        <v>1</v>
      </c>
      <c r="D24" s="232"/>
      <c r="E24" s="56">
        <v>7</v>
      </c>
      <c r="F24" s="66" t="s">
        <v>3</v>
      </c>
      <c r="G24" s="58">
        <f t="shared" si="16"/>
        <v>3</v>
      </c>
      <c r="H24" s="59">
        <v>17</v>
      </c>
      <c r="I24" s="82" t="s">
        <v>13</v>
      </c>
      <c r="J24" s="58">
        <f t="shared" si="0"/>
        <v>0</v>
      </c>
      <c r="K24" s="58">
        <v>0</v>
      </c>
      <c r="L24" s="56" t="s">
        <v>14</v>
      </c>
      <c r="M24" s="58">
        <f t="shared" si="17"/>
        <v>3</v>
      </c>
      <c r="N24" s="60">
        <v>5.4</v>
      </c>
      <c r="O24" s="60">
        <v>3.1</v>
      </c>
      <c r="P24" s="60">
        <v>1</v>
      </c>
      <c r="Q24" s="60">
        <v>5.4</v>
      </c>
      <c r="R24" s="60">
        <f t="shared" si="10"/>
        <v>1.0503802281368821</v>
      </c>
      <c r="S24" s="56" t="s">
        <v>28</v>
      </c>
      <c r="T24" s="80">
        <v>0</v>
      </c>
      <c r="U24" s="80">
        <f t="shared" si="11"/>
        <v>1</v>
      </c>
      <c r="V24" s="206">
        <f t="shared" si="12"/>
        <v>150</v>
      </c>
      <c r="W24" s="64">
        <f t="shared" si="13"/>
        <v>0.15151515151515152</v>
      </c>
      <c r="X24" s="201">
        <v>7130.5084745762706</v>
      </c>
      <c r="Y24" s="201">
        <f t="shared" si="18"/>
        <v>509.32203389830505</v>
      </c>
      <c r="Z24" s="211">
        <f t="shared" si="14"/>
        <v>1018.6440677966101</v>
      </c>
      <c r="AA24" s="63">
        <f t="shared" si="15"/>
        <v>0.39310409269295454</v>
      </c>
      <c r="AB24" s="81">
        <f t="shared" si="19"/>
        <v>0.72581095009145824</v>
      </c>
      <c r="AD24" s="195"/>
      <c r="AE24" s="196"/>
      <c r="AG24" s="197"/>
      <c r="AH24" s="197"/>
    </row>
    <row r="25" spans="2:34" x14ac:dyDescent="0.25">
      <c r="B25" s="79">
        <v>1</v>
      </c>
      <c r="C25" s="79">
        <f t="shared" si="9"/>
        <v>1</v>
      </c>
      <c r="D25" s="232"/>
      <c r="E25" s="56">
        <v>8</v>
      </c>
      <c r="F25" s="66" t="s">
        <v>3</v>
      </c>
      <c r="G25" s="58">
        <f t="shared" si="16"/>
        <v>3</v>
      </c>
      <c r="H25" s="59">
        <v>18</v>
      </c>
      <c r="I25" s="56" t="s">
        <v>12</v>
      </c>
      <c r="J25" s="58">
        <f t="shared" si="0"/>
        <v>1</v>
      </c>
      <c r="K25" s="58">
        <v>0</v>
      </c>
      <c r="L25" s="56" t="s">
        <v>15</v>
      </c>
      <c r="M25" s="58">
        <f t="shared" si="17"/>
        <v>2</v>
      </c>
      <c r="N25" s="60">
        <v>2.8</v>
      </c>
      <c r="O25" s="60">
        <v>1.2</v>
      </c>
      <c r="P25" s="60">
        <v>1.7</v>
      </c>
      <c r="Q25" s="60">
        <v>2.8</v>
      </c>
      <c r="R25" s="60">
        <f t="shared" si="10"/>
        <v>0.59885931558935357</v>
      </c>
      <c r="S25" s="56" t="s">
        <v>35</v>
      </c>
      <c r="T25" s="80">
        <v>272</v>
      </c>
      <c r="U25" s="80">
        <f t="shared" si="11"/>
        <v>2</v>
      </c>
      <c r="V25" s="206">
        <f t="shared" si="12"/>
        <v>830</v>
      </c>
      <c r="W25" s="64">
        <f t="shared" si="13"/>
        <v>0.83838383838383834</v>
      </c>
      <c r="X25" s="201">
        <v>4720.3389830508477</v>
      </c>
      <c r="Y25" s="201">
        <f t="shared" si="18"/>
        <v>337.16707021791768</v>
      </c>
      <c r="Z25" s="211">
        <f t="shared" si="14"/>
        <v>674.33414043583537</v>
      </c>
      <c r="AA25" s="63">
        <f t="shared" si="15"/>
        <v>0.26023173238646979</v>
      </c>
      <c r="AB25" s="81">
        <f t="shared" si="19"/>
        <v>0.6650014912722817</v>
      </c>
      <c r="AD25" s="195"/>
      <c r="AE25" s="196"/>
      <c r="AG25" s="197"/>
      <c r="AH25" s="197"/>
    </row>
    <row r="26" spans="2:34" x14ac:dyDescent="0.25">
      <c r="B26" s="79">
        <v>1</v>
      </c>
      <c r="C26" s="79">
        <f t="shared" si="9"/>
        <v>1</v>
      </c>
      <c r="D26" s="232"/>
      <c r="E26" s="56">
        <v>9</v>
      </c>
      <c r="F26" s="66" t="s">
        <v>3</v>
      </c>
      <c r="G26" s="58">
        <f t="shared" si="16"/>
        <v>3</v>
      </c>
      <c r="H26" s="59">
        <v>19</v>
      </c>
      <c r="I26" s="56" t="s">
        <v>12</v>
      </c>
      <c r="J26" s="58">
        <f t="shared" si="0"/>
        <v>1</v>
      </c>
      <c r="K26" s="58">
        <v>0</v>
      </c>
      <c r="L26" s="56" t="s">
        <v>16</v>
      </c>
      <c r="M26" s="58">
        <f t="shared" si="17"/>
        <v>1</v>
      </c>
      <c r="N26" s="60">
        <v>3.3</v>
      </c>
      <c r="O26" s="60">
        <v>1.1000000000000001</v>
      </c>
      <c r="P26" s="60">
        <v>2</v>
      </c>
      <c r="Q26" s="60">
        <v>3.3</v>
      </c>
      <c r="R26" s="60">
        <f t="shared" si="10"/>
        <v>0.66064638783269969</v>
      </c>
      <c r="S26" s="56" t="s">
        <v>35</v>
      </c>
      <c r="T26" s="80">
        <v>272</v>
      </c>
      <c r="U26" s="80">
        <f t="shared" si="11"/>
        <v>2</v>
      </c>
      <c r="V26" s="206">
        <f t="shared" si="12"/>
        <v>830</v>
      </c>
      <c r="W26" s="64">
        <f t="shared" si="13"/>
        <v>0.83838383838383834</v>
      </c>
      <c r="X26" s="201">
        <v>4618.6440677966102</v>
      </c>
      <c r="Y26" s="201">
        <f t="shared" si="18"/>
        <v>329.90314769975788</v>
      </c>
      <c r="Z26" s="211">
        <f t="shared" si="14"/>
        <v>659.80629539951576</v>
      </c>
      <c r="AA26" s="63">
        <f t="shared" si="15"/>
        <v>0.25462530368155484</v>
      </c>
      <c r="AB26" s="81">
        <f t="shared" si="19"/>
        <v>0.65519024103868051</v>
      </c>
      <c r="AD26" s="195"/>
      <c r="AE26" s="196"/>
      <c r="AG26" s="197"/>
      <c r="AH26" s="197"/>
    </row>
    <row r="27" spans="2:34" x14ac:dyDescent="0.25">
      <c r="B27" s="79">
        <v>1</v>
      </c>
      <c r="C27" s="79">
        <f t="shared" si="9"/>
        <v>1</v>
      </c>
      <c r="D27" s="232"/>
      <c r="E27" s="56">
        <v>10</v>
      </c>
      <c r="F27" s="66" t="s">
        <v>3</v>
      </c>
      <c r="G27" s="58">
        <f t="shared" si="16"/>
        <v>3</v>
      </c>
      <c r="H27" s="59">
        <v>20</v>
      </c>
      <c r="I27" s="56" t="s">
        <v>12</v>
      </c>
      <c r="J27" s="58">
        <f t="shared" si="0"/>
        <v>1</v>
      </c>
      <c r="K27" s="58">
        <v>0</v>
      </c>
      <c r="L27" s="56" t="s">
        <v>16</v>
      </c>
      <c r="M27" s="58">
        <f t="shared" si="17"/>
        <v>1</v>
      </c>
      <c r="N27" s="60">
        <v>3.9</v>
      </c>
      <c r="O27" s="60">
        <v>1.5</v>
      </c>
      <c r="P27" s="60">
        <v>3</v>
      </c>
      <c r="Q27" s="60">
        <v>3.9</v>
      </c>
      <c r="R27" s="60">
        <f t="shared" si="10"/>
        <v>0.8697718631178708</v>
      </c>
      <c r="S27" s="56" t="s">
        <v>29</v>
      </c>
      <c r="T27" s="80">
        <v>155</v>
      </c>
      <c r="U27" s="80">
        <f t="shared" si="11"/>
        <v>1</v>
      </c>
      <c r="V27" s="206">
        <f t="shared" si="12"/>
        <v>550</v>
      </c>
      <c r="W27" s="64">
        <f t="shared" si="13"/>
        <v>0.55555555555555558</v>
      </c>
      <c r="X27" s="201">
        <v>5025.4237288135591</v>
      </c>
      <c r="Y27" s="201">
        <f t="shared" si="18"/>
        <v>358.95883777239709</v>
      </c>
      <c r="Z27" s="211">
        <f t="shared" si="14"/>
        <v>717.91767554479418</v>
      </c>
      <c r="AA27" s="63">
        <f t="shared" si="15"/>
        <v>0.27705101850121472</v>
      </c>
      <c r="AB27" s="81">
        <f t="shared" si="19"/>
        <v>0.62372817126601465</v>
      </c>
      <c r="AD27" s="195"/>
      <c r="AE27" s="196"/>
      <c r="AG27" s="197"/>
      <c r="AH27" s="197"/>
    </row>
    <row r="28" spans="2:34" x14ac:dyDescent="0.25">
      <c r="B28" s="79">
        <v>1</v>
      </c>
      <c r="C28" s="79">
        <f t="shared" si="9"/>
        <v>1</v>
      </c>
      <c r="D28" s="246" t="s">
        <v>128</v>
      </c>
      <c r="E28" s="56">
        <v>11</v>
      </c>
      <c r="F28" s="66" t="s">
        <v>3</v>
      </c>
      <c r="G28" s="58">
        <f t="shared" si="16"/>
        <v>3</v>
      </c>
      <c r="H28" s="59">
        <v>21</v>
      </c>
      <c r="I28" s="56" t="s">
        <v>12</v>
      </c>
      <c r="J28" s="58">
        <f t="shared" si="0"/>
        <v>1</v>
      </c>
      <c r="K28" s="58">
        <v>0</v>
      </c>
      <c r="L28" s="56" t="s">
        <v>16</v>
      </c>
      <c r="M28" s="58">
        <f t="shared" si="17"/>
        <v>1</v>
      </c>
      <c r="N28" s="60">
        <v>3.2</v>
      </c>
      <c r="O28" s="60">
        <v>1.5</v>
      </c>
      <c r="P28" s="60">
        <v>1</v>
      </c>
      <c r="Q28" s="60">
        <v>3.2</v>
      </c>
      <c r="R28" s="60">
        <f t="shared" si="10"/>
        <v>0.61311787072243351</v>
      </c>
      <c r="S28" s="56" t="s">
        <v>33</v>
      </c>
      <c r="T28" s="80">
        <v>1103</v>
      </c>
      <c r="U28" s="80">
        <f t="shared" si="11"/>
        <v>2</v>
      </c>
      <c r="V28" s="206">
        <f t="shared" si="12"/>
        <v>850</v>
      </c>
      <c r="W28" s="64">
        <f t="shared" si="13"/>
        <v>0.85858585858585856</v>
      </c>
      <c r="X28" s="201">
        <v>5025.4237288135591</v>
      </c>
      <c r="Y28" s="201">
        <f t="shared" si="18"/>
        <v>358.95883777239709</v>
      </c>
      <c r="Z28" s="211">
        <f t="shared" si="14"/>
        <v>717.91767554479418</v>
      </c>
      <c r="AA28" s="63">
        <f t="shared" si="15"/>
        <v>0.27705101850121472</v>
      </c>
      <c r="AB28" s="81">
        <f t="shared" si="19"/>
        <v>0.69948574702359045</v>
      </c>
      <c r="AD28" s="195"/>
      <c r="AE28" s="196"/>
      <c r="AG28" s="197"/>
    </row>
    <row r="29" spans="2:34" x14ac:dyDescent="0.25">
      <c r="B29" s="79">
        <v>1</v>
      </c>
      <c r="C29" s="79">
        <f t="shared" si="9"/>
        <v>1</v>
      </c>
      <c r="D29" s="246"/>
      <c r="E29" s="56">
        <v>12</v>
      </c>
      <c r="F29" s="66" t="s">
        <v>3</v>
      </c>
      <c r="G29" s="58">
        <f t="shared" si="16"/>
        <v>3</v>
      </c>
      <c r="H29" s="59">
        <v>22</v>
      </c>
      <c r="I29" s="82" t="s">
        <v>11</v>
      </c>
      <c r="J29" s="58">
        <f t="shared" si="0"/>
        <v>0</v>
      </c>
      <c r="K29" s="58">
        <v>0</v>
      </c>
      <c r="L29" s="56" t="s">
        <v>16</v>
      </c>
      <c r="M29" s="58">
        <f t="shared" si="17"/>
        <v>1</v>
      </c>
      <c r="N29" s="60">
        <v>2.8</v>
      </c>
      <c r="O29" s="60">
        <v>1.2</v>
      </c>
      <c r="P29" s="60">
        <v>0.5</v>
      </c>
      <c r="Q29" s="60">
        <v>2.8</v>
      </c>
      <c r="R29" s="60">
        <f t="shared" si="10"/>
        <v>0.48479087452471481</v>
      </c>
      <c r="S29" s="56" t="s">
        <v>29</v>
      </c>
      <c r="T29" s="80">
        <v>155</v>
      </c>
      <c r="U29" s="80">
        <f t="shared" si="11"/>
        <v>1</v>
      </c>
      <c r="V29" s="206">
        <f t="shared" si="12"/>
        <v>550</v>
      </c>
      <c r="W29" s="64">
        <f t="shared" si="13"/>
        <v>0.55555555555555558</v>
      </c>
      <c r="X29" s="201">
        <v>4720.3389830508477</v>
      </c>
      <c r="Y29" s="201">
        <f t="shared" si="18"/>
        <v>337.16707021791768</v>
      </c>
      <c r="Z29" s="211">
        <f t="shared" si="14"/>
        <v>674.33414043583537</v>
      </c>
      <c r="AA29" s="63">
        <f t="shared" si="15"/>
        <v>0.26023173238646979</v>
      </c>
      <c r="AB29" s="81">
        <f t="shared" si="19"/>
        <v>0.59429442056521098</v>
      </c>
      <c r="AD29" s="195"/>
      <c r="AE29" s="196"/>
      <c r="AG29" s="197"/>
    </row>
    <row r="30" spans="2:34" ht="15.75" thickBot="1" x14ac:dyDescent="0.3">
      <c r="B30" s="83">
        <v>1</v>
      </c>
      <c r="C30" s="83">
        <f t="shared" si="9"/>
        <v>1</v>
      </c>
      <c r="D30" s="247"/>
      <c r="E30" s="84">
        <v>13</v>
      </c>
      <c r="F30" s="85" t="s">
        <v>4</v>
      </c>
      <c r="G30" s="86">
        <f t="shared" ref="G30" si="20">IF(F30="Supte",1,IF(F30="Supv",2,IF(F30="Operador",3,4)))</f>
        <v>4</v>
      </c>
      <c r="H30" s="87">
        <v>23</v>
      </c>
      <c r="I30" s="84" t="s">
        <v>12</v>
      </c>
      <c r="J30" s="86">
        <f t="shared" si="0"/>
        <v>1</v>
      </c>
      <c r="K30" s="86">
        <v>0</v>
      </c>
      <c r="L30" s="84" t="s">
        <v>15</v>
      </c>
      <c r="M30" s="86">
        <f t="shared" si="17"/>
        <v>2</v>
      </c>
      <c r="N30" s="88">
        <v>0.2</v>
      </c>
      <c r="O30" s="88">
        <v>0.2</v>
      </c>
      <c r="P30" s="88">
        <v>0</v>
      </c>
      <c r="Q30" s="88">
        <v>0.2</v>
      </c>
      <c r="R30" s="88">
        <f t="shared" si="10"/>
        <v>4.7528517110266164E-2</v>
      </c>
      <c r="S30" s="84" t="s">
        <v>29</v>
      </c>
      <c r="T30" s="89">
        <v>155</v>
      </c>
      <c r="U30" s="89">
        <f t="shared" si="11"/>
        <v>1</v>
      </c>
      <c r="V30" s="207">
        <f t="shared" si="12"/>
        <v>550</v>
      </c>
      <c r="W30" s="90">
        <f t="shared" si="13"/>
        <v>0.55555555555555558</v>
      </c>
      <c r="X30" s="212">
        <v>2500</v>
      </c>
      <c r="Y30" s="212">
        <f t="shared" si="18"/>
        <v>178.57142857142858</v>
      </c>
      <c r="Z30" s="213">
        <f t="shared" si="14"/>
        <v>357.14285714285717</v>
      </c>
      <c r="AA30" s="91">
        <f t="shared" si="15"/>
        <v>0.137824705662493</v>
      </c>
      <c r="AB30" s="92">
        <f t="shared" si="19"/>
        <v>0.38008212379825163</v>
      </c>
      <c r="AD30" s="195"/>
      <c r="AE30" s="196"/>
      <c r="AG30" s="197"/>
    </row>
    <row r="31" spans="2:34" x14ac:dyDescent="0.25">
      <c r="B31" s="93">
        <v>0</v>
      </c>
      <c r="C31" s="94">
        <f t="shared" si="9"/>
        <v>1</v>
      </c>
      <c r="D31" s="219" t="s">
        <v>20</v>
      </c>
      <c r="E31" s="71">
        <v>1</v>
      </c>
      <c r="F31" s="57" t="s">
        <v>25</v>
      </c>
      <c r="G31" s="95"/>
      <c r="H31" s="73">
        <v>24</v>
      </c>
      <c r="I31" s="71" t="s">
        <v>12</v>
      </c>
      <c r="J31" s="72">
        <f t="shared" si="0"/>
        <v>1</v>
      </c>
      <c r="K31" s="72">
        <v>0</v>
      </c>
      <c r="L31" s="71" t="s">
        <v>16</v>
      </c>
      <c r="M31" s="72">
        <f t="shared" si="17"/>
        <v>1</v>
      </c>
      <c r="N31" s="74">
        <v>5</v>
      </c>
      <c r="O31" s="96">
        <v>1.7</v>
      </c>
      <c r="P31" s="96">
        <v>0</v>
      </c>
      <c r="Q31" s="96">
        <v>5</v>
      </c>
      <c r="R31" s="96">
        <f t="shared" si="10"/>
        <v>0.71768060836501901</v>
      </c>
      <c r="S31" s="97" t="s">
        <v>29</v>
      </c>
      <c r="T31" s="98">
        <v>155</v>
      </c>
      <c r="U31" s="98">
        <f t="shared" si="11"/>
        <v>1</v>
      </c>
      <c r="V31" s="208">
        <f t="shared" si="12"/>
        <v>550</v>
      </c>
      <c r="W31" s="99">
        <f t="shared" si="13"/>
        <v>0.55555555555555558</v>
      </c>
      <c r="X31" s="214">
        <v>12000</v>
      </c>
      <c r="Y31" s="214">
        <f>X31/30</f>
        <v>400</v>
      </c>
      <c r="Z31" s="215">
        <f t="shared" si="14"/>
        <v>800</v>
      </c>
      <c r="AA31" s="100">
        <f t="shared" si="15"/>
        <v>0.30872734068398427</v>
      </c>
      <c r="AB31" s="101">
        <f t="shared" si="19"/>
        <v>0.67916173508586142</v>
      </c>
      <c r="AD31" s="195"/>
      <c r="AE31" s="196"/>
      <c r="AG31" s="197"/>
    </row>
    <row r="32" spans="2:34" x14ac:dyDescent="0.25">
      <c r="B32" s="102">
        <v>0</v>
      </c>
      <c r="C32" s="102">
        <f t="shared" si="9"/>
        <v>1</v>
      </c>
      <c r="D32" s="220"/>
      <c r="E32" s="56">
        <v>2</v>
      </c>
      <c r="F32" s="66" t="s">
        <v>25</v>
      </c>
      <c r="G32" s="103"/>
      <c r="H32" s="59">
        <v>25</v>
      </c>
      <c r="I32" s="56" t="s">
        <v>12</v>
      </c>
      <c r="J32" s="58">
        <f t="shared" si="0"/>
        <v>1</v>
      </c>
      <c r="K32" s="58">
        <v>0</v>
      </c>
      <c r="L32" s="56" t="s">
        <v>15</v>
      </c>
      <c r="M32" s="58">
        <f t="shared" si="17"/>
        <v>2</v>
      </c>
      <c r="N32" s="60">
        <v>3</v>
      </c>
      <c r="O32" s="60">
        <v>2</v>
      </c>
      <c r="P32" s="60">
        <v>1.8</v>
      </c>
      <c r="Q32" s="60">
        <v>3</v>
      </c>
      <c r="R32" s="60">
        <f t="shared" si="10"/>
        <v>0.7414448669201521</v>
      </c>
      <c r="S32" s="56" t="s">
        <v>28</v>
      </c>
      <c r="T32" s="80">
        <v>0</v>
      </c>
      <c r="U32" s="80">
        <f t="shared" si="11"/>
        <v>1</v>
      </c>
      <c r="V32" s="206">
        <f t="shared" si="12"/>
        <v>150</v>
      </c>
      <c r="W32" s="64">
        <f t="shared" si="13"/>
        <v>0.15151515151515152</v>
      </c>
      <c r="X32" s="201">
        <v>13200</v>
      </c>
      <c r="Y32" s="201">
        <f t="shared" ref="Y32:Y34" si="21">X32/30</f>
        <v>440</v>
      </c>
      <c r="Z32" s="211">
        <f t="shared" si="14"/>
        <v>880</v>
      </c>
      <c r="AA32" s="63">
        <f t="shared" si="15"/>
        <v>0.33960007475238269</v>
      </c>
      <c r="AB32" s="81">
        <f t="shared" si="19"/>
        <v>0.6321789186954575</v>
      </c>
      <c r="AD32" s="195"/>
      <c r="AE32" s="196"/>
      <c r="AG32" s="197"/>
    </row>
    <row r="33" spans="2:33" x14ac:dyDescent="0.25">
      <c r="B33" s="102">
        <v>0</v>
      </c>
      <c r="C33" s="102">
        <f t="shared" si="9"/>
        <v>1</v>
      </c>
      <c r="D33" s="220"/>
      <c r="E33" s="56">
        <v>3</v>
      </c>
      <c r="F33" s="66" t="s">
        <v>26</v>
      </c>
      <c r="G33" s="103"/>
      <c r="H33" s="59">
        <v>26</v>
      </c>
      <c r="I33" s="56" t="s">
        <v>12</v>
      </c>
      <c r="J33" s="58">
        <f t="shared" si="0"/>
        <v>1</v>
      </c>
      <c r="K33" s="58">
        <v>0</v>
      </c>
      <c r="L33" s="56" t="s">
        <v>16</v>
      </c>
      <c r="M33" s="58">
        <f t="shared" si="17"/>
        <v>1</v>
      </c>
      <c r="N33" s="60">
        <v>7</v>
      </c>
      <c r="O33" s="60">
        <v>2</v>
      </c>
      <c r="P33" s="60">
        <v>2</v>
      </c>
      <c r="Q33" s="60">
        <v>7</v>
      </c>
      <c r="R33" s="60">
        <f t="shared" si="10"/>
        <v>1.1406844106463878</v>
      </c>
      <c r="S33" s="56" t="s">
        <v>28</v>
      </c>
      <c r="T33" s="80">
        <v>0</v>
      </c>
      <c r="U33" s="80">
        <f t="shared" si="11"/>
        <v>1</v>
      </c>
      <c r="V33" s="206">
        <f t="shared" si="12"/>
        <v>150</v>
      </c>
      <c r="W33" s="64">
        <f t="shared" si="13"/>
        <v>0.15151515151515152</v>
      </c>
      <c r="X33" s="201">
        <v>8700</v>
      </c>
      <c r="Y33" s="201">
        <f t="shared" si="21"/>
        <v>290</v>
      </c>
      <c r="Z33" s="211">
        <f t="shared" si="14"/>
        <v>580</v>
      </c>
      <c r="AA33" s="63">
        <f t="shared" si="15"/>
        <v>0.22382732199588859</v>
      </c>
      <c r="AB33" s="81">
        <f t="shared" si="19"/>
        <v>0.42957660137159293</v>
      </c>
      <c r="AD33" s="195"/>
      <c r="AE33" s="196"/>
      <c r="AG33" s="197"/>
    </row>
    <row r="34" spans="2:33" ht="15.75" thickBot="1" x14ac:dyDescent="0.3">
      <c r="B34" s="104">
        <v>0</v>
      </c>
      <c r="C34" s="104">
        <f t="shared" si="9"/>
        <v>1</v>
      </c>
      <c r="D34" s="221"/>
      <c r="E34" s="84">
        <v>4</v>
      </c>
      <c r="F34" s="85" t="s">
        <v>26</v>
      </c>
      <c r="G34" s="105"/>
      <c r="H34" s="87">
        <v>27</v>
      </c>
      <c r="I34" s="84" t="s">
        <v>12</v>
      </c>
      <c r="J34" s="86">
        <f t="shared" si="0"/>
        <v>1</v>
      </c>
      <c r="K34" s="86">
        <v>0</v>
      </c>
      <c r="L34" s="84" t="s">
        <v>14</v>
      </c>
      <c r="M34" s="86">
        <f t="shared" si="17"/>
        <v>3</v>
      </c>
      <c r="N34" s="88">
        <v>4</v>
      </c>
      <c r="O34" s="88">
        <v>0.5</v>
      </c>
      <c r="P34" s="88">
        <v>0</v>
      </c>
      <c r="Q34" s="88">
        <v>4</v>
      </c>
      <c r="R34" s="88">
        <f t="shared" si="10"/>
        <v>0.45152091254752852</v>
      </c>
      <c r="S34" s="84" t="s">
        <v>28</v>
      </c>
      <c r="T34" s="89">
        <v>0</v>
      </c>
      <c r="U34" s="89">
        <f t="shared" si="11"/>
        <v>1</v>
      </c>
      <c r="V34" s="207">
        <f t="shared" si="12"/>
        <v>150</v>
      </c>
      <c r="W34" s="90">
        <f t="shared" si="13"/>
        <v>0.15151515151515152</v>
      </c>
      <c r="X34" s="212">
        <v>9130</v>
      </c>
      <c r="Y34" s="212">
        <f t="shared" si="21"/>
        <v>304.33333333333331</v>
      </c>
      <c r="Z34" s="213">
        <f t="shared" si="14"/>
        <v>608.66666666666663</v>
      </c>
      <c r="AA34" s="91">
        <f t="shared" si="15"/>
        <v>0.23489005170373137</v>
      </c>
      <c r="AB34" s="92">
        <f t="shared" si="19"/>
        <v>0.4489363783603178</v>
      </c>
      <c r="AD34" s="195"/>
      <c r="AE34" s="196"/>
      <c r="AG34" s="197"/>
    </row>
    <row r="35" spans="2:33" x14ac:dyDescent="0.25">
      <c r="B35" s="106">
        <v>2</v>
      </c>
      <c r="C35" s="107">
        <f t="shared" ref="C35:C45" si="22">IF($R$84="A",1-$R$82,IF($R$84="B",1+$R$82,1))</f>
        <v>1</v>
      </c>
      <c r="D35" s="231"/>
      <c r="E35" s="71">
        <v>1</v>
      </c>
      <c r="F35" s="57" t="s">
        <v>1</v>
      </c>
      <c r="G35" s="72">
        <f>IF(F35="Supte",1,IF(F35="Supv ",2,IF(F35="Operador",3,4)))</f>
        <v>1</v>
      </c>
      <c r="H35" s="73">
        <v>28</v>
      </c>
      <c r="I35" s="71" t="s">
        <v>12</v>
      </c>
      <c r="J35" s="72">
        <f t="shared" ref="J35:J78" si="23">IF(I35="Ativo",1,0)</f>
        <v>1</v>
      </c>
      <c r="K35" s="72">
        <v>0</v>
      </c>
      <c r="L35" s="71" t="s">
        <v>15</v>
      </c>
      <c r="M35" s="72">
        <f>IF(L35="Mecânico",1,IF(L35="Eletrônico",2,3))</f>
        <v>2</v>
      </c>
      <c r="N35" s="74">
        <v>11.7</v>
      </c>
      <c r="O35" s="74">
        <v>4.2</v>
      </c>
      <c r="P35" s="74">
        <v>1.6</v>
      </c>
      <c r="Q35" s="74">
        <v>10.199999999999999</v>
      </c>
      <c r="R35" s="74">
        <f t="shared" si="10"/>
        <v>1.6242566052451985</v>
      </c>
      <c r="S35" s="71" t="s">
        <v>29</v>
      </c>
      <c r="T35" s="75">
        <v>155</v>
      </c>
      <c r="U35" s="75">
        <f t="shared" si="11"/>
        <v>1</v>
      </c>
      <c r="V35" s="205">
        <f t="shared" si="12"/>
        <v>550</v>
      </c>
      <c r="W35" s="76">
        <f t="shared" si="13"/>
        <v>0.55555555555555558</v>
      </c>
      <c r="X35" s="209">
        <v>18138.983050847459</v>
      </c>
      <c r="Y35" s="209">
        <f>X35/14</f>
        <v>1295.6416464891042</v>
      </c>
      <c r="Z35" s="210">
        <f t="shared" si="14"/>
        <v>2591.2832929782085</v>
      </c>
      <c r="AA35" s="77">
        <f t="shared" si="15"/>
        <v>1</v>
      </c>
      <c r="AB35" s="78">
        <f t="shared" si="19"/>
        <v>1.8888888888888888</v>
      </c>
      <c r="AC35" s="160"/>
      <c r="AD35" s="195"/>
      <c r="AE35" s="196"/>
      <c r="AG35" s="197"/>
    </row>
    <row r="36" spans="2:33" x14ac:dyDescent="0.25">
      <c r="B36" s="43">
        <v>2</v>
      </c>
      <c r="C36" s="43">
        <f t="shared" si="22"/>
        <v>1</v>
      </c>
      <c r="D36" s="232"/>
      <c r="E36" s="56">
        <v>2</v>
      </c>
      <c r="F36" s="66" t="s">
        <v>2</v>
      </c>
      <c r="G36" s="58">
        <f t="shared" ref="G36:G44" si="24">IF(F36="Supte",1,IF(F36="Supv ",2,IF(F36="Operador",3,4)))</f>
        <v>2</v>
      </c>
      <c r="H36" s="59">
        <v>29</v>
      </c>
      <c r="I36" s="82" t="s">
        <v>13</v>
      </c>
      <c r="J36" s="58">
        <f t="shared" si="23"/>
        <v>0</v>
      </c>
      <c r="K36" s="58">
        <v>0</v>
      </c>
      <c r="L36" s="56" t="s">
        <v>15</v>
      </c>
      <c r="M36" s="58">
        <f t="shared" ref="M36:M45" si="25">IF(L36="Mecânico",1,IF(L36="Eletrônico",2,3))</f>
        <v>2</v>
      </c>
      <c r="N36" s="60">
        <v>9.4</v>
      </c>
      <c r="O36" s="60">
        <v>5.2</v>
      </c>
      <c r="P36" s="60">
        <v>1.3</v>
      </c>
      <c r="Q36" s="60">
        <v>9.4</v>
      </c>
      <c r="R36" s="60">
        <f t="shared" si="10"/>
        <v>1.7585551330798483</v>
      </c>
      <c r="S36" s="56" t="s">
        <v>29</v>
      </c>
      <c r="T36" s="80">
        <v>155</v>
      </c>
      <c r="U36" s="80">
        <f t="shared" si="11"/>
        <v>1</v>
      </c>
      <c r="V36" s="206">
        <f t="shared" si="12"/>
        <v>550</v>
      </c>
      <c r="W36" s="64">
        <f t="shared" si="13"/>
        <v>0.55555555555555558</v>
      </c>
      <c r="X36" s="201">
        <v>12557.627118644068</v>
      </c>
      <c r="Y36" s="201">
        <f t="shared" ref="Y36:Y45" si="26">X36/14</f>
        <v>896.97336561743339</v>
      </c>
      <c r="Z36" s="211">
        <f t="shared" si="14"/>
        <v>1793.9467312348668</v>
      </c>
      <c r="AA36" s="63">
        <f t="shared" si="15"/>
        <v>0.69230050457858339</v>
      </c>
      <c r="AB36" s="81">
        <f t="shared" si="19"/>
        <v>1.3504147719014097</v>
      </c>
      <c r="AC36" s="160"/>
      <c r="AD36" s="195"/>
      <c r="AE36" s="196"/>
      <c r="AG36" s="197"/>
    </row>
    <row r="37" spans="2:33" x14ac:dyDescent="0.25">
      <c r="B37" s="43">
        <v>2</v>
      </c>
      <c r="C37" s="43">
        <f t="shared" si="22"/>
        <v>1</v>
      </c>
      <c r="D37" s="232"/>
      <c r="E37" s="71">
        <v>3</v>
      </c>
      <c r="F37" s="66" t="s">
        <v>2</v>
      </c>
      <c r="G37" s="58">
        <f t="shared" si="24"/>
        <v>2</v>
      </c>
      <c r="H37" s="59">
        <v>30</v>
      </c>
      <c r="I37" s="56" t="s">
        <v>12</v>
      </c>
      <c r="J37" s="58">
        <f t="shared" si="23"/>
        <v>1</v>
      </c>
      <c r="K37" s="58">
        <v>0</v>
      </c>
      <c r="L37" s="56" t="s">
        <v>16</v>
      </c>
      <c r="M37" s="58">
        <f t="shared" si="25"/>
        <v>1</v>
      </c>
      <c r="N37" s="60">
        <v>9.6</v>
      </c>
      <c r="O37" s="60">
        <v>6.3</v>
      </c>
      <c r="P37" s="60">
        <v>2</v>
      </c>
      <c r="Q37" s="60">
        <v>9.6</v>
      </c>
      <c r="R37" s="60">
        <f t="shared" si="10"/>
        <v>2.000950570342205</v>
      </c>
      <c r="S37" s="56" t="s">
        <v>28</v>
      </c>
      <c r="T37" s="80">
        <v>0</v>
      </c>
      <c r="U37" s="80">
        <f t="shared" si="11"/>
        <v>1</v>
      </c>
      <c r="V37" s="206">
        <f t="shared" si="12"/>
        <v>150</v>
      </c>
      <c r="W37" s="64">
        <f t="shared" si="13"/>
        <v>0.15151515151515152</v>
      </c>
      <c r="X37" s="201">
        <v>12781.355932203389</v>
      </c>
      <c r="Y37" s="201">
        <f t="shared" si="26"/>
        <v>912.95399515738495</v>
      </c>
      <c r="Z37" s="211">
        <f t="shared" si="14"/>
        <v>1825.9079903147699</v>
      </c>
      <c r="AA37" s="63">
        <f t="shared" si="15"/>
        <v>0.70463464772939632</v>
      </c>
      <c r="AB37" s="81">
        <f t="shared" si="19"/>
        <v>1.2709894214052315</v>
      </c>
      <c r="AC37" s="160"/>
      <c r="AD37" s="195"/>
      <c r="AE37" s="196"/>
      <c r="AG37" s="197"/>
    </row>
    <row r="38" spans="2:33" x14ac:dyDescent="0.25">
      <c r="B38" s="43">
        <v>2</v>
      </c>
      <c r="C38" s="43">
        <f t="shared" si="22"/>
        <v>1</v>
      </c>
      <c r="D38" s="232"/>
      <c r="E38" s="56">
        <v>4</v>
      </c>
      <c r="F38" s="66" t="s">
        <v>3</v>
      </c>
      <c r="G38" s="58">
        <f t="shared" si="24"/>
        <v>3</v>
      </c>
      <c r="H38" s="59">
        <v>31</v>
      </c>
      <c r="I38" s="56" t="s">
        <v>12</v>
      </c>
      <c r="J38" s="58">
        <f t="shared" si="23"/>
        <v>1</v>
      </c>
      <c r="K38" s="58">
        <v>0</v>
      </c>
      <c r="L38" s="56" t="s">
        <v>14</v>
      </c>
      <c r="M38" s="58">
        <f t="shared" si="25"/>
        <v>3</v>
      </c>
      <c r="N38" s="60">
        <v>3.3</v>
      </c>
      <c r="O38" s="60">
        <v>2.4</v>
      </c>
      <c r="P38" s="60">
        <v>2</v>
      </c>
      <c r="Q38" s="60">
        <v>3.1</v>
      </c>
      <c r="R38" s="60">
        <f t="shared" si="10"/>
        <v>0.79473441640742015</v>
      </c>
      <c r="S38" s="56" t="s">
        <v>29</v>
      </c>
      <c r="T38" s="80">
        <v>155</v>
      </c>
      <c r="U38" s="80">
        <f t="shared" si="11"/>
        <v>1</v>
      </c>
      <c r="V38" s="206">
        <f t="shared" si="12"/>
        <v>550</v>
      </c>
      <c r="W38" s="64">
        <f t="shared" si="13"/>
        <v>0.55555555555555558</v>
      </c>
      <c r="X38" s="201">
        <v>5940.6779661016953</v>
      </c>
      <c r="Y38" s="201">
        <f t="shared" si="26"/>
        <v>424.33414043583537</v>
      </c>
      <c r="Z38" s="211">
        <f t="shared" si="14"/>
        <v>848.66828087167073</v>
      </c>
      <c r="AA38" s="63">
        <f t="shared" si="15"/>
        <v>0.32750887684544944</v>
      </c>
      <c r="AB38" s="81">
        <f t="shared" si="19"/>
        <v>0.71202942336842545</v>
      </c>
      <c r="AC38" s="160"/>
      <c r="AD38" s="195"/>
      <c r="AE38" s="196"/>
      <c r="AG38" s="197"/>
    </row>
    <row r="39" spans="2:33" x14ac:dyDescent="0.25">
      <c r="B39" s="43">
        <v>2</v>
      </c>
      <c r="C39" s="43">
        <f t="shared" si="22"/>
        <v>1</v>
      </c>
      <c r="D39" s="232"/>
      <c r="E39" s="71">
        <v>5</v>
      </c>
      <c r="F39" s="66" t="s">
        <v>3</v>
      </c>
      <c r="G39" s="58">
        <f t="shared" si="24"/>
        <v>3</v>
      </c>
      <c r="H39" s="59">
        <v>32</v>
      </c>
      <c r="I39" s="56" t="s">
        <v>12</v>
      </c>
      <c r="J39" s="58">
        <f t="shared" si="23"/>
        <v>1</v>
      </c>
      <c r="K39" s="58">
        <v>0</v>
      </c>
      <c r="L39" s="56" t="s">
        <v>16</v>
      </c>
      <c r="M39" s="58">
        <f t="shared" si="25"/>
        <v>1</v>
      </c>
      <c r="N39" s="60">
        <v>5.5</v>
      </c>
      <c r="O39" s="60">
        <v>2.6</v>
      </c>
      <c r="P39" s="60">
        <v>1.5</v>
      </c>
      <c r="Q39" s="60">
        <v>4.5</v>
      </c>
      <c r="R39" s="60">
        <f t="shared" si="10"/>
        <v>0.84773591427583839</v>
      </c>
      <c r="S39" s="56" t="s">
        <v>29</v>
      </c>
      <c r="T39" s="80">
        <v>155</v>
      </c>
      <c r="U39" s="80">
        <f t="shared" si="11"/>
        <v>1</v>
      </c>
      <c r="V39" s="206">
        <f t="shared" si="12"/>
        <v>550</v>
      </c>
      <c r="W39" s="64">
        <f t="shared" si="13"/>
        <v>0.55555555555555558</v>
      </c>
      <c r="X39" s="201">
        <v>6144.0677966101694</v>
      </c>
      <c r="Y39" s="201">
        <f t="shared" si="26"/>
        <v>438.86198547215497</v>
      </c>
      <c r="Z39" s="211">
        <f t="shared" si="14"/>
        <v>877.72397094430994</v>
      </c>
      <c r="AA39" s="63">
        <f t="shared" si="15"/>
        <v>0.33872173425527935</v>
      </c>
      <c r="AB39" s="81">
        <f t="shared" si="19"/>
        <v>0.73165192383562783</v>
      </c>
      <c r="AC39" s="160"/>
      <c r="AD39" s="195"/>
      <c r="AE39" s="196"/>
      <c r="AG39" s="197"/>
    </row>
    <row r="40" spans="2:33" x14ac:dyDescent="0.25">
      <c r="B40" s="43">
        <v>2</v>
      </c>
      <c r="C40" s="43">
        <f t="shared" si="22"/>
        <v>1</v>
      </c>
      <c r="D40" s="232"/>
      <c r="E40" s="56">
        <v>6</v>
      </c>
      <c r="F40" s="66" t="s">
        <v>3</v>
      </c>
      <c r="G40" s="58">
        <f t="shared" si="24"/>
        <v>3</v>
      </c>
      <c r="H40" s="59">
        <v>33</v>
      </c>
      <c r="I40" s="56" t="s">
        <v>12</v>
      </c>
      <c r="J40" s="58">
        <f t="shared" si="23"/>
        <v>1</v>
      </c>
      <c r="K40" s="58">
        <v>0</v>
      </c>
      <c r="L40" s="56" t="s">
        <v>16</v>
      </c>
      <c r="M40" s="58">
        <f t="shared" si="25"/>
        <v>1</v>
      </c>
      <c r="N40" s="60">
        <v>6.1</v>
      </c>
      <c r="O40" s="60">
        <v>3.8</v>
      </c>
      <c r="P40" s="60">
        <v>1.1000000000000001</v>
      </c>
      <c r="Q40" s="60">
        <v>6.1</v>
      </c>
      <c r="R40" s="60">
        <f t="shared" si="10"/>
        <v>1.2262357414448668</v>
      </c>
      <c r="S40" s="56" t="s">
        <v>28</v>
      </c>
      <c r="T40" s="80">
        <v>0</v>
      </c>
      <c r="U40" s="80">
        <f t="shared" si="11"/>
        <v>1</v>
      </c>
      <c r="V40" s="206">
        <f t="shared" si="12"/>
        <v>150</v>
      </c>
      <c r="W40" s="64">
        <f t="shared" si="13"/>
        <v>0.15151515151515152</v>
      </c>
      <c r="X40" s="201">
        <v>7272.8813559322034</v>
      </c>
      <c r="Y40" s="201">
        <f t="shared" si="26"/>
        <v>519.49152542372883</v>
      </c>
      <c r="Z40" s="211">
        <f t="shared" si="14"/>
        <v>1038.9830508474577</v>
      </c>
      <c r="AA40" s="63">
        <f t="shared" si="15"/>
        <v>0.40095309287983555</v>
      </c>
      <c r="AB40" s="81">
        <f t="shared" si="19"/>
        <v>0.73954670041850001</v>
      </c>
      <c r="AC40" s="160"/>
      <c r="AD40" s="195"/>
      <c r="AE40" s="196"/>
      <c r="AG40" s="197"/>
    </row>
    <row r="41" spans="2:33" x14ac:dyDescent="0.25">
      <c r="B41" s="43">
        <v>2</v>
      </c>
      <c r="C41" s="43">
        <f t="shared" si="22"/>
        <v>1</v>
      </c>
      <c r="D41" s="232"/>
      <c r="E41" s="71">
        <v>7</v>
      </c>
      <c r="F41" s="66" t="s">
        <v>3</v>
      </c>
      <c r="G41" s="58">
        <f t="shared" si="24"/>
        <v>3</v>
      </c>
      <c r="H41" s="59">
        <v>34</v>
      </c>
      <c r="I41" s="82" t="s">
        <v>11</v>
      </c>
      <c r="J41" s="58">
        <f t="shared" si="23"/>
        <v>0</v>
      </c>
      <c r="K41" s="58">
        <v>0</v>
      </c>
      <c r="L41" s="56" t="s">
        <v>16</v>
      </c>
      <c r="M41" s="58">
        <f t="shared" si="25"/>
        <v>1</v>
      </c>
      <c r="N41" s="60">
        <v>3.8</v>
      </c>
      <c r="O41" s="60">
        <v>1.6</v>
      </c>
      <c r="P41" s="60">
        <v>2</v>
      </c>
      <c r="Q41" s="60">
        <v>3.8</v>
      </c>
      <c r="R41" s="60">
        <f t="shared" si="10"/>
        <v>0.77946768060836502</v>
      </c>
      <c r="S41" s="56" t="s">
        <v>29</v>
      </c>
      <c r="T41" s="80">
        <v>155</v>
      </c>
      <c r="U41" s="80">
        <f t="shared" si="11"/>
        <v>1</v>
      </c>
      <c r="V41" s="206">
        <f t="shared" si="12"/>
        <v>550</v>
      </c>
      <c r="W41" s="64">
        <f t="shared" si="13"/>
        <v>0.55555555555555558</v>
      </c>
      <c r="X41" s="201">
        <v>5127.1186440677966</v>
      </c>
      <c r="Y41" s="201">
        <f t="shared" si="26"/>
        <v>366.22276029055689</v>
      </c>
      <c r="Z41" s="211">
        <f t="shared" si="14"/>
        <v>732.44552058111378</v>
      </c>
      <c r="AA41" s="63">
        <f t="shared" si="15"/>
        <v>0.28265744720612967</v>
      </c>
      <c r="AB41" s="81">
        <f t="shared" si="19"/>
        <v>0.63353942149961584</v>
      </c>
      <c r="AC41" s="160"/>
      <c r="AD41" s="195"/>
      <c r="AE41" s="196"/>
      <c r="AG41" s="197"/>
    </row>
    <row r="42" spans="2:33" x14ac:dyDescent="0.25">
      <c r="B42" s="43">
        <v>2</v>
      </c>
      <c r="C42" s="43">
        <f t="shared" si="22"/>
        <v>1</v>
      </c>
      <c r="D42" s="232"/>
      <c r="E42" s="56">
        <v>8</v>
      </c>
      <c r="F42" s="66" t="s">
        <v>3</v>
      </c>
      <c r="G42" s="58">
        <f t="shared" si="24"/>
        <v>3</v>
      </c>
      <c r="H42" s="59">
        <v>35</v>
      </c>
      <c r="I42" s="56" t="s">
        <v>12</v>
      </c>
      <c r="J42" s="58">
        <f t="shared" si="23"/>
        <v>1</v>
      </c>
      <c r="K42" s="58">
        <v>0</v>
      </c>
      <c r="L42" s="56" t="s">
        <v>16</v>
      </c>
      <c r="M42" s="58">
        <f t="shared" si="25"/>
        <v>1</v>
      </c>
      <c r="N42" s="60">
        <v>3.2</v>
      </c>
      <c r="O42" s="60">
        <v>1.9</v>
      </c>
      <c r="P42" s="60">
        <v>2</v>
      </c>
      <c r="Q42" s="60">
        <v>3.2</v>
      </c>
      <c r="R42" s="60">
        <f t="shared" si="10"/>
        <v>0.7652091254752853</v>
      </c>
      <c r="S42" s="56" t="s">
        <v>31</v>
      </c>
      <c r="T42" s="61">
        <v>511</v>
      </c>
      <c r="U42" s="80">
        <f t="shared" si="11"/>
        <v>2</v>
      </c>
      <c r="V42" s="206">
        <f t="shared" si="12"/>
        <v>900</v>
      </c>
      <c r="W42" s="64">
        <f t="shared" si="13"/>
        <v>0.90909090909090906</v>
      </c>
      <c r="X42" s="201">
        <v>5432.2033898305081</v>
      </c>
      <c r="Y42" s="201">
        <f t="shared" si="26"/>
        <v>388.0145278450363</v>
      </c>
      <c r="Z42" s="211">
        <f t="shared" si="14"/>
        <v>776.0290556900726</v>
      </c>
      <c r="AA42" s="63">
        <f t="shared" si="15"/>
        <v>0.29947673332087454</v>
      </c>
      <c r="AB42" s="81">
        <f t="shared" si="19"/>
        <v>0.75135701058425775</v>
      </c>
      <c r="AC42" s="160"/>
      <c r="AD42" s="195"/>
      <c r="AE42" s="196"/>
      <c r="AG42" s="197"/>
    </row>
    <row r="43" spans="2:33" x14ac:dyDescent="0.25">
      <c r="B43" s="43">
        <v>2</v>
      </c>
      <c r="C43" s="43">
        <f t="shared" si="22"/>
        <v>1</v>
      </c>
      <c r="D43" s="232"/>
      <c r="E43" s="71">
        <v>9</v>
      </c>
      <c r="F43" s="66" t="s">
        <v>3</v>
      </c>
      <c r="G43" s="58">
        <f t="shared" si="24"/>
        <v>3</v>
      </c>
      <c r="H43" s="59">
        <v>36</v>
      </c>
      <c r="I43" s="56" t="s">
        <v>12</v>
      </c>
      <c r="J43" s="58">
        <f t="shared" si="23"/>
        <v>1</v>
      </c>
      <c r="K43" s="58">
        <v>0</v>
      </c>
      <c r="L43" s="56" t="s">
        <v>16</v>
      </c>
      <c r="M43" s="58">
        <f t="shared" si="25"/>
        <v>1</v>
      </c>
      <c r="N43" s="60">
        <v>4.5</v>
      </c>
      <c r="O43" s="60">
        <v>2.6</v>
      </c>
      <c r="P43" s="60">
        <v>0.5</v>
      </c>
      <c r="Q43" s="60">
        <v>4.5</v>
      </c>
      <c r="R43" s="60">
        <f t="shared" si="10"/>
        <v>0.84600760456273771</v>
      </c>
      <c r="S43" s="56" t="s">
        <v>29</v>
      </c>
      <c r="T43" s="80">
        <v>155</v>
      </c>
      <c r="U43" s="80">
        <f t="shared" si="11"/>
        <v>1</v>
      </c>
      <c r="V43" s="206">
        <f t="shared" si="12"/>
        <v>550</v>
      </c>
      <c r="W43" s="64">
        <f t="shared" si="13"/>
        <v>0.55555555555555558</v>
      </c>
      <c r="X43" s="201">
        <v>6144.0677966101694</v>
      </c>
      <c r="Y43" s="201">
        <f t="shared" si="26"/>
        <v>438.86198547215497</v>
      </c>
      <c r="Z43" s="211">
        <f t="shared" si="14"/>
        <v>877.72397094430994</v>
      </c>
      <c r="AA43" s="63">
        <f t="shared" si="15"/>
        <v>0.33872173425527935</v>
      </c>
      <c r="AB43" s="81">
        <f t="shared" si="19"/>
        <v>0.73165192383562783</v>
      </c>
      <c r="AC43" s="160"/>
      <c r="AD43" s="195"/>
      <c r="AE43" s="196"/>
      <c r="AG43" s="197"/>
    </row>
    <row r="44" spans="2:33" x14ac:dyDescent="0.25">
      <c r="B44" s="43">
        <v>2</v>
      </c>
      <c r="C44" s="43">
        <f t="shared" si="22"/>
        <v>1</v>
      </c>
      <c r="D44" s="233"/>
      <c r="E44" s="56">
        <v>10</v>
      </c>
      <c r="F44" s="66" t="s">
        <v>3</v>
      </c>
      <c r="G44" s="58">
        <f t="shared" si="24"/>
        <v>3</v>
      </c>
      <c r="H44" s="59">
        <v>37</v>
      </c>
      <c r="I44" s="56" t="s">
        <v>12</v>
      </c>
      <c r="J44" s="58">
        <f t="shared" si="23"/>
        <v>1</v>
      </c>
      <c r="K44" s="58">
        <v>0</v>
      </c>
      <c r="L44" s="56" t="s">
        <v>16</v>
      </c>
      <c r="M44" s="58">
        <f t="shared" si="25"/>
        <v>1</v>
      </c>
      <c r="N44" s="60">
        <v>2.6</v>
      </c>
      <c r="O44" s="60">
        <v>1.2</v>
      </c>
      <c r="P44" s="60">
        <v>0.1</v>
      </c>
      <c r="Q44" s="60">
        <v>2.1</v>
      </c>
      <c r="R44" s="60">
        <f t="shared" si="10"/>
        <v>0.34549575899385787</v>
      </c>
      <c r="S44" s="56" t="s">
        <v>28</v>
      </c>
      <c r="T44" s="80">
        <v>0</v>
      </c>
      <c r="U44" s="80">
        <f t="shared" si="11"/>
        <v>1</v>
      </c>
      <c r="V44" s="206">
        <f t="shared" si="12"/>
        <v>150</v>
      </c>
      <c r="W44" s="64">
        <f t="shared" si="13"/>
        <v>0.15151515151515152</v>
      </c>
      <c r="X44" s="201">
        <v>4720.3389830508477</v>
      </c>
      <c r="Y44" s="201">
        <f t="shared" si="26"/>
        <v>337.16707021791768</v>
      </c>
      <c r="Z44" s="211">
        <f t="shared" si="14"/>
        <v>674.33414043583537</v>
      </c>
      <c r="AA44" s="63">
        <f t="shared" si="15"/>
        <v>0.26023173238646979</v>
      </c>
      <c r="AB44" s="81">
        <f t="shared" si="19"/>
        <v>0.49328431955511004</v>
      </c>
      <c r="AC44" s="160"/>
      <c r="AD44" s="195"/>
      <c r="AE44" s="196"/>
      <c r="AG44" s="197"/>
    </row>
    <row r="45" spans="2:33" ht="15.75" thickBot="1" x14ac:dyDescent="0.3">
      <c r="B45" s="108">
        <v>2</v>
      </c>
      <c r="C45" s="108">
        <f t="shared" si="22"/>
        <v>1</v>
      </c>
      <c r="D45" s="234"/>
      <c r="E45" s="109">
        <v>11</v>
      </c>
      <c r="F45" s="85" t="s">
        <v>4</v>
      </c>
      <c r="G45" s="86">
        <f t="shared" ref="G45" si="27">IF(F45="Supte",1,IF(F45="Supv",2,IF(F45="Operador",3,4)))</f>
        <v>4</v>
      </c>
      <c r="H45" s="87">
        <v>38</v>
      </c>
      <c r="I45" s="84" t="s">
        <v>12</v>
      </c>
      <c r="J45" s="86">
        <f t="shared" si="23"/>
        <v>1</v>
      </c>
      <c r="K45" s="86">
        <v>0</v>
      </c>
      <c r="L45" s="84" t="s">
        <v>15</v>
      </c>
      <c r="M45" s="86">
        <f t="shared" si="25"/>
        <v>2</v>
      </c>
      <c r="N45" s="88">
        <v>0.4</v>
      </c>
      <c r="O45" s="88">
        <v>0.4</v>
      </c>
      <c r="P45" s="88">
        <v>0</v>
      </c>
      <c r="Q45" s="88">
        <v>0</v>
      </c>
      <c r="R45" s="88">
        <f t="shared" si="10"/>
        <v>0</v>
      </c>
      <c r="S45" s="84" t="s">
        <v>29</v>
      </c>
      <c r="T45" s="89">
        <v>155</v>
      </c>
      <c r="U45" s="89">
        <f t="shared" si="11"/>
        <v>1</v>
      </c>
      <c r="V45" s="207">
        <f t="shared" si="12"/>
        <v>550</v>
      </c>
      <c r="W45" s="90">
        <f t="shared" si="13"/>
        <v>0.55555555555555558</v>
      </c>
      <c r="X45" s="212">
        <v>2500</v>
      </c>
      <c r="Y45" s="212">
        <f t="shared" si="26"/>
        <v>178.57142857142858</v>
      </c>
      <c r="Z45" s="213">
        <f t="shared" si="14"/>
        <v>357.14285714285717</v>
      </c>
      <c r="AA45" s="91">
        <f t="shared" si="15"/>
        <v>0.137824705662493</v>
      </c>
      <c r="AB45" s="92">
        <f t="shared" si="19"/>
        <v>0.38008212379825163</v>
      </c>
      <c r="AC45" s="160"/>
      <c r="AD45" s="195"/>
      <c r="AE45" s="196"/>
      <c r="AG45" s="197"/>
    </row>
    <row r="46" spans="2:33" x14ac:dyDescent="0.25">
      <c r="B46" s="110">
        <v>3</v>
      </c>
      <c r="C46" s="111">
        <f t="shared" ref="C46:C56" si="28">IF($R$85="A",1-$R$82,IF($R$85="B",1+$R$82,1))</f>
        <v>1</v>
      </c>
      <c r="D46" s="231"/>
      <c r="E46" s="71">
        <v>1</v>
      </c>
      <c r="F46" s="57" t="s">
        <v>1</v>
      </c>
      <c r="G46" s="72">
        <f>IF(F46="Supte",1,IF(F46="Supv ",2,IF(F46="Operador",3,4)))</f>
        <v>1</v>
      </c>
      <c r="H46" s="73">
        <v>39</v>
      </c>
      <c r="I46" s="71" t="s">
        <v>12</v>
      </c>
      <c r="J46" s="72">
        <f t="shared" si="23"/>
        <v>1</v>
      </c>
      <c r="K46" s="72">
        <v>0</v>
      </c>
      <c r="L46" s="71" t="s">
        <v>16</v>
      </c>
      <c r="M46" s="72">
        <f>IF(L46="Mecânico",1,IF(L46="Eletrônico",2,3))</f>
        <v>1</v>
      </c>
      <c r="N46" s="74">
        <v>8.3000000000000007</v>
      </c>
      <c r="O46" s="74">
        <v>2.1</v>
      </c>
      <c r="P46" s="74">
        <v>3.1</v>
      </c>
      <c r="Q46" s="74">
        <v>8.3000000000000007</v>
      </c>
      <c r="R46" s="74">
        <f t="shared" si="10"/>
        <v>1.3830798479087454</v>
      </c>
      <c r="S46" s="71" t="s">
        <v>28</v>
      </c>
      <c r="T46" s="75">
        <v>0</v>
      </c>
      <c r="U46" s="75">
        <f t="shared" si="11"/>
        <v>1</v>
      </c>
      <c r="V46" s="205">
        <f t="shared" si="12"/>
        <v>150</v>
      </c>
      <c r="W46" s="76">
        <f t="shared" si="13"/>
        <v>0.15151515151515152</v>
      </c>
      <c r="X46" s="209">
        <v>16847.457627118645</v>
      </c>
      <c r="Y46" s="209">
        <f>X46/14</f>
        <v>1203.3898305084747</v>
      </c>
      <c r="Z46" s="210">
        <f t="shared" si="14"/>
        <v>2406.7796610169494</v>
      </c>
      <c r="AA46" s="77">
        <f t="shared" si="15"/>
        <v>0.92879835544757994</v>
      </c>
      <c r="AB46" s="78">
        <f t="shared" si="19"/>
        <v>1.6632759099120527</v>
      </c>
      <c r="AC46" s="160"/>
      <c r="AD46" s="195"/>
      <c r="AE46" s="196"/>
      <c r="AG46" s="197"/>
    </row>
    <row r="47" spans="2:33" x14ac:dyDescent="0.25">
      <c r="B47" s="112">
        <v>3</v>
      </c>
      <c r="C47" s="112">
        <f t="shared" si="28"/>
        <v>1</v>
      </c>
      <c r="D47" s="232"/>
      <c r="E47" s="56">
        <v>2</v>
      </c>
      <c r="F47" s="66" t="s">
        <v>2</v>
      </c>
      <c r="G47" s="58">
        <f t="shared" ref="G47:G56" si="29">IF(F47="Supte",1,IF(F47="Supv ",2,IF(F47="Operador",3,4)))</f>
        <v>2</v>
      </c>
      <c r="H47" s="59">
        <v>40</v>
      </c>
      <c r="I47" s="56" t="s">
        <v>12</v>
      </c>
      <c r="J47" s="58">
        <f t="shared" si="23"/>
        <v>1</v>
      </c>
      <c r="K47" s="58">
        <v>0</v>
      </c>
      <c r="L47" s="56" t="s">
        <v>16</v>
      </c>
      <c r="M47" s="58">
        <f t="shared" ref="M47:M56" si="30">IF(L47="Mecânico",1,IF(L47="Eletrônico",2,3))</f>
        <v>1</v>
      </c>
      <c r="N47" s="60">
        <v>8.1</v>
      </c>
      <c r="O47" s="60">
        <v>3.5</v>
      </c>
      <c r="P47" s="60">
        <v>4</v>
      </c>
      <c r="Q47" s="60">
        <v>8.1</v>
      </c>
      <c r="R47" s="60">
        <f t="shared" si="10"/>
        <v>1.6492395437262359</v>
      </c>
      <c r="S47" s="56" t="s">
        <v>29</v>
      </c>
      <c r="T47" s="80">
        <v>155</v>
      </c>
      <c r="U47" s="80">
        <f t="shared" si="11"/>
        <v>1</v>
      </c>
      <c r="V47" s="206">
        <f t="shared" si="12"/>
        <v>550</v>
      </c>
      <c r="W47" s="64">
        <f t="shared" si="13"/>
        <v>0.55555555555555558</v>
      </c>
      <c r="X47" s="201">
        <v>12211.864406779661</v>
      </c>
      <c r="Y47" s="201">
        <f t="shared" ref="Y47:Y56" si="31">X47/14</f>
        <v>872.27602905569006</v>
      </c>
      <c r="Z47" s="211">
        <f t="shared" si="14"/>
        <v>1744.5520581113801</v>
      </c>
      <c r="AA47" s="63">
        <f t="shared" si="15"/>
        <v>0.67323864698187252</v>
      </c>
      <c r="AB47" s="81">
        <f t="shared" si="19"/>
        <v>1.3170565211071659</v>
      </c>
      <c r="AC47" s="160"/>
      <c r="AD47" s="195"/>
      <c r="AE47" s="196"/>
      <c r="AG47" s="197"/>
    </row>
    <row r="48" spans="2:33" x14ac:dyDescent="0.25">
      <c r="B48" s="112">
        <v>3</v>
      </c>
      <c r="C48" s="112">
        <f t="shared" si="28"/>
        <v>1</v>
      </c>
      <c r="D48" s="232"/>
      <c r="E48" s="71">
        <v>3</v>
      </c>
      <c r="F48" s="66" t="s">
        <v>2</v>
      </c>
      <c r="G48" s="58">
        <f t="shared" si="29"/>
        <v>2</v>
      </c>
      <c r="H48" s="59">
        <v>41</v>
      </c>
      <c r="I48" s="56" t="s">
        <v>12</v>
      </c>
      <c r="J48" s="58">
        <f t="shared" si="23"/>
        <v>1</v>
      </c>
      <c r="K48" s="58">
        <v>0</v>
      </c>
      <c r="L48" s="56" t="s">
        <v>15</v>
      </c>
      <c r="M48" s="58">
        <f t="shared" si="30"/>
        <v>2</v>
      </c>
      <c r="N48" s="60">
        <v>6.5</v>
      </c>
      <c r="O48" s="60">
        <v>2.7</v>
      </c>
      <c r="P48" s="60">
        <v>4</v>
      </c>
      <c r="Q48" s="60">
        <v>6.5</v>
      </c>
      <c r="R48" s="60">
        <f t="shared" si="10"/>
        <v>1.3830798479087454</v>
      </c>
      <c r="S48" s="56" t="s">
        <v>29</v>
      </c>
      <c r="T48" s="80">
        <v>155</v>
      </c>
      <c r="U48" s="80">
        <f t="shared" si="11"/>
        <v>1</v>
      </c>
      <c r="V48" s="206">
        <f t="shared" si="12"/>
        <v>550</v>
      </c>
      <c r="W48" s="64">
        <f t="shared" si="13"/>
        <v>0.55555555555555558</v>
      </c>
      <c r="X48" s="201">
        <v>11245.762711864407</v>
      </c>
      <c r="Y48" s="201">
        <f t="shared" si="31"/>
        <v>803.26876513317188</v>
      </c>
      <c r="Z48" s="211">
        <f t="shared" si="14"/>
        <v>1606.5375302663438</v>
      </c>
      <c r="AA48" s="63">
        <f t="shared" si="15"/>
        <v>0.6199775742851803</v>
      </c>
      <c r="AB48" s="81">
        <f t="shared" si="19"/>
        <v>1.2238496438879545</v>
      </c>
      <c r="AC48" s="160"/>
      <c r="AD48" s="195"/>
      <c r="AE48" s="196"/>
      <c r="AG48" s="197"/>
    </row>
    <row r="49" spans="2:33" x14ac:dyDescent="0.25">
      <c r="B49" s="112">
        <v>3</v>
      </c>
      <c r="C49" s="112">
        <f t="shared" si="28"/>
        <v>1</v>
      </c>
      <c r="D49" s="232"/>
      <c r="E49" s="56">
        <v>4</v>
      </c>
      <c r="F49" s="66" t="s">
        <v>2</v>
      </c>
      <c r="G49" s="58">
        <f t="shared" si="29"/>
        <v>2</v>
      </c>
      <c r="H49" s="59">
        <v>42</v>
      </c>
      <c r="I49" s="56" t="s">
        <v>12</v>
      </c>
      <c r="J49" s="58">
        <f t="shared" si="23"/>
        <v>1</v>
      </c>
      <c r="K49" s="58">
        <v>0</v>
      </c>
      <c r="L49" s="56" t="s">
        <v>16</v>
      </c>
      <c r="M49" s="58">
        <f t="shared" si="30"/>
        <v>1</v>
      </c>
      <c r="N49" s="60">
        <v>6</v>
      </c>
      <c r="O49" s="60">
        <v>1.8</v>
      </c>
      <c r="P49" s="60">
        <v>2.7</v>
      </c>
      <c r="Q49" s="60">
        <v>6</v>
      </c>
      <c r="R49" s="60">
        <f t="shared" si="10"/>
        <v>1.0836501901140683</v>
      </c>
      <c r="S49" s="56" t="s">
        <v>29</v>
      </c>
      <c r="T49" s="80">
        <v>155</v>
      </c>
      <c r="U49" s="80">
        <f t="shared" si="11"/>
        <v>1</v>
      </c>
      <c r="V49" s="206">
        <f t="shared" si="12"/>
        <v>550</v>
      </c>
      <c r="W49" s="64">
        <f t="shared" si="13"/>
        <v>0.55555555555555558</v>
      </c>
      <c r="X49" s="201">
        <v>10330.508474576271</v>
      </c>
      <c r="Y49" s="201">
        <f t="shared" si="31"/>
        <v>737.89346246973366</v>
      </c>
      <c r="Z49" s="211">
        <f t="shared" si="14"/>
        <v>1475.7869249394673</v>
      </c>
      <c r="AA49" s="63">
        <f t="shared" si="15"/>
        <v>0.56951971594094553</v>
      </c>
      <c r="AB49" s="81">
        <f t="shared" si="19"/>
        <v>1.1355483917855436</v>
      </c>
      <c r="AC49" s="160"/>
      <c r="AD49" s="195"/>
      <c r="AE49" s="196"/>
      <c r="AG49" s="197"/>
    </row>
    <row r="50" spans="2:33" x14ac:dyDescent="0.25">
      <c r="B50" s="112">
        <v>3</v>
      </c>
      <c r="C50" s="112">
        <f t="shared" si="28"/>
        <v>1</v>
      </c>
      <c r="D50" s="232"/>
      <c r="E50" s="71">
        <v>5</v>
      </c>
      <c r="F50" s="66" t="s">
        <v>3</v>
      </c>
      <c r="G50" s="58">
        <f t="shared" si="29"/>
        <v>3</v>
      </c>
      <c r="H50" s="59">
        <v>43</v>
      </c>
      <c r="I50" s="56" t="s">
        <v>12</v>
      </c>
      <c r="J50" s="58">
        <f t="shared" si="23"/>
        <v>1</v>
      </c>
      <c r="K50" s="58">
        <v>0</v>
      </c>
      <c r="L50" s="56" t="s">
        <v>16</v>
      </c>
      <c r="M50" s="58">
        <f t="shared" si="30"/>
        <v>1</v>
      </c>
      <c r="N50" s="60">
        <v>3.7</v>
      </c>
      <c r="O50" s="60">
        <v>2.5</v>
      </c>
      <c r="P50" s="60">
        <v>4</v>
      </c>
      <c r="Q50" s="60">
        <v>3.7</v>
      </c>
      <c r="R50" s="60">
        <f t="shared" si="10"/>
        <v>1.088403041825095</v>
      </c>
      <c r="S50" s="71" t="s">
        <v>28</v>
      </c>
      <c r="T50" s="75">
        <v>0</v>
      </c>
      <c r="U50" s="80">
        <f t="shared" ref="U50:U78" si="32">IF(T50&lt;=$O$88,1,2)</f>
        <v>1</v>
      </c>
      <c r="V50" s="206">
        <f t="shared" si="12"/>
        <v>150</v>
      </c>
      <c r="W50" s="64">
        <f t="shared" si="13"/>
        <v>0.15151515151515152</v>
      </c>
      <c r="X50" s="201">
        <v>6042.3728813559319</v>
      </c>
      <c r="Y50" s="201">
        <f t="shared" si="31"/>
        <v>431.59806295399511</v>
      </c>
      <c r="Z50" s="211">
        <f t="shared" si="14"/>
        <v>863.19612590799022</v>
      </c>
      <c r="AA50" s="63">
        <f t="shared" si="15"/>
        <v>0.33311530555036434</v>
      </c>
      <c r="AB50" s="81">
        <f t="shared" si="19"/>
        <v>0.62083057259192542</v>
      </c>
      <c r="AC50" s="160"/>
      <c r="AD50" s="195"/>
      <c r="AE50" s="196"/>
      <c r="AG50" s="197"/>
    </row>
    <row r="51" spans="2:33" x14ac:dyDescent="0.25">
      <c r="B51" s="112">
        <v>3</v>
      </c>
      <c r="C51" s="112">
        <f t="shared" si="28"/>
        <v>1</v>
      </c>
      <c r="D51" s="232"/>
      <c r="E51" s="56">
        <v>6</v>
      </c>
      <c r="F51" s="66" t="s">
        <v>3</v>
      </c>
      <c r="G51" s="58">
        <f t="shared" si="29"/>
        <v>3</v>
      </c>
      <c r="H51" s="59">
        <v>44</v>
      </c>
      <c r="I51" s="56" t="s">
        <v>12</v>
      </c>
      <c r="J51" s="58">
        <f t="shared" si="23"/>
        <v>1</v>
      </c>
      <c r="K51" s="58">
        <v>0</v>
      </c>
      <c r="L51" s="56" t="s">
        <v>15</v>
      </c>
      <c r="M51" s="58">
        <f t="shared" si="30"/>
        <v>2</v>
      </c>
      <c r="N51" s="60">
        <v>3.9</v>
      </c>
      <c r="O51" s="60">
        <v>2.9</v>
      </c>
      <c r="P51" s="60">
        <v>1.3</v>
      </c>
      <c r="Q51" s="60">
        <v>3.9</v>
      </c>
      <c r="R51" s="60">
        <f t="shared" si="10"/>
        <v>0.90779467680608372</v>
      </c>
      <c r="S51" s="56" t="s">
        <v>31</v>
      </c>
      <c r="T51" s="61">
        <v>511</v>
      </c>
      <c r="U51" s="80">
        <f t="shared" si="32"/>
        <v>2</v>
      </c>
      <c r="V51" s="206">
        <f t="shared" si="12"/>
        <v>900</v>
      </c>
      <c r="W51" s="64">
        <f t="shared" si="13"/>
        <v>0.90909090909090906</v>
      </c>
      <c r="X51" s="201">
        <v>6449.1525423728817</v>
      </c>
      <c r="Y51" s="201">
        <f t="shared" si="31"/>
        <v>460.65375302663443</v>
      </c>
      <c r="Z51" s="211">
        <f t="shared" si="14"/>
        <v>921.30750605326887</v>
      </c>
      <c r="AA51" s="63">
        <f t="shared" si="15"/>
        <v>0.35554102037002427</v>
      </c>
      <c r="AB51" s="81">
        <f t="shared" si="19"/>
        <v>0.84946951292026973</v>
      </c>
      <c r="AC51" s="160"/>
      <c r="AD51" s="195"/>
      <c r="AE51" s="196"/>
      <c r="AG51" s="197"/>
    </row>
    <row r="52" spans="2:33" x14ac:dyDescent="0.25">
      <c r="B52" s="112">
        <v>3</v>
      </c>
      <c r="C52" s="112">
        <f t="shared" si="28"/>
        <v>1</v>
      </c>
      <c r="D52" s="232"/>
      <c r="E52" s="71">
        <v>7</v>
      </c>
      <c r="F52" s="66" t="s">
        <v>3</v>
      </c>
      <c r="G52" s="58">
        <f t="shared" si="29"/>
        <v>3</v>
      </c>
      <c r="H52" s="59">
        <v>45</v>
      </c>
      <c r="I52" s="56" t="s">
        <v>12</v>
      </c>
      <c r="J52" s="58">
        <f t="shared" si="23"/>
        <v>1</v>
      </c>
      <c r="K52" s="58">
        <v>0</v>
      </c>
      <c r="L52" s="56" t="s">
        <v>15</v>
      </c>
      <c r="M52" s="58">
        <f t="shared" si="30"/>
        <v>2</v>
      </c>
      <c r="N52" s="60">
        <v>3.7</v>
      </c>
      <c r="O52" s="60">
        <v>2.7</v>
      </c>
      <c r="P52" s="60">
        <v>1.9</v>
      </c>
      <c r="Q52" s="60">
        <v>3.7</v>
      </c>
      <c r="R52" s="60">
        <f t="shared" si="10"/>
        <v>0.91730038022813698</v>
      </c>
      <c r="S52" s="56" t="s">
        <v>32</v>
      </c>
      <c r="T52" s="61">
        <v>843</v>
      </c>
      <c r="U52" s="80">
        <f t="shared" si="32"/>
        <v>2</v>
      </c>
      <c r="V52" s="206">
        <f t="shared" si="12"/>
        <v>990</v>
      </c>
      <c r="W52" s="64">
        <f t="shared" si="13"/>
        <v>1</v>
      </c>
      <c r="X52" s="201">
        <v>6245.7627118644068</v>
      </c>
      <c r="Y52" s="201">
        <f t="shared" si="31"/>
        <v>446.12590799031477</v>
      </c>
      <c r="Z52" s="211">
        <f t="shared" si="14"/>
        <v>892.25181598062954</v>
      </c>
      <c r="AA52" s="63">
        <f t="shared" si="15"/>
        <v>0.34432816296019431</v>
      </c>
      <c r="AB52" s="81">
        <f t="shared" si="19"/>
        <v>0.85257428518034006</v>
      </c>
      <c r="AC52" s="160"/>
      <c r="AD52" s="195"/>
      <c r="AE52" s="196"/>
      <c r="AG52" s="197"/>
    </row>
    <row r="53" spans="2:33" x14ac:dyDescent="0.25">
      <c r="B53" s="112">
        <v>3</v>
      </c>
      <c r="C53" s="112">
        <f t="shared" si="28"/>
        <v>1</v>
      </c>
      <c r="D53" s="232"/>
      <c r="E53" s="56">
        <v>8</v>
      </c>
      <c r="F53" s="66" t="s">
        <v>3</v>
      </c>
      <c r="G53" s="58">
        <f t="shared" si="29"/>
        <v>3</v>
      </c>
      <c r="H53" s="59">
        <v>46</v>
      </c>
      <c r="I53" s="56" t="s">
        <v>12</v>
      </c>
      <c r="J53" s="58">
        <f t="shared" si="23"/>
        <v>1</v>
      </c>
      <c r="K53" s="58">
        <v>0</v>
      </c>
      <c r="L53" s="56" t="s">
        <v>16</v>
      </c>
      <c r="M53" s="58">
        <f t="shared" si="30"/>
        <v>1</v>
      </c>
      <c r="N53" s="60">
        <v>2.8</v>
      </c>
      <c r="O53" s="60">
        <v>2.2000000000000002</v>
      </c>
      <c r="P53" s="60">
        <v>4</v>
      </c>
      <c r="Q53" s="60">
        <v>2.8</v>
      </c>
      <c r="R53" s="60">
        <f t="shared" si="10"/>
        <v>0.96007604562737647</v>
      </c>
      <c r="S53" s="71" t="s">
        <v>28</v>
      </c>
      <c r="T53" s="75">
        <v>0</v>
      </c>
      <c r="U53" s="80">
        <f t="shared" si="32"/>
        <v>1</v>
      </c>
      <c r="V53" s="206">
        <f t="shared" si="12"/>
        <v>150</v>
      </c>
      <c r="W53" s="64">
        <f t="shared" si="13"/>
        <v>0.15151515151515152</v>
      </c>
      <c r="X53" s="201">
        <v>5737.2881355932204</v>
      </c>
      <c r="Y53" s="201">
        <f t="shared" si="31"/>
        <v>409.80629539951576</v>
      </c>
      <c r="Z53" s="211">
        <f t="shared" si="14"/>
        <v>819.61259079903152</v>
      </c>
      <c r="AA53" s="63">
        <f t="shared" si="15"/>
        <v>0.31629601943561952</v>
      </c>
      <c r="AB53" s="81">
        <f t="shared" si="19"/>
        <v>0.59139682189112197</v>
      </c>
      <c r="AC53" s="160"/>
      <c r="AD53" s="195"/>
      <c r="AE53" s="196"/>
      <c r="AG53" s="197"/>
    </row>
    <row r="54" spans="2:33" x14ac:dyDescent="0.25">
      <c r="B54" s="112">
        <v>3</v>
      </c>
      <c r="C54" s="112">
        <f t="shared" si="28"/>
        <v>1</v>
      </c>
      <c r="D54" s="232"/>
      <c r="E54" s="71">
        <v>9</v>
      </c>
      <c r="F54" s="66" t="s">
        <v>3</v>
      </c>
      <c r="G54" s="58">
        <f t="shared" si="29"/>
        <v>3</v>
      </c>
      <c r="H54" s="59">
        <v>47</v>
      </c>
      <c r="I54" s="56" t="s">
        <v>12</v>
      </c>
      <c r="J54" s="58">
        <f t="shared" si="23"/>
        <v>1</v>
      </c>
      <c r="K54" s="58">
        <v>0</v>
      </c>
      <c r="L54" s="56" t="s">
        <v>14</v>
      </c>
      <c r="M54" s="58">
        <f t="shared" si="30"/>
        <v>3</v>
      </c>
      <c r="N54" s="60">
        <v>4</v>
      </c>
      <c r="O54" s="60">
        <v>1.9</v>
      </c>
      <c r="P54" s="60">
        <v>2.7</v>
      </c>
      <c r="Q54" s="60">
        <v>4</v>
      </c>
      <c r="R54" s="60">
        <f t="shared" si="10"/>
        <v>0.90779467680608372</v>
      </c>
      <c r="S54" s="56" t="s">
        <v>29</v>
      </c>
      <c r="T54" s="80">
        <v>155</v>
      </c>
      <c r="U54" s="80">
        <f t="shared" si="32"/>
        <v>1</v>
      </c>
      <c r="V54" s="206">
        <f t="shared" si="12"/>
        <v>550</v>
      </c>
      <c r="W54" s="64">
        <f t="shared" si="13"/>
        <v>0.55555555555555558</v>
      </c>
      <c r="X54" s="201">
        <v>5432.2033898305081</v>
      </c>
      <c r="Y54" s="201">
        <f t="shared" si="31"/>
        <v>388.0145278450363</v>
      </c>
      <c r="Z54" s="211">
        <f t="shared" si="14"/>
        <v>776.0290556900726</v>
      </c>
      <c r="AA54" s="63">
        <f t="shared" si="15"/>
        <v>0.29947673332087454</v>
      </c>
      <c r="AB54" s="81">
        <f t="shared" si="19"/>
        <v>0.66297317220041929</v>
      </c>
      <c r="AC54" s="160"/>
      <c r="AD54" s="195"/>
      <c r="AE54" s="196"/>
      <c r="AG54" s="197"/>
    </row>
    <row r="55" spans="2:33" x14ac:dyDescent="0.25">
      <c r="B55" s="112">
        <v>3</v>
      </c>
      <c r="C55" s="112">
        <f t="shared" si="28"/>
        <v>1</v>
      </c>
      <c r="D55" s="233"/>
      <c r="E55" s="56">
        <v>10</v>
      </c>
      <c r="F55" s="66" t="s">
        <v>3</v>
      </c>
      <c r="G55" s="58">
        <f t="shared" si="29"/>
        <v>3</v>
      </c>
      <c r="H55" s="59">
        <v>48</v>
      </c>
      <c r="I55" s="56" t="s">
        <v>12</v>
      </c>
      <c r="J55" s="58">
        <f t="shared" si="23"/>
        <v>1</v>
      </c>
      <c r="K55" s="58">
        <v>0</v>
      </c>
      <c r="L55" s="56" t="s">
        <v>15</v>
      </c>
      <c r="M55" s="58">
        <f t="shared" si="30"/>
        <v>2</v>
      </c>
      <c r="N55" s="60">
        <v>3</v>
      </c>
      <c r="O55" s="60">
        <v>1.9</v>
      </c>
      <c r="P55" s="60">
        <v>4</v>
      </c>
      <c r="Q55" s="60">
        <v>3</v>
      </c>
      <c r="R55" s="60">
        <f t="shared" si="10"/>
        <v>0.93631178707224338</v>
      </c>
      <c r="S55" s="56" t="s">
        <v>29</v>
      </c>
      <c r="T55" s="80">
        <v>155</v>
      </c>
      <c r="U55" s="80">
        <f t="shared" si="32"/>
        <v>1</v>
      </c>
      <c r="V55" s="206">
        <f t="shared" si="12"/>
        <v>550</v>
      </c>
      <c r="W55" s="64">
        <f t="shared" si="13"/>
        <v>0.55555555555555558</v>
      </c>
      <c r="X55" s="201">
        <v>5432.2033898305081</v>
      </c>
      <c r="Y55" s="201">
        <f t="shared" si="31"/>
        <v>388.0145278450363</v>
      </c>
      <c r="Z55" s="211">
        <f t="shared" si="14"/>
        <v>776.0290556900726</v>
      </c>
      <c r="AA55" s="63">
        <f t="shared" si="15"/>
        <v>0.29947673332087454</v>
      </c>
      <c r="AB55" s="81">
        <f t="shared" si="19"/>
        <v>0.66297317220041929</v>
      </c>
      <c r="AC55" s="160"/>
      <c r="AD55" s="195"/>
      <c r="AE55" s="196"/>
      <c r="AG55" s="197"/>
    </row>
    <row r="56" spans="2:33" ht="15.75" thickBot="1" x14ac:dyDescent="0.3">
      <c r="B56" s="113">
        <v>3</v>
      </c>
      <c r="C56" s="113">
        <f t="shared" si="28"/>
        <v>1</v>
      </c>
      <c r="D56" s="234"/>
      <c r="E56" s="109">
        <v>11</v>
      </c>
      <c r="F56" s="85" t="s">
        <v>3</v>
      </c>
      <c r="G56" s="86">
        <f t="shared" si="29"/>
        <v>3</v>
      </c>
      <c r="H56" s="87">
        <v>49</v>
      </c>
      <c r="I56" s="114" t="s">
        <v>11</v>
      </c>
      <c r="J56" s="86">
        <f t="shared" si="23"/>
        <v>0</v>
      </c>
      <c r="K56" s="86">
        <v>0</v>
      </c>
      <c r="L56" s="84" t="s">
        <v>16</v>
      </c>
      <c r="M56" s="86">
        <f t="shared" si="30"/>
        <v>1</v>
      </c>
      <c r="N56" s="88">
        <v>2.9</v>
      </c>
      <c r="O56" s="88">
        <v>2.1</v>
      </c>
      <c r="P56" s="88">
        <v>1.9</v>
      </c>
      <c r="Q56" s="88">
        <v>2.9</v>
      </c>
      <c r="R56" s="88">
        <f t="shared" si="10"/>
        <v>0.75570342205323204</v>
      </c>
      <c r="S56" s="84" t="s">
        <v>29</v>
      </c>
      <c r="T56" s="89">
        <v>155</v>
      </c>
      <c r="U56" s="89">
        <f t="shared" si="32"/>
        <v>1</v>
      </c>
      <c r="V56" s="207">
        <f t="shared" si="12"/>
        <v>550</v>
      </c>
      <c r="W56" s="90">
        <f t="shared" si="13"/>
        <v>0.55555555555555558</v>
      </c>
      <c r="X56" s="212">
        <v>5635.593220338983</v>
      </c>
      <c r="Y56" s="212">
        <f t="shared" si="31"/>
        <v>402.5423728813559</v>
      </c>
      <c r="Z56" s="213">
        <f t="shared" si="14"/>
        <v>805.0847457627118</v>
      </c>
      <c r="AA56" s="91">
        <f t="shared" si="15"/>
        <v>0.31068959073070451</v>
      </c>
      <c r="AB56" s="92">
        <f t="shared" si="19"/>
        <v>0.68259567266762189</v>
      </c>
      <c r="AC56" s="160"/>
      <c r="AD56" s="195"/>
      <c r="AE56" s="196"/>
      <c r="AG56" s="197"/>
    </row>
    <row r="57" spans="2:33" x14ac:dyDescent="0.25">
      <c r="B57" s="115">
        <v>4</v>
      </c>
      <c r="C57" s="115">
        <f t="shared" ref="C57:C65" si="33">IF($R$86="A",1-$R$82,IF($R$86="B",1+$R$82,1))</f>
        <v>1</v>
      </c>
      <c r="D57" s="231"/>
      <c r="E57" s="71">
        <v>1</v>
      </c>
      <c r="F57" s="57" t="s">
        <v>1</v>
      </c>
      <c r="G57" s="72">
        <f>IF(F57="Supte",1,IF(F57="Supv ",2,IF(F57="Operador",3,4)))</f>
        <v>1</v>
      </c>
      <c r="H57" s="73">
        <v>50</v>
      </c>
      <c r="I57" s="71" t="s">
        <v>12</v>
      </c>
      <c r="J57" s="72">
        <f t="shared" si="23"/>
        <v>1</v>
      </c>
      <c r="K57" s="72">
        <v>0</v>
      </c>
      <c r="L57" s="71" t="s">
        <v>16</v>
      </c>
      <c r="M57" s="72">
        <f>IF(L57="Mecânico",1,IF(L57="Eletrônico",2,3))</f>
        <v>1</v>
      </c>
      <c r="N57" s="74">
        <v>7.2</v>
      </c>
      <c r="O57" s="74">
        <v>1.5</v>
      </c>
      <c r="P57" s="74">
        <v>1</v>
      </c>
      <c r="Q57" s="74">
        <v>7.2</v>
      </c>
      <c r="R57" s="74">
        <f t="shared" si="10"/>
        <v>0.99334600760456271</v>
      </c>
      <c r="S57" s="71" t="s">
        <v>30</v>
      </c>
      <c r="T57" s="75">
        <v>354</v>
      </c>
      <c r="U57" s="75">
        <f t="shared" si="32"/>
        <v>2</v>
      </c>
      <c r="V57" s="205">
        <f t="shared" si="12"/>
        <v>880</v>
      </c>
      <c r="W57" s="76">
        <f t="shared" si="13"/>
        <v>0.88888888888888884</v>
      </c>
      <c r="X57" s="209">
        <v>16033.898305084746</v>
      </c>
      <c r="Y57" s="209">
        <f>X57/14</f>
        <v>1145.278450363196</v>
      </c>
      <c r="Z57" s="210">
        <f t="shared" si="14"/>
        <v>2290.5569007263921</v>
      </c>
      <c r="AA57" s="77">
        <f t="shared" si="15"/>
        <v>0.88394692580825995</v>
      </c>
      <c r="AB57" s="78">
        <f t="shared" si="19"/>
        <v>1.7691293423866772</v>
      </c>
      <c r="AC57" s="160"/>
      <c r="AD57" s="195"/>
      <c r="AE57" s="196"/>
      <c r="AG57" s="197"/>
    </row>
    <row r="58" spans="2:33" x14ac:dyDescent="0.25">
      <c r="B58" s="116">
        <v>4</v>
      </c>
      <c r="C58" s="116">
        <f t="shared" si="33"/>
        <v>1</v>
      </c>
      <c r="D58" s="232"/>
      <c r="E58" s="56">
        <v>2</v>
      </c>
      <c r="F58" s="66" t="s">
        <v>2</v>
      </c>
      <c r="G58" s="58">
        <f t="shared" ref="G58:G64" si="34">IF(F58="Supte",1,IF(F58="Supv ",2,IF(F58="Operador",3,4)))</f>
        <v>2</v>
      </c>
      <c r="H58" s="59">
        <v>51</v>
      </c>
      <c r="I58" s="56" t="s">
        <v>12</v>
      </c>
      <c r="J58" s="58">
        <f t="shared" si="23"/>
        <v>1</v>
      </c>
      <c r="K58" s="58">
        <v>0</v>
      </c>
      <c r="L58" s="56" t="s">
        <v>16</v>
      </c>
      <c r="M58" s="58">
        <f t="shared" ref="M58:M65" si="35">IF(L58="Mecânico",1,IF(L58="Eletrônico",2,3))</f>
        <v>1</v>
      </c>
      <c r="N58" s="60">
        <v>5.3</v>
      </c>
      <c r="O58" s="60">
        <v>2.5</v>
      </c>
      <c r="P58" s="60">
        <v>1</v>
      </c>
      <c r="Q58" s="60">
        <v>5.3</v>
      </c>
      <c r="R58" s="60">
        <f t="shared" si="10"/>
        <v>0.9553231939163499</v>
      </c>
      <c r="S58" s="56" t="s">
        <v>29</v>
      </c>
      <c r="T58" s="80">
        <v>155</v>
      </c>
      <c r="U58" s="80">
        <f t="shared" si="32"/>
        <v>1</v>
      </c>
      <c r="V58" s="206">
        <f t="shared" si="12"/>
        <v>550</v>
      </c>
      <c r="W58" s="64">
        <f t="shared" si="13"/>
        <v>0.55555555555555558</v>
      </c>
      <c r="X58" s="201">
        <v>11042.372881355932</v>
      </c>
      <c r="Y58" s="201">
        <f t="shared" ref="Y58:Y65" si="36">X58/14</f>
        <v>788.74092009685228</v>
      </c>
      <c r="Z58" s="211">
        <f t="shared" si="14"/>
        <v>1577.4818401937046</v>
      </c>
      <c r="AA58" s="63">
        <f t="shared" si="15"/>
        <v>0.60876471687535028</v>
      </c>
      <c r="AB58" s="81">
        <f t="shared" si="19"/>
        <v>1.2042271434207519</v>
      </c>
      <c r="AC58" s="160"/>
      <c r="AD58" s="195"/>
      <c r="AE58" s="196"/>
      <c r="AG58" s="197"/>
    </row>
    <row r="59" spans="2:33" x14ac:dyDescent="0.25">
      <c r="B59" s="116">
        <v>4</v>
      </c>
      <c r="C59" s="116">
        <f t="shared" si="33"/>
        <v>1</v>
      </c>
      <c r="D59" s="232"/>
      <c r="E59" s="71">
        <v>3</v>
      </c>
      <c r="F59" s="66" t="s">
        <v>2</v>
      </c>
      <c r="G59" s="58">
        <f t="shared" si="34"/>
        <v>2</v>
      </c>
      <c r="H59" s="59">
        <v>52</v>
      </c>
      <c r="I59" s="56" t="s">
        <v>12</v>
      </c>
      <c r="J59" s="58">
        <f t="shared" si="23"/>
        <v>1</v>
      </c>
      <c r="K59" s="58">
        <v>0</v>
      </c>
      <c r="L59" s="56" t="s">
        <v>16</v>
      </c>
      <c r="M59" s="58">
        <f t="shared" si="35"/>
        <v>1</v>
      </c>
      <c r="N59" s="60">
        <v>4.9000000000000004</v>
      </c>
      <c r="O59" s="60">
        <v>2.1</v>
      </c>
      <c r="P59" s="60">
        <v>1</v>
      </c>
      <c r="Q59" s="60">
        <v>4.9000000000000004</v>
      </c>
      <c r="R59" s="60">
        <f t="shared" si="10"/>
        <v>0.86026615969581754</v>
      </c>
      <c r="S59" s="56" t="s">
        <v>28</v>
      </c>
      <c r="T59" s="80">
        <v>0</v>
      </c>
      <c r="U59" s="80">
        <f t="shared" si="32"/>
        <v>1</v>
      </c>
      <c r="V59" s="206">
        <f t="shared" si="12"/>
        <v>150</v>
      </c>
      <c r="W59" s="64">
        <f t="shared" si="13"/>
        <v>0.15151515151515152</v>
      </c>
      <c r="X59" s="201">
        <v>10635.593220338982</v>
      </c>
      <c r="Y59" s="201">
        <f t="shared" si="36"/>
        <v>759.68523002421296</v>
      </c>
      <c r="Z59" s="211">
        <f t="shared" si="14"/>
        <v>1519.3704600484259</v>
      </c>
      <c r="AA59" s="63">
        <f t="shared" si="15"/>
        <v>0.58633900205569034</v>
      </c>
      <c r="AB59" s="81">
        <f t="shared" si="19"/>
        <v>1.0639720414762459</v>
      </c>
      <c r="AC59" s="160"/>
      <c r="AD59" s="195"/>
      <c r="AE59" s="196"/>
      <c r="AG59" s="197"/>
    </row>
    <row r="60" spans="2:33" x14ac:dyDescent="0.25">
      <c r="B60" s="116">
        <v>4</v>
      </c>
      <c r="C60" s="116">
        <f t="shared" si="33"/>
        <v>1</v>
      </c>
      <c r="D60" s="232"/>
      <c r="E60" s="56">
        <v>4</v>
      </c>
      <c r="F60" s="66" t="s">
        <v>3</v>
      </c>
      <c r="G60" s="58">
        <f t="shared" si="34"/>
        <v>3</v>
      </c>
      <c r="H60" s="59">
        <v>53</v>
      </c>
      <c r="I60" s="56" t="s">
        <v>12</v>
      </c>
      <c r="J60" s="58">
        <f t="shared" si="23"/>
        <v>1</v>
      </c>
      <c r="K60" s="58">
        <v>0</v>
      </c>
      <c r="L60" s="56" t="s">
        <v>16</v>
      </c>
      <c r="M60" s="58">
        <f t="shared" si="35"/>
        <v>1</v>
      </c>
      <c r="N60" s="60">
        <v>3.1</v>
      </c>
      <c r="O60" s="60">
        <v>2.5</v>
      </c>
      <c r="P60" s="60">
        <v>0.6</v>
      </c>
      <c r="Q60" s="60">
        <v>3.1</v>
      </c>
      <c r="R60" s="60">
        <f t="shared" si="10"/>
        <v>0.70817490494296575</v>
      </c>
      <c r="S60" s="56" t="s">
        <v>33</v>
      </c>
      <c r="T60" s="80">
        <v>1103</v>
      </c>
      <c r="U60" s="80">
        <f t="shared" si="32"/>
        <v>2</v>
      </c>
      <c r="V60" s="206">
        <f t="shared" si="12"/>
        <v>850</v>
      </c>
      <c r="W60" s="64">
        <f t="shared" si="13"/>
        <v>0.85858585858585856</v>
      </c>
      <c r="X60" s="201">
        <v>6042.3728813559319</v>
      </c>
      <c r="Y60" s="201">
        <f t="shared" si="36"/>
        <v>431.59806295399511</v>
      </c>
      <c r="Z60" s="211">
        <f t="shared" si="14"/>
        <v>863.19612590799022</v>
      </c>
      <c r="AA60" s="63">
        <f t="shared" si="15"/>
        <v>0.33311530555036434</v>
      </c>
      <c r="AB60" s="81">
        <f t="shared" si="19"/>
        <v>0.79759824935960222</v>
      </c>
      <c r="AC60" s="160"/>
      <c r="AD60" s="195"/>
      <c r="AE60" s="196"/>
      <c r="AG60" s="197"/>
    </row>
    <row r="61" spans="2:33" x14ac:dyDescent="0.25">
      <c r="B61" s="116">
        <v>4</v>
      </c>
      <c r="C61" s="116">
        <f t="shared" si="33"/>
        <v>1</v>
      </c>
      <c r="D61" s="232"/>
      <c r="E61" s="71">
        <v>5</v>
      </c>
      <c r="F61" s="66" t="s">
        <v>3</v>
      </c>
      <c r="G61" s="58">
        <f t="shared" si="34"/>
        <v>3</v>
      </c>
      <c r="H61" s="59">
        <v>54</v>
      </c>
      <c r="I61" s="56" t="s">
        <v>12</v>
      </c>
      <c r="J61" s="58">
        <f t="shared" si="23"/>
        <v>1</v>
      </c>
      <c r="K61" s="58">
        <v>0</v>
      </c>
      <c r="L61" s="56" t="s">
        <v>15</v>
      </c>
      <c r="M61" s="58">
        <f t="shared" si="35"/>
        <v>2</v>
      </c>
      <c r="N61" s="60">
        <v>3.3</v>
      </c>
      <c r="O61" s="60">
        <v>2.5</v>
      </c>
      <c r="P61" s="60">
        <v>1</v>
      </c>
      <c r="Q61" s="60">
        <v>3.3</v>
      </c>
      <c r="R61" s="60">
        <f t="shared" si="10"/>
        <v>0.7652091254752853</v>
      </c>
      <c r="S61" s="56" t="s">
        <v>29</v>
      </c>
      <c r="T61" s="80">
        <v>155</v>
      </c>
      <c r="U61" s="80">
        <f t="shared" si="32"/>
        <v>1</v>
      </c>
      <c r="V61" s="206">
        <f t="shared" si="12"/>
        <v>550</v>
      </c>
      <c r="W61" s="64">
        <f t="shared" si="13"/>
        <v>0.55555555555555558</v>
      </c>
      <c r="X61" s="201">
        <v>6042.3728813559319</v>
      </c>
      <c r="Y61" s="201">
        <f t="shared" si="36"/>
        <v>431.59806295399511</v>
      </c>
      <c r="Z61" s="211">
        <f t="shared" si="14"/>
        <v>863.19612590799022</v>
      </c>
      <c r="AA61" s="63">
        <f t="shared" si="15"/>
        <v>0.33311530555036434</v>
      </c>
      <c r="AB61" s="81">
        <f t="shared" si="19"/>
        <v>0.72184067360202642</v>
      </c>
      <c r="AC61" s="160"/>
      <c r="AD61" s="195"/>
      <c r="AE61" s="196"/>
      <c r="AG61" s="197"/>
    </row>
    <row r="62" spans="2:33" x14ac:dyDescent="0.25">
      <c r="B62" s="116">
        <v>4</v>
      </c>
      <c r="C62" s="116">
        <f t="shared" si="33"/>
        <v>1</v>
      </c>
      <c r="D62" s="232"/>
      <c r="E62" s="56">
        <v>6</v>
      </c>
      <c r="F62" s="66" t="s">
        <v>3</v>
      </c>
      <c r="G62" s="58">
        <f t="shared" si="34"/>
        <v>3</v>
      </c>
      <c r="H62" s="59">
        <v>55</v>
      </c>
      <c r="I62" s="82" t="s">
        <v>13</v>
      </c>
      <c r="J62" s="58">
        <f t="shared" si="23"/>
        <v>0</v>
      </c>
      <c r="K62" s="58">
        <v>0</v>
      </c>
      <c r="L62" s="56" t="s">
        <v>14</v>
      </c>
      <c r="M62" s="58">
        <f t="shared" si="35"/>
        <v>3</v>
      </c>
      <c r="N62" s="60">
        <v>2.8</v>
      </c>
      <c r="O62" s="60">
        <v>1.8</v>
      </c>
      <c r="P62" s="60">
        <v>0.8</v>
      </c>
      <c r="Q62" s="60">
        <v>2.8</v>
      </c>
      <c r="R62" s="60">
        <f t="shared" si="10"/>
        <v>0.59885931558935357</v>
      </c>
      <c r="S62" s="56" t="s">
        <v>28</v>
      </c>
      <c r="T62" s="80">
        <v>0</v>
      </c>
      <c r="U62" s="80">
        <f t="shared" si="32"/>
        <v>1</v>
      </c>
      <c r="V62" s="206">
        <f t="shared" si="12"/>
        <v>150</v>
      </c>
      <c r="W62" s="64">
        <f t="shared" si="13"/>
        <v>0.15151515151515152</v>
      </c>
      <c r="X62" s="201">
        <v>5330.5084745762706</v>
      </c>
      <c r="Y62" s="201">
        <f t="shared" si="36"/>
        <v>380.7506053268765</v>
      </c>
      <c r="Z62" s="211">
        <f t="shared" si="14"/>
        <v>761.50121065375299</v>
      </c>
      <c r="AA62" s="63">
        <f t="shared" si="15"/>
        <v>0.29387030461595959</v>
      </c>
      <c r="AB62" s="81">
        <f t="shared" si="19"/>
        <v>0.55215182095671711</v>
      </c>
      <c r="AC62" s="160"/>
      <c r="AD62" s="195"/>
      <c r="AE62" s="196"/>
      <c r="AG62" s="197"/>
    </row>
    <row r="63" spans="2:33" x14ac:dyDescent="0.25">
      <c r="B63" s="116">
        <v>4</v>
      </c>
      <c r="C63" s="116">
        <f t="shared" si="33"/>
        <v>1</v>
      </c>
      <c r="D63" s="232"/>
      <c r="E63" s="71">
        <v>7</v>
      </c>
      <c r="F63" s="66" t="s">
        <v>3</v>
      </c>
      <c r="G63" s="58">
        <f t="shared" si="34"/>
        <v>3</v>
      </c>
      <c r="H63" s="59">
        <v>56</v>
      </c>
      <c r="I63" s="82" t="s">
        <v>13</v>
      </c>
      <c r="J63" s="58">
        <f t="shared" si="23"/>
        <v>0</v>
      </c>
      <c r="K63" s="58">
        <v>0</v>
      </c>
      <c r="L63" s="56" t="s">
        <v>16</v>
      </c>
      <c r="M63" s="58">
        <f t="shared" si="35"/>
        <v>1</v>
      </c>
      <c r="N63" s="60">
        <v>2.9</v>
      </c>
      <c r="O63" s="60">
        <v>1.3</v>
      </c>
      <c r="P63" s="60">
        <v>1</v>
      </c>
      <c r="Q63" s="60">
        <v>2.9</v>
      </c>
      <c r="R63" s="60">
        <f t="shared" si="10"/>
        <v>0.55608365019011408</v>
      </c>
      <c r="S63" s="56" t="s">
        <v>33</v>
      </c>
      <c r="T63" s="80">
        <v>1103</v>
      </c>
      <c r="U63" s="80">
        <f t="shared" si="32"/>
        <v>2</v>
      </c>
      <c r="V63" s="206">
        <f t="shared" si="12"/>
        <v>850</v>
      </c>
      <c r="W63" s="64">
        <f t="shared" si="13"/>
        <v>0.85858585858585856</v>
      </c>
      <c r="X63" s="201">
        <v>4822.0338983050842</v>
      </c>
      <c r="Y63" s="201">
        <f t="shared" si="36"/>
        <v>344.43099273607743</v>
      </c>
      <c r="Z63" s="211">
        <f t="shared" si="14"/>
        <v>688.86198547215486</v>
      </c>
      <c r="AA63" s="63">
        <f t="shared" si="15"/>
        <v>0.26583816109138475</v>
      </c>
      <c r="AB63" s="81">
        <f t="shared" si="19"/>
        <v>0.67986324655638797</v>
      </c>
      <c r="AC63" s="160"/>
      <c r="AD63" s="195"/>
      <c r="AE63" s="196"/>
      <c r="AG63" s="197"/>
    </row>
    <row r="64" spans="2:33" x14ac:dyDescent="0.25">
      <c r="B64" s="116">
        <v>4</v>
      </c>
      <c r="C64" s="116">
        <f t="shared" si="33"/>
        <v>1</v>
      </c>
      <c r="D64" s="233"/>
      <c r="E64" s="56">
        <v>8</v>
      </c>
      <c r="F64" s="66" t="s">
        <v>3</v>
      </c>
      <c r="G64" s="58">
        <f t="shared" si="34"/>
        <v>3</v>
      </c>
      <c r="H64" s="59">
        <v>57</v>
      </c>
      <c r="I64" s="56" t="s">
        <v>12</v>
      </c>
      <c r="J64" s="58">
        <f t="shared" si="23"/>
        <v>1</v>
      </c>
      <c r="K64" s="58">
        <v>0</v>
      </c>
      <c r="L64" s="56" t="s">
        <v>16</v>
      </c>
      <c r="M64" s="58">
        <f t="shared" si="35"/>
        <v>1</v>
      </c>
      <c r="N64" s="60">
        <v>2.7</v>
      </c>
      <c r="O64" s="60">
        <v>1.6</v>
      </c>
      <c r="P64" s="60">
        <v>0.5</v>
      </c>
      <c r="Q64" s="60">
        <v>2.7</v>
      </c>
      <c r="R64" s="60">
        <f t="shared" si="10"/>
        <v>0.5323193916349811</v>
      </c>
      <c r="S64" s="56" t="s">
        <v>28</v>
      </c>
      <c r="T64" s="80">
        <v>0</v>
      </c>
      <c r="U64" s="80">
        <f t="shared" si="32"/>
        <v>1</v>
      </c>
      <c r="V64" s="206">
        <f t="shared" si="12"/>
        <v>150</v>
      </c>
      <c r="W64" s="64">
        <f t="shared" si="13"/>
        <v>0.15151515151515152</v>
      </c>
      <c r="X64" s="201">
        <v>5127.1186440677966</v>
      </c>
      <c r="Y64" s="201">
        <f t="shared" si="36"/>
        <v>366.22276029055689</v>
      </c>
      <c r="Z64" s="211">
        <f t="shared" si="14"/>
        <v>732.44552058111378</v>
      </c>
      <c r="AA64" s="63">
        <f t="shared" si="15"/>
        <v>0.28265744720612967</v>
      </c>
      <c r="AB64" s="81">
        <f t="shared" si="19"/>
        <v>0.53252932048951485</v>
      </c>
      <c r="AC64" s="160"/>
      <c r="AD64" s="195"/>
      <c r="AE64" s="196"/>
      <c r="AG64" s="197"/>
    </row>
    <row r="65" spans="2:33" ht="15.75" thickBot="1" x14ac:dyDescent="0.3">
      <c r="B65" s="117">
        <v>4</v>
      </c>
      <c r="C65" s="117">
        <f t="shared" si="33"/>
        <v>1</v>
      </c>
      <c r="D65" s="234"/>
      <c r="E65" s="109">
        <v>9</v>
      </c>
      <c r="F65" s="85" t="s">
        <v>4</v>
      </c>
      <c r="G65" s="86">
        <f t="shared" ref="G65" si="37">IF(F65="Supte",1,IF(F65="Supv",2,IF(F65="Operador",3,4)))</f>
        <v>4</v>
      </c>
      <c r="H65" s="87">
        <v>58</v>
      </c>
      <c r="I65" s="84" t="s">
        <v>12</v>
      </c>
      <c r="J65" s="86">
        <f t="shared" si="23"/>
        <v>1</v>
      </c>
      <c r="K65" s="86">
        <v>0</v>
      </c>
      <c r="L65" s="84" t="s">
        <v>16</v>
      </c>
      <c r="M65" s="86">
        <f t="shared" si="35"/>
        <v>1</v>
      </c>
      <c r="N65" s="88">
        <v>0.5</v>
      </c>
      <c r="O65" s="88">
        <v>0.5</v>
      </c>
      <c r="P65" s="88">
        <v>0.5</v>
      </c>
      <c r="Q65" s="88">
        <v>0.5</v>
      </c>
      <c r="R65" s="88">
        <f t="shared" si="10"/>
        <v>0.16634980988593157</v>
      </c>
      <c r="S65" s="84" t="s">
        <v>29</v>
      </c>
      <c r="T65" s="89">
        <v>155</v>
      </c>
      <c r="U65" s="89">
        <f t="shared" si="32"/>
        <v>1</v>
      </c>
      <c r="V65" s="207">
        <f t="shared" si="12"/>
        <v>550</v>
      </c>
      <c r="W65" s="90">
        <f t="shared" si="13"/>
        <v>0.55555555555555558</v>
      </c>
      <c r="X65" s="212">
        <v>2500</v>
      </c>
      <c r="Y65" s="212">
        <f t="shared" si="36"/>
        <v>178.57142857142858</v>
      </c>
      <c r="Z65" s="213">
        <f t="shared" si="14"/>
        <v>357.14285714285717</v>
      </c>
      <c r="AA65" s="91">
        <f t="shared" si="15"/>
        <v>0.137824705662493</v>
      </c>
      <c r="AB65" s="92">
        <f t="shared" si="19"/>
        <v>0.38008212379825163</v>
      </c>
      <c r="AC65" s="160"/>
      <c r="AD65" s="195"/>
      <c r="AE65" s="196"/>
      <c r="AG65" s="197"/>
    </row>
    <row r="66" spans="2:33" x14ac:dyDescent="0.25">
      <c r="B66" s="118">
        <v>5</v>
      </c>
      <c r="C66" s="118">
        <f t="shared" ref="C66:C78" si="38">IF($R$87="A",1-$R$82,IF($R$87="B",1+$R$82,1))</f>
        <v>1</v>
      </c>
      <c r="D66" s="231"/>
      <c r="E66" s="71">
        <v>1</v>
      </c>
      <c r="F66" s="57" t="s">
        <v>2</v>
      </c>
      <c r="G66" s="72">
        <f t="shared" ref="G66:G77" si="39">IF(F66="Supte",1,IF(F66="Supv ",2,IF(F66="Operador",3,4)))</f>
        <v>2</v>
      </c>
      <c r="H66" s="73">
        <v>59</v>
      </c>
      <c r="I66" s="71" t="s">
        <v>12</v>
      </c>
      <c r="J66" s="72">
        <f t="shared" si="23"/>
        <v>1</v>
      </c>
      <c r="K66" s="58">
        <v>0</v>
      </c>
      <c r="L66" s="56" t="s">
        <v>15</v>
      </c>
      <c r="M66" s="58">
        <f t="shared" ref="M66:M78" si="40">IF(L66="Mecânico",1,IF(L66="Eletrônico",2,3))</f>
        <v>2</v>
      </c>
      <c r="N66" s="60">
        <v>13.1</v>
      </c>
      <c r="O66" s="60">
        <v>4.5</v>
      </c>
      <c r="P66" s="60">
        <v>3.5</v>
      </c>
      <c r="Q66" s="60">
        <v>11.5</v>
      </c>
      <c r="R66" s="60">
        <f t="shared" si="10"/>
        <v>1.9484877949670567</v>
      </c>
      <c r="S66" s="56" t="s">
        <v>31</v>
      </c>
      <c r="T66" s="80">
        <v>511</v>
      </c>
      <c r="U66" s="80">
        <f t="shared" si="32"/>
        <v>2</v>
      </c>
      <c r="V66" s="206">
        <f t="shared" si="12"/>
        <v>900</v>
      </c>
      <c r="W66" s="64">
        <f t="shared" si="13"/>
        <v>0.90909090909090906</v>
      </c>
      <c r="X66" s="201">
        <v>12415.254237288136</v>
      </c>
      <c r="Y66" s="201">
        <f t="shared" ref="Y66:Y78" si="41">X66/14</f>
        <v>886.80387409200978</v>
      </c>
      <c r="Z66" s="211">
        <f t="shared" si="14"/>
        <v>1773.6077481840196</v>
      </c>
      <c r="AA66" s="63">
        <f t="shared" si="15"/>
        <v>0.68445150439170255</v>
      </c>
      <c r="AB66" s="81">
        <f t="shared" si="19"/>
        <v>1.4250628599582067</v>
      </c>
      <c r="AC66" s="160"/>
      <c r="AD66" s="195"/>
      <c r="AE66" s="196"/>
      <c r="AG66" s="197"/>
    </row>
    <row r="67" spans="2:33" x14ac:dyDescent="0.25">
      <c r="B67" s="119">
        <v>5</v>
      </c>
      <c r="C67" s="119">
        <f t="shared" si="38"/>
        <v>1</v>
      </c>
      <c r="D67" s="232"/>
      <c r="E67" s="71">
        <v>2</v>
      </c>
      <c r="F67" s="66" t="s">
        <v>2</v>
      </c>
      <c r="G67" s="58">
        <f t="shared" si="39"/>
        <v>2</v>
      </c>
      <c r="H67" s="59">
        <v>60</v>
      </c>
      <c r="I67" s="82" t="s">
        <v>13</v>
      </c>
      <c r="J67" s="58">
        <f t="shared" si="23"/>
        <v>0</v>
      </c>
      <c r="K67" s="58">
        <v>0</v>
      </c>
      <c r="L67" s="56" t="s">
        <v>15</v>
      </c>
      <c r="M67" s="58">
        <f t="shared" si="40"/>
        <v>2</v>
      </c>
      <c r="N67" s="60">
        <v>8.4</v>
      </c>
      <c r="O67" s="60">
        <v>3.2</v>
      </c>
      <c r="P67" s="60">
        <v>2.8</v>
      </c>
      <c r="Q67" s="60">
        <v>8.4</v>
      </c>
      <c r="R67" s="60">
        <f t="shared" si="10"/>
        <v>1.5209125475285172</v>
      </c>
      <c r="S67" s="56" t="s">
        <v>29</v>
      </c>
      <c r="T67" s="80">
        <v>155</v>
      </c>
      <c r="U67" s="80">
        <f t="shared" si="32"/>
        <v>1</v>
      </c>
      <c r="V67" s="206">
        <f t="shared" si="12"/>
        <v>550</v>
      </c>
      <c r="W67" s="64">
        <f t="shared" si="13"/>
        <v>0.55555555555555558</v>
      </c>
      <c r="X67" s="201">
        <v>12150.847457627118</v>
      </c>
      <c r="Y67" s="201">
        <f t="shared" si="41"/>
        <v>867.91767554479418</v>
      </c>
      <c r="Z67" s="211">
        <f t="shared" si="14"/>
        <v>1735.8353510895884</v>
      </c>
      <c r="AA67" s="63">
        <f t="shared" si="15"/>
        <v>0.66987478975892345</v>
      </c>
      <c r="AB67" s="81">
        <f t="shared" si="19"/>
        <v>1.3111697709670049</v>
      </c>
      <c r="AC67" s="160"/>
      <c r="AD67" s="195"/>
      <c r="AE67" s="196"/>
      <c r="AG67" s="197"/>
    </row>
    <row r="68" spans="2:33" x14ac:dyDescent="0.25">
      <c r="B68" s="119">
        <v>5</v>
      </c>
      <c r="C68" s="119">
        <f t="shared" si="38"/>
        <v>1</v>
      </c>
      <c r="D68" s="232"/>
      <c r="E68" s="56">
        <v>3</v>
      </c>
      <c r="F68" s="66" t="s">
        <v>2</v>
      </c>
      <c r="G68" s="58">
        <f t="shared" si="39"/>
        <v>2</v>
      </c>
      <c r="H68" s="59">
        <v>61</v>
      </c>
      <c r="I68" s="56" t="s">
        <v>12</v>
      </c>
      <c r="J68" s="58">
        <f t="shared" si="23"/>
        <v>1</v>
      </c>
      <c r="K68" s="58">
        <v>0</v>
      </c>
      <c r="L68" s="56" t="s">
        <v>14</v>
      </c>
      <c r="M68" s="58">
        <f t="shared" si="40"/>
        <v>3</v>
      </c>
      <c r="N68" s="60">
        <v>6.9</v>
      </c>
      <c r="O68" s="60">
        <v>2.9</v>
      </c>
      <c r="P68" s="60">
        <v>3</v>
      </c>
      <c r="Q68" s="60">
        <v>5</v>
      </c>
      <c r="R68" s="60">
        <f t="shared" si="10"/>
        <v>0.9815672011902794</v>
      </c>
      <c r="S68" s="56" t="s">
        <v>29</v>
      </c>
      <c r="T68" s="80">
        <v>155</v>
      </c>
      <c r="U68" s="80">
        <f t="shared" si="32"/>
        <v>1</v>
      </c>
      <c r="V68" s="206">
        <f t="shared" si="12"/>
        <v>550</v>
      </c>
      <c r="W68" s="64">
        <f t="shared" si="13"/>
        <v>0.55555555555555558</v>
      </c>
      <c r="X68" s="201">
        <v>11449.152542372882</v>
      </c>
      <c r="Y68" s="201">
        <f t="shared" si="41"/>
        <v>817.7966101694916</v>
      </c>
      <c r="Z68" s="211">
        <f t="shared" si="14"/>
        <v>1635.5932203389832</v>
      </c>
      <c r="AA68" s="63">
        <f t="shared" si="15"/>
        <v>0.63119043169501032</v>
      </c>
      <c r="AB68" s="81">
        <f t="shared" si="19"/>
        <v>1.2434721443551568</v>
      </c>
      <c r="AC68" s="160"/>
      <c r="AD68" s="195"/>
      <c r="AE68" s="196"/>
      <c r="AG68" s="197"/>
    </row>
    <row r="69" spans="2:33" x14ac:dyDescent="0.25">
      <c r="B69" s="119">
        <v>5</v>
      </c>
      <c r="C69" s="119">
        <f t="shared" si="38"/>
        <v>1</v>
      </c>
      <c r="D69" s="232"/>
      <c r="E69" s="71">
        <v>4</v>
      </c>
      <c r="F69" s="66" t="s">
        <v>3</v>
      </c>
      <c r="G69" s="58">
        <f t="shared" si="39"/>
        <v>3</v>
      </c>
      <c r="H69" s="59">
        <v>62</v>
      </c>
      <c r="I69" s="56" t="s">
        <v>12</v>
      </c>
      <c r="J69" s="58">
        <f t="shared" si="23"/>
        <v>1</v>
      </c>
      <c r="K69" s="58">
        <v>0</v>
      </c>
      <c r="L69" s="56" t="s">
        <v>16</v>
      </c>
      <c r="M69" s="58">
        <f t="shared" si="40"/>
        <v>1</v>
      </c>
      <c r="N69" s="60">
        <v>3.6</v>
      </c>
      <c r="O69" s="60">
        <v>2.8</v>
      </c>
      <c r="P69" s="60">
        <v>2.5</v>
      </c>
      <c r="Q69" s="60">
        <v>3.6</v>
      </c>
      <c r="R69" s="60">
        <f t="shared" si="10"/>
        <v>0.97908745247148288</v>
      </c>
      <c r="S69" s="56" t="s">
        <v>29</v>
      </c>
      <c r="T69" s="80">
        <v>155</v>
      </c>
      <c r="U69" s="80">
        <f t="shared" si="32"/>
        <v>1</v>
      </c>
      <c r="V69" s="206">
        <f t="shared" si="12"/>
        <v>550</v>
      </c>
      <c r="W69" s="64">
        <f t="shared" si="13"/>
        <v>0.55555555555555558</v>
      </c>
      <c r="X69" s="201">
        <v>6347.4576271186434</v>
      </c>
      <c r="Y69" s="201">
        <f t="shared" si="41"/>
        <v>453.38983050847452</v>
      </c>
      <c r="Z69" s="211">
        <f t="shared" si="14"/>
        <v>906.77966101694904</v>
      </c>
      <c r="AA69" s="63">
        <f t="shared" si="15"/>
        <v>0.34993459166510926</v>
      </c>
      <c r="AB69" s="81">
        <f t="shared" si="19"/>
        <v>0.7512744243028302</v>
      </c>
      <c r="AC69" s="160"/>
      <c r="AD69" s="195"/>
      <c r="AE69" s="196"/>
      <c r="AG69" s="197"/>
    </row>
    <row r="70" spans="2:33" x14ac:dyDescent="0.25">
      <c r="B70" s="119">
        <v>5</v>
      </c>
      <c r="C70" s="119">
        <f t="shared" si="38"/>
        <v>1</v>
      </c>
      <c r="D70" s="232"/>
      <c r="E70" s="56">
        <v>5</v>
      </c>
      <c r="F70" s="66" t="s">
        <v>3</v>
      </c>
      <c r="G70" s="58">
        <f t="shared" si="39"/>
        <v>3</v>
      </c>
      <c r="H70" s="59">
        <v>63</v>
      </c>
      <c r="I70" s="56" t="s">
        <v>12</v>
      </c>
      <c r="J70" s="58">
        <f t="shared" si="23"/>
        <v>1</v>
      </c>
      <c r="K70" s="58">
        <v>0</v>
      </c>
      <c r="L70" s="56" t="s">
        <v>16</v>
      </c>
      <c r="M70" s="58">
        <f t="shared" si="40"/>
        <v>1</v>
      </c>
      <c r="N70" s="60">
        <v>3.6</v>
      </c>
      <c r="O70" s="60">
        <v>2.6</v>
      </c>
      <c r="P70" s="60">
        <v>1.1000000000000001</v>
      </c>
      <c r="Q70" s="60">
        <v>3.6</v>
      </c>
      <c r="R70" s="60">
        <f t="shared" si="10"/>
        <v>0.81749049429657794</v>
      </c>
      <c r="S70" s="56" t="s">
        <v>35</v>
      </c>
      <c r="T70" s="80">
        <v>272</v>
      </c>
      <c r="U70" s="80">
        <f t="shared" si="32"/>
        <v>2</v>
      </c>
      <c r="V70" s="206">
        <f t="shared" si="12"/>
        <v>830</v>
      </c>
      <c r="W70" s="64">
        <f t="shared" si="13"/>
        <v>0.83838383838383834</v>
      </c>
      <c r="X70" s="201">
        <v>6144.0677966101694</v>
      </c>
      <c r="Y70" s="201">
        <f t="shared" si="41"/>
        <v>438.86198547215497</v>
      </c>
      <c r="Z70" s="211">
        <f t="shared" si="14"/>
        <v>877.72397094430994</v>
      </c>
      <c r="AA70" s="63">
        <f t="shared" si="15"/>
        <v>0.33872173425527935</v>
      </c>
      <c r="AB70" s="81">
        <f t="shared" si="19"/>
        <v>0.80235899454269843</v>
      </c>
      <c r="AC70" s="160"/>
      <c r="AD70" s="195"/>
      <c r="AE70" s="196"/>
      <c r="AG70" s="197"/>
    </row>
    <row r="71" spans="2:33" x14ac:dyDescent="0.25">
      <c r="B71" s="119">
        <v>5</v>
      </c>
      <c r="C71" s="119">
        <f t="shared" si="38"/>
        <v>1</v>
      </c>
      <c r="D71" s="232"/>
      <c r="E71" s="71">
        <v>6</v>
      </c>
      <c r="F71" s="66" t="s">
        <v>3</v>
      </c>
      <c r="G71" s="58">
        <f t="shared" si="39"/>
        <v>3</v>
      </c>
      <c r="H71" s="59">
        <v>64</v>
      </c>
      <c r="I71" s="56" t="s">
        <v>12</v>
      </c>
      <c r="J71" s="58">
        <f t="shared" si="23"/>
        <v>1</v>
      </c>
      <c r="K71" s="58">
        <v>0</v>
      </c>
      <c r="L71" s="56" t="s">
        <v>16</v>
      </c>
      <c r="M71" s="58">
        <f t="shared" si="40"/>
        <v>1</v>
      </c>
      <c r="N71" s="60">
        <v>4.2</v>
      </c>
      <c r="O71" s="60">
        <v>2.1</v>
      </c>
      <c r="P71" s="60">
        <v>1.1000000000000001</v>
      </c>
      <c r="Q71" s="60">
        <v>4.2</v>
      </c>
      <c r="R71" s="60">
        <f t="shared" si="10"/>
        <v>0.80323193916349822</v>
      </c>
      <c r="S71" s="56" t="s">
        <v>29</v>
      </c>
      <c r="T71" s="80">
        <v>155</v>
      </c>
      <c r="U71" s="80">
        <f t="shared" si="32"/>
        <v>1</v>
      </c>
      <c r="V71" s="206">
        <f t="shared" si="12"/>
        <v>550</v>
      </c>
      <c r="W71" s="64">
        <f t="shared" si="13"/>
        <v>0.55555555555555558</v>
      </c>
      <c r="X71" s="201">
        <v>5635.593220338983</v>
      </c>
      <c r="Y71" s="201">
        <f t="shared" si="41"/>
        <v>402.5423728813559</v>
      </c>
      <c r="Z71" s="211">
        <f t="shared" si="14"/>
        <v>805.0847457627118</v>
      </c>
      <c r="AA71" s="63">
        <f t="shared" si="15"/>
        <v>0.31068959073070451</v>
      </c>
      <c r="AB71" s="81">
        <f t="shared" si="19"/>
        <v>0.68259567266762189</v>
      </c>
      <c r="AC71" s="160"/>
      <c r="AD71" s="195"/>
      <c r="AE71" s="196"/>
      <c r="AG71" s="197"/>
    </row>
    <row r="72" spans="2:33" x14ac:dyDescent="0.25">
      <c r="B72" s="119">
        <v>5</v>
      </c>
      <c r="C72" s="119">
        <f t="shared" si="38"/>
        <v>1</v>
      </c>
      <c r="D72" s="232"/>
      <c r="E72" s="56">
        <v>7</v>
      </c>
      <c r="F72" s="66" t="s">
        <v>3</v>
      </c>
      <c r="G72" s="58">
        <f t="shared" si="39"/>
        <v>3</v>
      </c>
      <c r="H72" s="59">
        <v>65</v>
      </c>
      <c r="I72" s="56" t="s">
        <v>12</v>
      </c>
      <c r="J72" s="58">
        <f t="shared" si="23"/>
        <v>1</v>
      </c>
      <c r="K72" s="58">
        <v>0</v>
      </c>
      <c r="L72" s="56" t="s">
        <v>14</v>
      </c>
      <c r="M72" s="58">
        <f t="shared" si="40"/>
        <v>3</v>
      </c>
      <c r="N72" s="60">
        <v>2.9</v>
      </c>
      <c r="O72" s="60">
        <v>2.7</v>
      </c>
      <c r="P72" s="60">
        <v>1.7</v>
      </c>
      <c r="Q72" s="60">
        <v>2.9</v>
      </c>
      <c r="R72" s="60">
        <f t="shared" si="10"/>
        <v>0.82224334600760463</v>
      </c>
      <c r="S72" s="56" t="s">
        <v>29</v>
      </c>
      <c r="T72" s="80">
        <v>155</v>
      </c>
      <c r="U72" s="80">
        <f t="shared" si="32"/>
        <v>1</v>
      </c>
      <c r="V72" s="206">
        <f t="shared" si="12"/>
        <v>550</v>
      </c>
      <c r="W72" s="64">
        <f t="shared" si="13"/>
        <v>0.55555555555555558</v>
      </c>
      <c r="X72" s="201">
        <v>6245.7627118644068</v>
      </c>
      <c r="Y72" s="201">
        <f t="shared" si="41"/>
        <v>446.12590799031477</v>
      </c>
      <c r="Z72" s="211">
        <f t="shared" si="14"/>
        <v>892.25181598062954</v>
      </c>
      <c r="AA72" s="63">
        <f t="shared" si="15"/>
        <v>0.34432816296019431</v>
      </c>
      <c r="AB72" s="81">
        <f t="shared" si="19"/>
        <v>0.74146317406922901</v>
      </c>
      <c r="AC72" s="160"/>
      <c r="AD72" s="195"/>
      <c r="AE72" s="196"/>
      <c r="AG72" s="197"/>
    </row>
    <row r="73" spans="2:33" x14ac:dyDescent="0.25">
      <c r="B73" s="119">
        <v>5</v>
      </c>
      <c r="C73" s="119">
        <f t="shared" si="38"/>
        <v>1</v>
      </c>
      <c r="D73" s="232"/>
      <c r="E73" s="71">
        <v>8</v>
      </c>
      <c r="F73" s="66" t="s">
        <v>3</v>
      </c>
      <c r="G73" s="58">
        <f t="shared" si="39"/>
        <v>3</v>
      </c>
      <c r="H73" s="59">
        <v>66</v>
      </c>
      <c r="I73" s="56" t="s">
        <v>12</v>
      </c>
      <c r="J73" s="58">
        <f t="shared" si="23"/>
        <v>1</v>
      </c>
      <c r="K73" s="58">
        <v>0</v>
      </c>
      <c r="L73" s="56" t="s">
        <v>16</v>
      </c>
      <c r="M73" s="58">
        <f t="shared" si="40"/>
        <v>1</v>
      </c>
      <c r="N73" s="60">
        <v>3.7</v>
      </c>
      <c r="O73" s="60">
        <v>2.7</v>
      </c>
      <c r="P73" s="60">
        <v>1.5</v>
      </c>
      <c r="Q73" s="60">
        <v>3.7</v>
      </c>
      <c r="R73" s="60">
        <f t="shared" si="10"/>
        <v>0.87927756653992395</v>
      </c>
      <c r="S73" s="56" t="s">
        <v>29</v>
      </c>
      <c r="T73" s="80">
        <v>155</v>
      </c>
      <c r="U73" s="80">
        <f t="shared" si="32"/>
        <v>1</v>
      </c>
      <c r="V73" s="206">
        <f t="shared" si="12"/>
        <v>550</v>
      </c>
      <c r="W73" s="64">
        <f t="shared" si="13"/>
        <v>0.55555555555555558</v>
      </c>
      <c r="X73" s="201">
        <v>6245.7627118644068</v>
      </c>
      <c r="Y73" s="201">
        <f t="shared" si="41"/>
        <v>446.12590799031477</v>
      </c>
      <c r="Z73" s="211">
        <f t="shared" si="14"/>
        <v>892.25181598062954</v>
      </c>
      <c r="AA73" s="63">
        <f t="shared" si="15"/>
        <v>0.34432816296019431</v>
      </c>
      <c r="AB73" s="81">
        <f t="shared" si="19"/>
        <v>0.74146317406922901</v>
      </c>
      <c r="AC73" s="160"/>
      <c r="AD73" s="195"/>
      <c r="AE73" s="196"/>
      <c r="AG73" s="197"/>
    </row>
    <row r="74" spans="2:33" x14ac:dyDescent="0.25">
      <c r="B74" s="119">
        <v>5</v>
      </c>
      <c r="C74" s="119">
        <f t="shared" si="38"/>
        <v>1</v>
      </c>
      <c r="D74" s="232"/>
      <c r="E74" s="56">
        <v>9</v>
      </c>
      <c r="F74" s="66" t="s">
        <v>3</v>
      </c>
      <c r="G74" s="58">
        <f t="shared" si="39"/>
        <v>3</v>
      </c>
      <c r="H74" s="59">
        <v>67</v>
      </c>
      <c r="I74" s="56" t="s">
        <v>12</v>
      </c>
      <c r="J74" s="58">
        <f t="shared" si="23"/>
        <v>1</v>
      </c>
      <c r="K74" s="58">
        <v>0</v>
      </c>
      <c r="L74" s="56" t="s">
        <v>16</v>
      </c>
      <c r="M74" s="58">
        <f t="shared" si="40"/>
        <v>1</v>
      </c>
      <c r="N74" s="60">
        <v>2.9</v>
      </c>
      <c r="O74" s="60">
        <v>1.4</v>
      </c>
      <c r="P74" s="60">
        <v>1.5</v>
      </c>
      <c r="Q74" s="60">
        <v>2.9</v>
      </c>
      <c r="R74" s="60">
        <f t="shared" si="10"/>
        <v>0.61787072243346008</v>
      </c>
      <c r="S74" s="56" t="s">
        <v>29</v>
      </c>
      <c r="T74" s="80">
        <v>155</v>
      </c>
      <c r="U74" s="80">
        <f t="shared" si="32"/>
        <v>1</v>
      </c>
      <c r="V74" s="206">
        <f t="shared" si="12"/>
        <v>550</v>
      </c>
      <c r="W74" s="64">
        <f t="shared" si="13"/>
        <v>0.55555555555555558</v>
      </c>
      <c r="X74" s="201">
        <v>4923.7288135593217</v>
      </c>
      <c r="Y74" s="201">
        <f t="shared" si="41"/>
        <v>351.69491525423729</v>
      </c>
      <c r="Z74" s="211">
        <f t="shared" si="14"/>
        <v>703.38983050847457</v>
      </c>
      <c r="AA74" s="63">
        <f t="shared" si="15"/>
        <v>0.27144458979629971</v>
      </c>
      <c r="AB74" s="81">
        <f t="shared" si="19"/>
        <v>0.61391692103241335</v>
      </c>
      <c r="AC74" s="160"/>
      <c r="AD74" s="195"/>
      <c r="AE74" s="196"/>
      <c r="AG74" s="197"/>
    </row>
    <row r="75" spans="2:33" x14ac:dyDescent="0.25">
      <c r="B75" s="119">
        <v>5</v>
      </c>
      <c r="C75" s="119">
        <f t="shared" si="38"/>
        <v>1</v>
      </c>
      <c r="D75" s="233"/>
      <c r="E75" s="56">
        <v>10</v>
      </c>
      <c r="F75" s="66" t="s">
        <v>3</v>
      </c>
      <c r="G75" s="58">
        <f t="shared" si="39"/>
        <v>3</v>
      </c>
      <c r="H75" s="59">
        <v>68</v>
      </c>
      <c r="I75" s="56" t="s">
        <v>12</v>
      </c>
      <c r="J75" s="58">
        <f t="shared" si="23"/>
        <v>1</v>
      </c>
      <c r="K75" s="58">
        <v>0</v>
      </c>
      <c r="L75" s="56" t="s">
        <v>16</v>
      </c>
      <c r="M75" s="58">
        <f t="shared" si="40"/>
        <v>1</v>
      </c>
      <c r="N75" s="60">
        <v>3.3</v>
      </c>
      <c r="O75" s="60">
        <v>1.8</v>
      </c>
      <c r="P75" s="60">
        <v>1.2</v>
      </c>
      <c r="Q75" s="60">
        <v>3.3</v>
      </c>
      <c r="R75" s="60">
        <f t="shared" si="10"/>
        <v>0.68441064638783278</v>
      </c>
      <c r="S75" s="56" t="s">
        <v>35</v>
      </c>
      <c r="T75" s="80">
        <v>272</v>
      </c>
      <c r="U75" s="80">
        <f t="shared" si="32"/>
        <v>2</v>
      </c>
      <c r="V75" s="206">
        <f t="shared" si="12"/>
        <v>830</v>
      </c>
      <c r="W75" s="64">
        <f t="shared" si="13"/>
        <v>0.83838383838383834</v>
      </c>
      <c r="X75" s="201">
        <v>5330.5084745762706</v>
      </c>
      <c r="Y75" s="201">
        <f t="shared" si="41"/>
        <v>380.7506053268765</v>
      </c>
      <c r="Z75" s="211">
        <f t="shared" si="14"/>
        <v>761.50121065375299</v>
      </c>
      <c r="AA75" s="63">
        <f t="shared" si="15"/>
        <v>0.29387030461595959</v>
      </c>
      <c r="AB75" s="81">
        <f t="shared" si="19"/>
        <v>0.72386899267388882</v>
      </c>
      <c r="AC75" s="160"/>
      <c r="AD75" s="195"/>
      <c r="AE75" s="196"/>
      <c r="AG75" s="197"/>
    </row>
    <row r="76" spans="2:33" x14ac:dyDescent="0.25">
      <c r="B76" s="119">
        <v>5</v>
      </c>
      <c r="C76" s="119">
        <f t="shared" si="38"/>
        <v>1</v>
      </c>
      <c r="D76" s="233"/>
      <c r="E76" s="56">
        <v>11</v>
      </c>
      <c r="F76" s="66" t="s">
        <v>2</v>
      </c>
      <c r="G76" s="58">
        <f t="shared" ref="G76" si="42">IF(F76="Supte",1,IF(F76="Supv ",2,IF(F76="Operador",3,4)))</f>
        <v>2</v>
      </c>
      <c r="H76" s="59">
        <v>69</v>
      </c>
      <c r="I76" s="82" t="s">
        <v>11</v>
      </c>
      <c r="J76" s="58">
        <f t="shared" ref="J76" si="43">IF(I76="Ativo",1,0)</f>
        <v>0</v>
      </c>
      <c r="K76" s="58">
        <v>0</v>
      </c>
      <c r="L76" s="56" t="s">
        <v>15</v>
      </c>
      <c r="M76" s="58">
        <f t="shared" ref="M76" si="44">IF(L76="Mecânico",1,IF(L76="Eletrônico",2,3))</f>
        <v>2</v>
      </c>
      <c r="N76" s="60">
        <v>7.2</v>
      </c>
      <c r="O76" s="60">
        <v>2.1</v>
      </c>
      <c r="P76" s="60">
        <v>2.4</v>
      </c>
      <c r="Q76" s="60">
        <v>7.2</v>
      </c>
      <c r="R76" s="60">
        <f t="shared" si="10"/>
        <v>1.2119771863117872</v>
      </c>
      <c r="S76" s="56" t="s">
        <v>29</v>
      </c>
      <c r="T76" s="80">
        <v>155</v>
      </c>
      <c r="U76" s="80">
        <f t="shared" si="32"/>
        <v>1</v>
      </c>
      <c r="V76" s="206">
        <f t="shared" si="12"/>
        <v>550</v>
      </c>
      <c r="W76" s="64">
        <f t="shared" si="13"/>
        <v>0.55555555555555558</v>
      </c>
      <c r="X76" s="201">
        <v>10635.593220338982</v>
      </c>
      <c r="Y76" s="201">
        <f t="shared" ref="Y76" si="45">X76/14</f>
        <v>759.68523002421296</v>
      </c>
      <c r="Z76" s="211">
        <f t="shared" si="14"/>
        <v>1519.3704600484259</v>
      </c>
      <c r="AA76" s="63">
        <f t="shared" si="15"/>
        <v>0.58633900205569034</v>
      </c>
      <c r="AB76" s="81">
        <f t="shared" si="19"/>
        <v>1.1649821424863469</v>
      </c>
      <c r="AC76" s="160"/>
      <c r="AD76" s="195"/>
      <c r="AE76" s="196"/>
      <c r="AG76" s="197"/>
    </row>
    <row r="77" spans="2:33" x14ac:dyDescent="0.25">
      <c r="B77" s="119">
        <v>5</v>
      </c>
      <c r="C77" s="119">
        <f t="shared" si="38"/>
        <v>1</v>
      </c>
      <c r="D77" s="233"/>
      <c r="E77" s="71">
        <v>12</v>
      </c>
      <c r="F77" s="66" t="s">
        <v>3</v>
      </c>
      <c r="G77" s="58">
        <f t="shared" si="39"/>
        <v>3</v>
      </c>
      <c r="H77" s="59">
        <v>70</v>
      </c>
      <c r="I77" s="82" t="s">
        <v>11</v>
      </c>
      <c r="J77" s="58">
        <f t="shared" si="23"/>
        <v>0</v>
      </c>
      <c r="K77" s="58">
        <v>0</v>
      </c>
      <c r="L77" s="56" t="s">
        <v>16</v>
      </c>
      <c r="M77" s="58">
        <f t="shared" si="40"/>
        <v>1</v>
      </c>
      <c r="N77" s="60">
        <v>3.4</v>
      </c>
      <c r="O77" s="60">
        <v>1.2</v>
      </c>
      <c r="P77" s="60">
        <v>1.8</v>
      </c>
      <c r="Q77" s="60">
        <v>3.4</v>
      </c>
      <c r="R77" s="60">
        <f t="shared" si="10"/>
        <v>0.66539923954372615</v>
      </c>
      <c r="S77" s="56" t="s">
        <v>29</v>
      </c>
      <c r="T77" s="80">
        <v>155</v>
      </c>
      <c r="U77" s="80">
        <f t="shared" si="32"/>
        <v>1</v>
      </c>
      <c r="V77" s="206">
        <f t="shared" si="12"/>
        <v>550</v>
      </c>
      <c r="W77" s="64">
        <f t="shared" si="13"/>
        <v>0.55555555555555558</v>
      </c>
      <c r="X77" s="201">
        <v>4720.3389830508477</v>
      </c>
      <c r="Y77" s="201">
        <f t="shared" si="41"/>
        <v>337.16707021791768</v>
      </c>
      <c r="Z77" s="211">
        <f t="shared" si="14"/>
        <v>674.33414043583537</v>
      </c>
      <c r="AA77" s="63">
        <f t="shared" si="15"/>
        <v>0.26023173238646979</v>
      </c>
      <c r="AB77" s="81">
        <f t="shared" si="19"/>
        <v>0.59429442056521098</v>
      </c>
      <c r="AC77" s="160"/>
      <c r="AD77" s="195"/>
      <c r="AE77" s="196"/>
      <c r="AG77" s="197"/>
    </row>
    <row r="78" spans="2:33" ht="15.75" thickBot="1" x14ac:dyDescent="0.3">
      <c r="B78" s="120">
        <v>5</v>
      </c>
      <c r="C78" s="120">
        <f t="shared" si="38"/>
        <v>1</v>
      </c>
      <c r="D78" s="234"/>
      <c r="E78" s="84">
        <v>13</v>
      </c>
      <c r="F78" s="85" t="s">
        <v>4</v>
      </c>
      <c r="G78" s="86">
        <f t="shared" ref="G78" si="46">IF(F78="Supte",1,IF(F78="Supv",2,IF(F78="Operador",3,4)))</f>
        <v>4</v>
      </c>
      <c r="H78" s="87">
        <v>71</v>
      </c>
      <c r="I78" s="84" t="s">
        <v>12</v>
      </c>
      <c r="J78" s="86">
        <f t="shared" si="23"/>
        <v>1</v>
      </c>
      <c r="K78" s="86">
        <v>0</v>
      </c>
      <c r="L78" s="84" t="s">
        <v>15</v>
      </c>
      <c r="M78" s="86">
        <f t="shared" si="40"/>
        <v>2</v>
      </c>
      <c r="N78" s="88">
        <v>0.4</v>
      </c>
      <c r="O78" s="88">
        <v>0.4</v>
      </c>
      <c r="P78" s="88">
        <v>0.4</v>
      </c>
      <c r="Q78" s="88">
        <v>0.4</v>
      </c>
      <c r="R78" s="88">
        <f t="shared" si="10"/>
        <v>0.13307984790874525</v>
      </c>
      <c r="S78" s="84" t="s">
        <v>29</v>
      </c>
      <c r="T78" s="89">
        <v>155</v>
      </c>
      <c r="U78" s="89">
        <f t="shared" si="32"/>
        <v>1</v>
      </c>
      <c r="V78" s="207">
        <f t="shared" si="12"/>
        <v>550</v>
      </c>
      <c r="W78" s="90">
        <f t="shared" si="13"/>
        <v>0.55555555555555558</v>
      </c>
      <c r="X78" s="212">
        <v>2500</v>
      </c>
      <c r="Y78" s="212">
        <f t="shared" si="41"/>
        <v>178.57142857142858</v>
      </c>
      <c r="Z78" s="213">
        <f t="shared" si="14"/>
        <v>357.14285714285717</v>
      </c>
      <c r="AA78" s="91">
        <f t="shared" si="15"/>
        <v>0.137824705662493</v>
      </c>
      <c r="AB78" s="92">
        <f t="shared" si="19"/>
        <v>0.38008212379825163</v>
      </c>
      <c r="AC78" s="160"/>
      <c r="AD78" s="195"/>
      <c r="AE78" s="196"/>
      <c r="AG78" s="197"/>
    </row>
    <row r="79" spans="2:33" x14ac:dyDescent="0.25"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98" t="s">
        <v>143</v>
      </c>
      <c r="V79" s="199">
        <f>MAX(V5:V78)</f>
        <v>990</v>
      </c>
      <c r="W79" s="160"/>
      <c r="X79" s="160"/>
      <c r="Y79" s="198" t="s">
        <v>143</v>
      </c>
      <c r="Z79" s="199">
        <f>MAX(Z5:Z78)</f>
        <v>2591.2832929782085</v>
      </c>
      <c r="AA79" s="160"/>
      <c r="AB79" s="160"/>
      <c r="AC79" s="160"/>
      <c r="AD79" s="195"/>
      <c r="AE79" s="196"/>
    </row>
    <row r="80" spans="2:33" ht="24" customHeight="1" x14ac:dyDescent="0.25"/>
    <row r="81" spans="6:35" ht="15.75" customHeight="1" x14ac:dyDescent="0.25">
      <c r="G81" s="122" t="s">
        <v>43</v>
      </c>
      <c r="H81" s="123"/>
      <c r="I81" s="124"/>
      <c r="J81" s="125">
        <v>3</v>
      </c>
      <c r="L81" s="224" t="s">
        <v>55</v>
      </c>
      <c r="M81" s="225"/>
      <c r="N81" s="225"/>
      <c r="O81" s="226"/>
      <c r="Q81" s="222" t="s">
        <v>71</v>
      </c>
      <c r="R81" s="126" t="s">
        <v>72</v>
      </c>
      <c r="AA81" s="112" t="s">
        <v>37</v>
      </c>
      <c r="AE81" s="249" t="s">
        <v>151</v>
      </c>
      <c r="AF81" s="249"/>
      <c r="AG81" s="249"/>
      <c r="AH81" s="249"/>
      <c r="AI81" s="249"/>
    </row>
    <row r="82" spans="6:35" x14ac:dyDescent="0.25">
      <c r="G82" s="122" t="s">
        <v>44</v>
      </c>
      <c r="H82" s="123"/>
      <c r="I82" s="124"/>
      <c r="J82" s="125">
        <v>3</v>
      </c>
      <c r="L82" s="227"/>
      <c r="M82" s="228"/>
      <c r="N82" s="229"/>
      <c r="O82" s="230"/>
      <c r="Q82" s="223"/>
      <c r="R82" s="127">
        <v>0.05</v>
      </c>
      <c r="AA82" s="112" t="s">
        <v>41</v>
      </c>
      <c r="AB82" s="128" t="s">
        <v>38</v>
      </c>
      <c r="AC82" s="112" t="s">
        <v>0</v>
      </c>
      <c r="AE82" s="129" t="s">
        <v>0</v>
      </c>
      <c r="AF82" s="129" t="s">
        <v>147</v>
      </c>
      <c r="AG82" s="129" t="s">
        <v>148</v>
      </c>
      <c r="AH82" s="129" t="s">
        <v>149</v>
      </c>
      <c r="AI82" s="129" t="s">
        <v>150</v>
      </c>
    </row>
    <row r="83" spans="6:35" x14ac:dyDescent="0.25">
      <c r="L83" s="130" t="s">
        <v>0</v>
      </c>
      <c r="M83" s="131">
        <f>VLOOKUP(J81,E5:Y15,3,FALSE)</f>
        <v>2</v>
      </c>
      <c r="N83" s="132" t="s">
        <v>42</v>
      </c>
      <c r="O83" s="133">
        <f>VLOOKUP(J81,E5:Y15,14,FALSE)</f>
        <v>1.1692015209125477</v>
      </c>
      <c r="Q83" s="134" t="s">
        <v>66</v>
      </c>
      <c r="R83" s="135" t="s">
        <v>73</v>
      </c>
      <c r="AA83" s="136">
        <v>1</v>
      </c>
      <c r="AB83" s="135">
        <v>61</v>
      </c>
      <c r="AC83" s="137">
        <f t="shared" ref="AC83:AC114" si="47">IF(INDEX($B$18:$AB$78,AA83,9)= 1, ((ABS($M$83-(INDEX($B$18:$AB$78,AA83,6))))+(ABS($O$83-(INDEX($B$18:$AB$78,AA83,17))))+(INDEX($B$18:$AB$78,AA83,27))+(INDEX($B$18:$AB$78,AA83,20)))*INDEX($B$18:$AB$78,AA83,2),10)</f>
        <v>5.5082472270556311</v>
      </c>
      <c r="AE83" s="138">
        <f t="shared" ref="AE83:AE114" si="48">(ABS($M$83-(INDEX($B$18:$AB$78,AA83,6))))</f>
        <v>1</v>
      </c>
      <c r="AF83" s="139">
        <f t="shared" ref="AF83:AF114" si="49">(ABS($O$83-(INDEX($B$18:$AB$78,AA83,17))))</f>
        <v>0.53602500483340854</v>
      </c>
      <c r="AG83" s="140">
        <f t="shared" ref="AG83:AG114" si="50">(INDEX($B$18:$AB$78,AA83,20))</f>
        <v>2</v>
      </c>
      <c r="AH83" s="139">
        <f t="shared" ref="AH83:AH114" si="51" xml:space="preserve"> INDEX($B$18:$AB$78,AA83,27)</f>
        <v>1.9722222222222223</v>
      </c>
      <c r="AI83" s="141">
        <f t="shared" ref="AI83:AI114" si="52">INDEX($B$18:$AB$78,AA83,2)</f>
        <v>1</v>
      </c>
    </row>
    <row r="84" spans="6:35" x14ac:dyDescent="0.25">
      <c r="L84" s="142" t="s">
        <v>60</v>
      </c>
      <c r="M84" s="143"/>
      <c r="N84" s="144" t="s">
        <v>61</v>
      </c>
      <c r="O84" s="143"/>
      <c r="Q84" s="145" t="s">
        <v>67</v>
      </c>
      <c r="R84" s="146" t="s">
        <v>73</v>
      </c>
      <c r="AA84" s="136">
        <v>2</v>
      </c>
      <c r="AB84" s="146">
        <v>60</v>
      </c>
      <c r="AC84" s="147">
        <f t="shared" si="47"/>
        <v>2.8105247474363479</v>
      </c>
      <c r="AE84" s="148">
        <f t="shared" si="48"/>
        <v>0</v>
      </c>
      <c r="AF84" s="149">
        <f t="shared" si="49"/>
        <v>0.48954372623574161</v>
      </c>
      <c r="AG84" s="150">
        <f t="shared" si="50"/>
        <v>1</v>
      </c>
      <c r="AH84" s="151">
        <f t="shared" si="51"/>
        <v>1.3209810212006063</v>
      </c>
      <c r="AI84" s="152">
        <f t="shared" si="52"/>
        <v>1</v>
      </c>
    </row>
    <row r="85" spans="6:35" ht="15" customHeight="1" x14ac:dyDescent="0.25">
      <c r="F85" s="121"/>
      <c r="G85" s="121"/>
      <c r="H85" s="121"/>
      <c r="I85" s="121"/>
      <c r="J85" s="121"/>
      <c r="K85" s="121"/>
      <c r="N85" s="121"/>
      <c r="O85" s="121"/>
      <c r="P85" s="121"/>
      <c r="Q85" s="145" t="s">
        <v>68</v>
      </c>
      <c r="R85" s="146" t="s">
        <v>73</v>
      </c>
      <c r="S85" s="121"/>
      <c r="AA85" s="136">
        <v>3</v>
      </c>
      <c r="AB85" s="146">
        <v>59</v>
      </c>
      <c r="AC85" s="147">
        <f t="shared" si="47"/>
        <v>2.6148294756666699</v>
      </c>
      <c r="AE85" s="148">
        <f t="shared" si="48"/>
        <v>0</v>
      </c>
      <c r="AF85" s="149">
        <f t="shared" si="49"/>
        <v>0.28992395437262353</v>
      </c>
      <c r="AG85" s="150">
        <f t="shared" si="50"/>
        <v>1</v>
      </c>
      <c r="AH85" s="151">
        <f t="shared" si="51"/>
        <v>1.3249055212940466</v>
      </c>
      <c r="AI85" s="152">
        <f t="shared" si="52"/>
        <v>1</v>
      </c>
    </row>
    <row r="86" spans="6:35" ht="15" customHeight="1" x14ac:dyDescent="0.25">
      <c r="F86" s="121"/>
      <c r="G86" s="121"/>
      <c r="H86" s="121"/>
      <c r="I86" s="121"/>
      <c r="J86" s="121"/>
      <c r="K86" s="121"/>
      <c r="L86" s="224" t="s">
        <v>62</v>
      </c>
      <c r="M86" s="225"/>
      <c r="N86" s="225"/>
      <c r="O86" s="226"/>
      <c r="P86" s="121"/>
      <c r="Q86" s="145" t="s">
        <v>69</v>
      </c>
      <c r="R86" s="146" t="s">
        <v>73</v>
      </c>
      <c r="S86" s="121"/>
      <c r="AA86" s="136">
        <v>4</v>
      </c>
      <c r="AB86" s="146">
        <v>58</v>
      </c>
      <c r="AC86" s="147">
        <f t="shared" si="47"/>
        <v>2.5289062814072354</v>
      </c>
      <c r="AE86" s="148">
        <f t="shared" si="48"/>
        <v>0</v>
      </c>
      <c r="AF86" s="149">
        <f t="shared" si="49"/>
        <v>0.30893536121673004</v>
      </c>
      <c r="AG86" s="150">
        <f t="shared" si="50"/>
        <v>1</v>
      </c>
      <c r="AH86" s="151">
        <f t="shared" si="51"/>
        <v>1.2199709201905053</v>
      </c>
      <c r="AI86" s="152">
        <f t="shared" si="52"/>
        <v>1</v>
      </c>
    </row>
    <row r="87" spans="6:35" ht="15" customHeight="1" x14ac:dyDescent="0.25">
      <c r="F87" s="121"/>
      <c r="G87" s="121"/>
      <c r="H87" s="121"/>
      <c r="I87" s="121"/>
      <c r="J87" s="121"/>
      <c r="K87" s="121"/>
      <c r="L87" s="227"/>
      <c r="M87" s="229"/>
      <c r="N87" s="229"/>
      <c r="O87" s="248"/>
      <c r="P87" s="121"/>
      <c r="Q87" s="153" t="s">
        <v>70</v>
      </c>
      <c r="R87" s="154" t="s">
        <v>73</v>
      </c>
      <c r="S87" s="121"/>
      <c r="AA87" s="136">
        <v>5</v>
      </c>
      <c r="AB87" s="146">
        <v>57</v>
      </c>
      <c r="AC87" s="147">
        <f t="shared" si="47"/>
        <v>4.0349352880993852</v>
      </c>
      <c r="AE87" s="148">
        <f t="shared" si="48"/>
        <v>1</v>
      </c>
      <c r="AF87" s="149">
        <f t="shared" si="49"/>
        <v>0.24714828897338426</v>
      </c>
      <c r="AG87" s="150">
        <f t="shared" si="50"/>
        <v>2</v>
      </c>
      <c r="AH87" s="151">
        <f t="shared" si="51"/>
        <v>0.78778699912600114</v>
      </c>
      <c r="AI87" s="152">
        <f t="shared" si="52"/>
        <v>1</v>
      </c>
    </row>
    <row r="88" spans="6:35" ht="15" customHeight="1" x14ac:dyDescent="0.25">
      <c r="F88" s="121"/>
      <c r="G88" s="121"/>
      <c r="H88" s="121"/>
      <c r="I88" s="121"/>
      <c r="J88" s="121"/>
      <c r="K88" s="121"/>
      <c r="L88" s="145" t="s">
        <v>58</v>
      </c>
      <c r="M88" s="155">
        <v>7</v>
      </c>
      <c r="N88" s="134" t="s">
        <v>57</v>
      </c>
      <c r="O88" s="131">
        <v>200</v>
      </c>
      <c r="P88" s="121"/>
      <c r="Q88" s="121"/>
      <c r="R88" s="121"/>
      <c r="S88" s="121"/>
      <c r="AA88" s="136">
        <v>6</v>
      </c>
      <c r="AB88" s="146">
        <v>56</v>
      </c>
      <c r="AC88" s="147">
        <f t="shared" si="47"/>
        <v>3.0569201832775574</v>
      </c>
      <c r="AE88" s="148">
        <f t="shared" si="48"/>
        <v>1</v>
      </c>
      <c r="AF88" s="149">
        <f t="shared" si="49"/>
        <v>0.22813688212927763</v>
      </c>
      <c r="AG88" s="150">
        <f t="shared" si="50"/>
        <v>1</v>
      </c>
      <c r="AH88" s="151">
        <f t="shared" si="51"/>
        <v>0.82878330114827947</v>
      </c>
      <c r="AI88" s="152">
        <f t="shared" si="52"/>
        <v>1</v>
      </c>
    </row>
    <row r="89" spans="6:35" ht="15" customHeight="1" x14ac:dyDescent="0.25">
      <c r="F89" s="121"/>
      <c r="G89" s="121"/>
      <c r="H89" s="121"/>
      <c r="I89" s="121"/>
      <c r="J89" s="121"/>
      <c r="K89" s="121"/>
      <c r="L89" s="156"/>
      <c r="M89" s="157"/>
      <c r="N89" s="153" t="s">
        <v>59</v>
      </c>
      <c r="O89" s="157"/>
      <c r="P89" s="121"/>
      <c r="Q89" s="121"/>
      <c r="R89" s="121"/>
      <c r="S89" s="121"/>
      <c r="AA89" s="136">
        <v>7</v>
      </c>
      <c r="AB89" s="146">
        <v>55</v>
      </c>
      <c r="AC89" s="147">
        <f t="shared" si="47"/>
        <v>10</v>
      </c>
      <c r="AE89" s="148">
        <f t="shared" si="48"/>
        <v>1</v>
      </c>
      <c r="AF89" s="149">
        <f t="shared" si="49"/>
        <v>0.11882129277566555</v>
      </c>
      <c r="AG89" s="150">
        <f t="shared" si="50"/>
        <v>1</v>
      </c>
      <c r="AH89" s="151">
        <f t="shared" si="51"/>
        <v>0.72581095009145824</v>
      </c>
      <c r="AI89" s="152">
        <f t="shared" si="52"/>
        <v>1</v>
      </c>
    </row>
    <row r="90" spans="6:35" x14ac:dyDescent="0.25">
      <c r="AA90" s="136">
        <v>8</v>
      </c>
      <c r="AB90" s="146">
        <v>54</v>
      </c>
      <c r="AC90" s="147">
        <f t="shared" si="47"/>
        <v>4.2353436965954758</v>
      </c>
      <c r="AE90" s="148">
        <f t="shared" si="48"/>
        <v>1</v>
      </c>
      <c r="AF90" s="149">
        <f t="shared" si="49"/>
        <v>0.57034220532319413</v>
      </c>
      <c r="AG90" s="150">
        <f t="shared" si="50"/>
        <v>2</v>
      </c>
      <c r="AH90" s="151">
        <f t="shared" si="51"/>
        <v>0.6650014912722817</v>
      </c>
      <c r="AI90" s="152">
        <f t="shared" si="52"/>
        <v>1</v>
      </c>
    </row>
    <row r="91" spans="6:35" ht="18.75" x14ac:dyDescent="0.3">
      <c r="I91" s="158" t="s">
        <v>79</v>
      </c>
      <c r="J91" s="159"/>
      <c r="K91" s="160"/>
      <c r="L91" s="160"/>
      <c r="M91" s="159"/>
      <c r="N91" s="159"/>
      <c r="O91" s="159"/>
      <c r="P91" s="159"/>
      <c r="Q91" s="159"/>
      <c r="AA91" s="136">
        <v>9</v>
      </c>
      <c r="AB91" s="146">
        <v>53</v>
      </c>
      <c r="AC91" s="147">
        <f t="shared" si="47"/>
        <v>4.1637453741185286</v>
      </c>
      <c r="AE91" s="148">
        <f t="shared" si="48"/>
        <v>1</v>
      </c>
      <c r="AF91" s="149">
        <f t="shared" si="49"/>
        <v>0.50855513307984801</v>
      </c>
      <c r="AG91" s="150">
        <f t="shared" si="50"/>
        <v>2</v>
      </c>
      <c r="AH91" s="151">
        <f t="shared" si="51"/>
        <v>0.65519024103868051</v>
      </c>
      <c r="AI91" s="152">
        <f t="shared" si="52"/>
        <v>1</v>
      </c>
    </row>
    <row r="92" spans="6:35" x14ac:dyDescent="0.25">
      <c r="I92" s="161" t="s">
        <v>94</v>
      </c>
      <c r="J92" s="161"/>
      <c r="K92" s="161"/>
      <c r="L92" s="162"/>
      <c r="M92" s="162"/>
      <c r="N92" s="161"/>
      <c r="O92" s="161" t="s">
        <v>95</v>
      </c>
      <c r="P92" s="161"/>
      <c r="Q92" s="161"/>
      <c r="AA92" s="136">
        <v>10</v>
      </c>
      <c r="AB92" s="146">
        <v>52</v>
      </c>
      <c r="AC92" s="147">
        <f t="shared" si="47"/>
        <v>2.9231578290606914</v>
      </c>
      <c r="AE92" s="148">
        <f t="shared" si="48"/>
        <v>1</v>
      </c>
      <c r="AF92" s="149">
        <f t="shared" si="49"/>
        <v>0.2994296577946769</v>
      </c>
      <c r="AG92" s="150">
        <f t="shared" si="50"/>
        <v>1</v>
      </c>
      <c r="AH92" s="151">
        <f t="shared" si="51"/>
        <v>0.62372817126601465</v>
      </c>
      <c r="AI92" s="152">
        <f t="shared" si="52"/>
        <v>1</v>
      </c>
    </row>
    <row r="93" spans="6:35" x14ac:dyDescent="0.25">
      <c r="I93" s="161" t="s">
        <v>96</v>
      </c>
      <c r="J93" s="161"/>
      <c r="K93" s="161"/>
      <c r="L93" s="162"/>
      <c r="M93" s="162"/>
      <c r="N93" s="161"/>
      <c r="O93" s="161" t="s">
        <v>97</v>
      </c>
      <c r="P93" s="161"/>
      <c r="Q93" s="161"/>
      <c r="AA93" s="136">
        <v>11</v>
      </c>
      <c r="AB93" s="146">
        <v>51</v>
      </c>
      <c r="AC93" s="147">
        <f t="shared" si="47"/>
        <v>4.255569397213705</v>
      </c>
      <c r="AE93" s="148">
        <f t="shared" si="48"/>
        <v>1</v>
      </c>
      <c r="AF93" s="149">
        <f t="shared" si="49"/>
        <v>0.55608365019011419</v>
      </c>
      <c r="AG93" s="150">
        <f t="shared" si="50"/>
        <v>2</v>
      </c>
      <c r="AH93" s="151">
        <f t="shared" si="51"/>
        <v>0.69948574702359045</v>
      </c>
      <c r="AI93" s="152">
        <f t="shared" si="52"/>
        <v>1</v>
      </c>
    </row>
    <row r="94" spans="6:35" x14ac:dyDescent="0.25">
      <c r="I94" s="161" t="s">
        <v>98</v>
      </c>
      <c r="J94" s="161"/>
      <c r="K94" s="161"/>
      <c r="L94" s="162"/>
      <c r="M94" s="162"/>
      <c r="N94" s="161"/>
      <c r="O94" s="161" t="s">
        <v>99</v>
      </c>
      <c r="P94" s="161"/>
      <c r="Q94" s="161"/>
      <c r="AA94" s="136">
        <v>12</v>
      </c>
      <c r="AB94" s="146">
        <v>50</v>
      </c>
      <c r="AC94" s="147">
        <f t="shared" si="47"/>
        <v>10</v>
      </c>
      <c r="AE94" s="148">
        <f t="shared" si="48"/>
        <v>1</v>
      </c>
      <c r="AF94" s="149">
        <f t="shared" si="49"/>
        <v>0.68441064638783289</v>
      </c>
      <c r="AG94" s="150">
        <f t="shared" si="50"/>
        <v>1</v>
      </c>
      <c r="AH94" s="151">
        <f t="shared" si="51"/>
        <v>0.59429442056521098</v>
      </c>
      <c r="AI94" s="152">
        <f t="shared" si="52"/>
        <v>1</v>
      </c>
    </row>
    <row r="95" spans="6:35" x14ac:dyDescent="0.25">
      <c r="I95" s="161" t="s">
        <v>100</v>
      </c>
      <c r="J95" s="161"/>
      <c r="K95" s="161"/>
      <c r="L95" s="162"/>
      <c r="M95" s="162"/>
      <c r="N95" s="161"/>
      <c r="O95" s="161" t="s">
        <v>101</v>
      </c>
      <c r="P95" s="161"/>
      <c r="Q95" s="161"/>
      <c r="AA95" s="136">
        <v>13</v>
      </c>
      <c r="AB95" s="146">
        <v>49</v>
      </c>
      <c r="AC95" s="147">
        <f t="shared" si="47"/>
        <v>4.501755127600533</v>
      </c>
      <c r="AE95" s="148">
        <f t="shared" si="48"/>
        <v>2</v>
      </c>
      <c r="AF95" s="149">
        <f t="shared" si="49"/>
        <v>1.1216730038022815</v>
      </c>
      <c r="AG95" s="150">
        <f t="shared" si="50"/>
        <v>1</v>
      </c>
      <c r="AH95" s="151">
        <f t="shared" si="51"/>
        <v>0.38008212379825163</v>
      </c>
      <c r="AI95" s="152">
        <f t="shared" si="52"/>
        <v>1</v>
      </c>
    </row>
    <row r="96" spans="6:35" x14ac:dyDescent="0.25">
      <c r="I96" s="161" t="s">
        <v>102</v>
      </c>
      <c r="J96" s="161"/>
      <c r="K96" s="161"/>
      <c r="L96" s="162"/>
      <c r="M96" s="162"/>
      <c r="N96" s="161"/>
      <c r="O96" s="161"/>
      <c r="P96" s="161" t="s">
        <v>103</v>
      </c>
      <c r="Q96" s="161"/>
      <c r="AA96" s="136">
        <v>14</v>
      </c>
      <c r="AB96" s="146">
        <v>48</v>
      </c>
      <c r="AC96" s="147">
        <f t="shared" si="47"/>
        <v>4.1306826476333898</v>
      </c>
      <c r="AE96" s="148">
        <f t="shared" si="48"/>
        <v>2</v>
      </c>
      <c r="AF96" s="149">
        <f t="shared" si="49"/>
        <v>0.45152091254752869</v>
      </c>
      <c r="AG96" s="150">
        <f t="shared" si="50"/>
        <v>1</v>
      </c>
      <c r="AH96" s="151">
        <f t="shared" si="51"/>
        <v>0.67916173508586142</v>
      </c>
      <c r="AI96" s="152">
        <f t="shared" si="52"/>
        <v>1</v>
      </c>
    </row>
    <row r="97" spans="9:35" x14ac:dyDescent="0.25">
      <c r="I97" s="161" t="s">
        <v>104</v>
      </c>
      <c r="J97" s="161"/>
      <c r="K97" s="161"/>
      <c r="L97" s="162"/>
      <c r="M97" s="162"/>
      <c r="N97" s="161"/>
      <c r="O97" s="161"/>
      <c r="P97" s="161" t="s">
        <v>105</v>
      </c>
      <c r="Q97" s="161"/>
      <c r="AA97" s="136">
        <v>15</v>
      </c>
      <c r="AB97" s="146">
        <v>47</v>
      </c>
      <c r="AC97" s="147">
        <f t="shared" si="47"/>
        <v>4.0599355726878539</v>
      </c>
      <c r="AE97" s="148">
        <f t="shared" si="48"/>
        <v>2</v>
      </c>
      <c r="AF97" s="149">
        <f t="shared" si="49"/>
        <v>0.4277566539923956</v>
      </c>
      <c r="AG97" s="150">
        <f t="shared" si="50"/>
        <v>1</v>
      </c>
      <c r="AH97" s="151">
        <f t="shared" si="51"/>
        <v>0.6321789186954575</v>
      </c>
      <c r="AI97" s="152">
        <f t="shared" si="52"/>
        <v>1</v>
      </c>
    </row>
    <row r="98" spans="9:35" x14ac:dyDescent="0.25">
      <c r="I98" s="161" t="s">
        <v>83</v>
      </c>
      <c r="J98" s="161"/>
      <c r="K98" s="161"/>
      <c r="L98" s="162"/>
      <c r="M98" s="162"/>
      <c r="N98" s="163" t="s">
        <v>77</v>
      </c>
      <c r="O98" s="161"/>
      <c r="P98" s="161"/>
      <c r="Q98" s="161"/>
      <c r="AA98" s="136">
        <v>16</v>
      </c>
      <c r="AB98" s="146">
        <v>46</v>
      </c>
      <c r="AC98" s="147">
        <f t="shared" si="47"/>
        <v>3.4580937116377526</v>
      </c>
      <c r="AE98" s="148">
        <f t="shared" si="48"/>
        <v>2</v>
      </c>
      <c r="AF98" s="149">
        <f t="shared" si="49"/>
        <v>2.8517110266159884E-2</v>
      </c>
      <c r="AG98" s="150">
        <f t="shared" si="50"/>
        <v>1</v>
      </c>
      <c r="AH98" s="151">
        <f t="shared" si="51"/>
        <v>0.42957660137159293</v>
      </c>
      <c r="AI98" s="152">
        <f t="shared" si="52"/>
        <v>1</v>
      </c>
    </row>
    <row r="99" spans="9:35" x14ac:dyDescent="0.25">
      <c r="I99" s="161" t="s">
        <v>84</v>
      </c>
      <c r="J99" s="161"/>
      <c r="K99" s="161"/>
      <c r="L99" s="162"/>
      <c r="M99" s="162"/>
      <c r="N99" s="163" t="s">
        <v>78</v>
      </c>
      <c r="O99" s="161"/>
      <c r="P99" s="161"/>
      <c r="Q99" s="161"/>
      <c r="AA99" s="136">
        <v>17</v>
      </c>
      <c r="AB99" s="146">
        <v>45</v>
      </c>
      <c r="AC99" s="147">
        <f t="shared" si="47"/>
        <v>4.1666169867253373</v>
      </c>
      <c r="AE99" s="148">
        <f t="shared" si="48"/>
        <v>2</v>
      </c>
      <c r="AF99" s="149">
        <f t="shared" si="49"/>
        <v>0.71768060836501912</v>
      </c>
      <c r="AG99" s="150">
        <f t="shared" si="50"/>
        <v>1</v>
      </c>
      <c r="AH99" s="151">
        <f t="shared" si="51"/>
        <v>0.4489363783603178</v>
      </c>
      <c r="AI99" s="152">
        <f t="shared" si="52"/>
        <v>1</v>
      </c>
    </row>
    <row r="100" spans="9:35" x14ac:dyDescent="0.25">
      <c r="I100" s="161"/>
      <c r="J100" s="164" t="s">
        <v>106</v>
      </c>
      <c r="K100" s="161"/>
      <c r="L100" s="162"/>
      <c r="M100" s="162"/>
      <c r="N100" s="161" t="s">
        <v>107</v>
      </c>
      <c r="O100" s="161"/>
      <c r="P100" s="161"/>
      <c r="Q100" s="161"/>
      <c r="AA100" s="136">
        <v>18</v>
      </c>
      <c r="AB100" s="146">
        <v>44</v>
      </c>
      <c r="AC100" s="147">
        <f t="shared" si="47"/>
        <v>4.3439439732215401</v>
      </c>
      <c r="AE100" s="148">
        <f t="shared" si="48"/>
        <v>1</v>
      </c>
      <c r="AF100" s="149">
        <f t="shared" si="49"/>
        <v>0.45505508433265085</v>
      </c>
      <c r="AG100" s="150">
        <f t="shared" si="50"/>
        <v>1</v>
      </c>
      <c r="AH100" s="151">
        <f t="shared" si="51"/>
        <v>1.8888888888888888</v>
      </c>
      <c r="AI100" s="152">
        <f t="shared" si="52"/>
        <v>1</v>
      </c>
    </row>
    <row r="101" spans="9:35" x14ac:dyDescent="0.25">
      <c r="I101" s="164"/>
      <c r="J101" s="164" t="s">
        <v>108</v>
      </c>
      <c r="K101" s="165"/>
      <c r="L101" s="165"/>
      <c r="M101" s="163"/>
      <c r="N101" s="161" t="s">
        <v>109</v>
      </c>
      <c r="O101" s="163"/>
      <c r="P101" s="163"/>
      <c r="Q101" s="163"/>
      <c r="AA101" s="136">
        <v>19</v>
      </c>
      <c r="AB101" s="146">
        <v>43</v>
      </c>
      <c r="AC101" s="147">
        <f t="shared" si="47"/>
        <v>10</v>
      </c>
      <c r="AE101" s="148">
        <f t="shared" si="48"/>
        <v>0</v>
      </c>
      <c r="AF101" s="149">
        <f t="shared" si="49"/>
        <v>0.58935361216730064</v>
      </c>
      <c r="AG101" s="150">
        <f t="shared" si="50"/>
        <v>1</v>
      </c>
      <c r="AH101" s="151">
        <f t="shared" si="51"/>
        <v>1.3504147719014097</v>
      </c>
      <c r="AI101" s="152">
        <f t="shared" si="52"/>
        <v>1</v>
      </c>
    </row>
    <row r="102" spans="9:35" x14ac:dyDescent="0.25">
      <c r="I102" s="164"/>
      <c r="J102" s="164" t="s">
        <v>110</v>
      </c>
      <c r="K102" s="165"/>
      <c r="L102" s="165"/>
      <c r="M102" s="163"/>
      <c r="N102" s="161" t="s">
        <v>111</v>
      </c>
      <c r="O102" s="163"/>
      <c r="P102" s="163"/>
      <c r="Q102" s="163"/>
      <c r="AA102" s="136">
        <v>20</v>
      </c>
      <c r="AB102" s="146">
        <v>42</v>
      </c>
      <c r="AC102" s="147">
        <f t="shared" si="47"/>
        <v>3.1027384708348889</v>
      </c>
      <c r="AE102" s="148">
        <f t="shared" si="48"/>
        <v>0</v>
      </c>
      <c r="AF102" s="149">
        <f t="shared" si="49"/>
        <v>0.83174904942965733</v>
      </c>
      <c r="AG102" s="150">
        <f t="shared" si="50"/>
        <v>1</v>
      </c>
      <c r="AH102" s="151">
        <f t="shared" si="51"/>
        <v>1.2709894214052315</v>
      </c>
      <c r="AI102" s="152">
        <f t="shared" si="52"/>
        <v>1</v>
      </c>
    </row>
    <row r="103" spans="9:35" x14ac:dyDescent="0.25">
      <c r="I103" s="164"/>
      <c r="J103" s="164" t="s">
        <v>152</v>
      </c>
      <c r="K103" s="165"/>
      <c r="L103" s="165"/>
      <c r="M103" s="163"/>
      <c r="N103" s="163"/>
      <c r="O103" s="163"/>
      <c r="P103" s="163"/>
      <c r="Q103" s="163"/>
      <c r="AA103" s="136">
        <v>21</v>
      </c>
      <c r="AB103" s="146">
        <v>41</v>
      </c>
      <c r="AC103" s="147">
        <f t="shared" si="47"/>
        <v>3.0864965278735532</v>
      </c>
      <c r="AE103" s="148">
        <f t="shared" si="48"/>
        <v>1</v>
      </c>
      <c r="AF103" s="149">
        <f t="shared" si="49"/>
        <v>0.37446710450512755</v>
      </c>
      <c r="AG103" s="150">
        <f t="shared" si="50"/>
        <v>1</v>
      </c>
      <c r="AH103" s="151">
        <f t="shared" si="51"/>
        <v>0.71202942336842545</v>
      </c>
      <c r="AI103" s="152">
        <f t="shared" si="52"/>
        <v>1</v>
      </c>
    </row>
    <row r="104" spans="9:35" x14ac:dyDescent="0.25">
      <c r="I104" s="161" t="s">
        <v>85</v>
      </c>
      <c r="J104" s="163"/>
      <c r="K104" s="165"/>
      <c r="L104" s="165"/>
      <c r="M104" s="163"/>
      <c r="N104" s="163"/>
      <c r="O104" s="163"/>
      <c r="P104" s="163"/>
      <c r="Q104" s="163"/>
      <c r="AA104" s="136">
        <v>22</v>
      </c>
      <c r="AB104" s="146">
        <v>40</v>
      </c>
      <c r="AC104" s="147">
        <f t="shared" si="47"/>
        <v>3.053117530472337</v>
      </c>
      <c r="AE104" s="148">
        <f t="shared" si="48"/>
        <v>1</v>
      </c>
      <c r="AF104" s="149">
        <f t="shared" si="49"/>
        <v>0.32146560663670931</v>
      </c>
      <c r="AG104" s="150">
        <f t="shared" si="50"/>
        <v>1</v>
      </c>
      <c r="AH104" s="151">
        <f t="shared" si="51"/>
        <v>0.73165192383562783</v>
      </c>
      <c r="AI104" s="152">
        <f t="shared" si="52"/>
        <v>1</v>
      </c>
    </row>
    <row r="105" spans="9:35" x14ac:dyDescent="0.25">
      <c r="I105" s="164"/>
      <c r="J105" s="166" t="s">
        <v>80</v>
      </c>
      <c r="K105" s="160"/>
      <c r="L105" s="160"/>
      <c r="M105" s="159"/>
      <c r="N105" s="159"/>
      <c r="O105" s="159"/>
      <c r="P105" s="159"/>
      <c r="Q105" s="159"/>
      <c r="AA105" s="136">
        <v>23</v>
      </c>
      <c r="AB105" s="146">
        <v>39</v>
      </c>
      <c r="AC105" s="147">
        <f t="shared" si="47"/>
        <v>2.7965809209508192</v>
      </c>
      <c r="AE105" s="148">
        <f t="shared" si="48"/>
        <v>1</v>
      </c>
      <c r="AF105" s="149">
        <f t="shared" si="49"/>
        <v>5.7034220532319102E-2</v>
      </c>
      <c r="AG105" s="150">
        <f t="shared" si="50"/>
        <v>1</v>
      </c>
      <c r="AH105" s="151">
        <f t="shared" si="51"/>
        <v>0.73954670041850001</v>
      </c>
      <c r="AI105" s="152">
        <f t="shared" si="52"/>
        <v>1</v>
      </c>
    </row>
    <row r="106" spans="9:35" x14ac:dyDescent="0.25">
      <c r="I106" s="161" t="s">
        <v>86</v>
      </c>
      <c r="J106" s="159"/>
      <c r="K106" s="160"/>
      <c r="L106" s="160"/>
      <c r="M106" s="159"/>
      <c r="N106" s="159"/>
      <c r="O106" s="159"/>
      <c r="P106" s="159"/>
      <c r="Q106" s="159"/>
      <c r="AA106" s="136">
        <v>24</v>
      </c>
      <c r="AB106" s="146">
        <v>38</v>
      </c>
      <c r="AC106" s="147">
        <f t="shared" si="47"/>
        <v>10</v>
      </c>
      <c r="AE106" s="148">
        <f t="shared" si="48"/>
        <v>1</v>
      </c>
      <c r="AF106" s="149">
        <f t="shared" si="49"/>
        <v>0.38973384030418268</v>
      </c>
      <c r="AG106" s="150">
        <f t="shared" si="50"/>
        <v>1</v>
      </c>
      <c r="AH106" s="151">
        <f t="shared" si="51"/>
        <v>0.63353942149961584</v>
      </c>
      <c r="AI106" s="152">
        <f t="shared" si="52"/>
        <v>1</v>
      </c>
    </row>
    <row r="107" spans="9:35" x14ac:dyDescent="0.25">
      <c r="J107" s="164" t="s">
        <v>81</v>
      </c>
      <c r="K107" s="160"/>
      <c r="L107" s="160"/>
      <c r="M107" s="159"/>
      <c r="N107" s="159"/>
      <c r="O107" s="159"/>
      <c r="P107" s="159"/>
      <c r="Q107" s="159"/>
      <c r="AA107" s="136">
        <v>25</v>
      </c>
      <c r="AB107" s="146">
        <v>37</v>
      </c>
      <c r="AC107" s="147">
        <f t="shared" si="47"/>
        <v>4.1553494060215197</v>
      </c>
      <c r="AE107" s="148">
        <f t="shared" si="48"/>
        <v>1</v>
      </c>
      <c r="AF107" s="149">
        <f t="shared" si="49"/>
        <v>0.4039923954372624</v>
      </c>
      <c r="AG107" s="150">
        <f t="shared" si="50"/>
        <v>2</v>
      </c>
      <c r="AH107" s="151">
        <f t="shared" si="51"/>
        <v>0.75135701058425775</v>
      </c>
      <c r="AI107" s="152">
        <f t="shared" si="52"/>
        <v>1</v>
      </c>
    </row>
    <row r="108" spans="9:35" x14ac:dyDescent="0.25">
      <c r="J108" s="164" t="s">
        <v>82</v>
      </c>
      <c r="K108" s="160"/>
      <c r="L108" s="160"/>
      <c r="M108" s="159"/>
      <c r="N108" s="159"/>
      <c r="O108" s="159"/>
      <c r="P108" s="159"/>
      <c r="Q108" s="159"/>
      <c r="AA108" s="136">
        <v>26</v>
      </c>
      <c r="AB108" s="146">
        <v>36</v>
      </c>
      <c r="AC108" s="147">
        <f t="shared" si="47"/>
        <v>3.0548458401854379</v>
      </c>
      <c r="AE108" s="148">
        <f t="shared" si="48"/>
        <v>1</v>
      </c>
      <c r="AF108" s="149">
        <f t="shared" si="49"/>
        <v>0.32319391634980998</v>
      </c>
      <c r="AG108" s="150">
        <f t="shared" si="50"/>
        <v>1</v>
      </c>
      <c r="AH108" s="151">
        <f t="shared" si="51"/>
        <v>0.73165192383562783</v>
      </c>
      <c r="AI108" s="152">
        <f t="shared" si="52"/>
        <v>1</v>
      </c>
    </row>
    <row r="109" spans="9:35" x14ac:dyDescent="0.25">
      <c r="I109" s="164"/>
      <c r="J109" s="164" t="s">
        <v>152</v>
      </c>
      <c r="K109" s="160"/>
      <c r="L109" s="160"/>
      <c r="M109" s="159"/>
      <c r="N109" s="159"/>
      <c r="O109" s="159"/>
      <c r="P109" s="159"/>
      <c r="Q109" s="159"/>
      <c r="AA109" s="136">
        <v>27</v>
      </c>
      <c r="AB109" s="146">
        <v>35</v>
      </c>
      <c r="AC109" s="147">
        <f t="shared" si="47"/>
        <v>3.3169900814737998</v>
      </c>
      <c r="AE109" s="148">
        <f t="shared" si="48"/>
        <v>1</v>
      </c>
      <c r="AF109" s="149">
        <f t="shared" si="49"/>
        <v>0.82370576191868983</v>
      </c>
      <c r="AG109" s="150">
        <f t="shared" si="50"/>
        <v>1</v>
      </c>
      <c r="AH109" s="151">
        <f t="shared" si="51"/>
        <v>0.49328431955511004</v>
      </c>
      <c r="AI109" s="152">
        <f t="shared" si="52"/>
        <v>1</v>
      </c>
    </row>
    <row r="110" spans="9:35" x14ac:dyDescent="0.25">
      <c r="I110" s="161" t="s">
        <v>87</v>
      </c>
      <c r="J110" s="159"/>
      <c r="K110" s="160"/>
      <c r="L110" s="160"/>
      <c r="M110" s="159"/>
      <c r="N110" s="159"/>
      <c r="O110" s="159"/>
      <c r="AA110" s="136">
        <v>28</v>
      </c>
      <c r="AB110" s="146">
        <v>34</v>
      </c>
      <c r="AC110" s="147">
        <f t="shared" si="47"/>
        <v>4.5492836447107994</v>
      </c>
      <c r="AE110" s="148">
        <f t="shared" si="48"/>
        <v>2</v>
      </c>
      <c r="AF110" s="149">
        <f t="shared" si="49"/>
        <v>1.1692015209125477</v>
      </c>
      <c r="AG110" s="150">
        <f t="shared" si="50"/>
        <v>1</v>
      </c>
      <c r="AH110" s="151">
        <f t="shared" si="51"/>
        <v>0.38008212379825163</v>
      </c>
      <c r="AI110" s="152">
        <f t="shared" si="52"/>
        <v>1</v>
      </c>
    </row>
    <row r="111" spans="9:35" x14ac:dyDescent="0.25">
      <c r="J111" s="164" t="s">
        <v>88</v>
      </c>
      <c r="M111" s="167" t="s">
        <v>89</v>
      </c>
      <c r="AA111" s="136">
        <v>29</v>
      </c>
      <c r="AB111" s="146">
        <v>33</v>
      </c>
      <c r="AC111" s="147">
        <f t="shared" si="47"/>
        <v>3.8771542369082503</v>
      </c>
      <c r="AE111" s="148">
        <f t="shared" si="48"/>
        <v>1</v>
      </c>
      <c r="AF111" s="149">
        <f t="shared" si="49"/>
        <v>0.21387832699619769</v>
      </c>
      <c r="AG111" s="150">
        <f t="shared" si="50"/>
        <v>1</v>
      </c>
      <c r="AH111" s="151">
        <f t="shared" si="51"/>
        <v>1.6632759099120527</v>
      </c>
      <c r="AI111" s="152">
        <f t="shared" si="52"/>
        <v>1</v>
      </c>
    </row>
    <row r="112" spans="9:35" x14ac:dyDescent="0.25">
      <c r="J112" s="164" t="s">
        <v>90</v>
      </c>
      <c r="M112" s="167" t="s">
        <v>93</v>
      </c>
      <c r="AA112" s="136">
        <v>30</v>
      </c>
      <c r="AB112" s="146">
        <v>32</v>
      </c>
      <c r="AC112" s="147">
        <f t="shared" si="47"/>
        <v>2.7970945439208541</v>
      </c>
      <c r="AE112" s="148">
        <f t="shared" si="48"/>
        <v>0</v>
      </c>
      <c r="AF112" s="149">
        <f t="shared" si="49"/>
        <v>0.48003802281368824</v>
      </c>
      <c r="AG112" s="150">
        <f t="shared" si="50"/>
        <v>1</v>
      </c>
      <c r="AH112" s="151">
        <f t="shared" si="51"/>
        <v>1.3170565211071659</v>
      </c>
      <c r="AI112" s="152">
        <f t="shared" si="52"/>
        <v>1</v>
      </c>
    </row>
    <row r="113" spans="5:35" x14ac:dyDescent="0.25">
      <c r="J113" s="164" t="s">
        <v>91</v>
      </c>
      <c r="M113" s="167" t="s">
        <v>92</v>
      </c>
      <c r="AA113" s="136">
        <v>31</v>
      </c>
      <c r="AB113" s="146">
        <v>31</v>
      </c>
      <c r="AC113" s="147">
        <f t="shared" si="47"/>
        <v>2.4377279708841524</v>
      </c>
      <c r="AE113" s="148">
        <f t="shared" si="48"/>
        <v>0</v>
      </c>
      <c r="AF113" s="149">
        <f t="shared" si="49"/>
        <v>0.21387832699619769</v>
      </c>
      <c r="AG113" s="150">
        <f t="shared" si="50"/>
        <v>1</v>
      </c>
      <c r="AH113" s="151">
        <f t="shared" si="51"/>
        <v>1.2238496438879545</v>
      </c>
      <c r="AI113" s="152">
        <f t="shared" si="52"/>
        <v>1</v>
      </c>
    </row>
    <row r="114" spans="5:35" x14ac:dyDescent="0.25">
      <c r="AA114" s="136">
        <v>32</v>
      </c>
      <c r="AB114" s="146">
        <v>30</v>
      </c>
      <c r="AC114" s="147">
        <f t="shared" si="47"/>
        <v>2.221099722584023</v>
      </c>
      <c r="AE114" s="148">
        <f t="shared" si="48"/>
        <v>0</v>
      </c>
      <c r="AF114" s="149">
        <f t="shared" si="49"/>
        <v>8.555133079847943E-2</v>
      </c>
      <c r="AG114" s="150">
        <f t="shared" si="50"/>
        <v>1</v>
      </c>
      <c r="AH114" s="151">
        <f t="shared" si="51"/>
        <v>1.1355483917855436</v>
      </c>
      <c r="AI114" s="152">
        <f t="shared" si="52"/>
        <v>1</v>
      </c>
    </row>
    <row r="115" spans="5:35" ht="18.75" x14ac:dyDescent="0.3">
      <c r="I115" s="158" t="s">
        <v>112</v>
      </c>
      <c r="O115" s="159"/>
      <c r="AA115" s="136">
        <v>33</v>
      </c>
      <c r="AB115" s="146">
        <v>29</v>
      </c>
      <c r="AC115" s="147">
        <f t="shared" ref="AC115:AC143" si="53">IF(INDEX($B$18:$AB$78,AA115,9)= 1, ((ABS($M$83-(INDEX($B$18:$AB$78,AA115,6))))+(ABS($O$83-(INDEX($B$18:$AB$78,AA115,17))))+(INDEX($B$18:$AB$78,AA115,27))+(INDEX($B$18:$AB$78,AA115,20)))*INDEX($B$18:$AB$78,AA115,2),10)</f>
        <v>2.7016290516793782</v>
      </c>
      <c r="AE115" s="148">
        <f t="shared" ref="AE115:AE143" si="54">(ABS($M$83-(INDEX($B$18:$AB$78,AA115,6))))</f>
        <v>1</v>
      </c>
      <c r="AF115" s="149">
        <f t="shared" ref="AF115:AF143" si="55">(ABS($O$83-(INDEX($B$18:$AB$78,AA115,17))))</f>
        <v>8.0798479087452746E-2</v>
      </c>
      <c r="AG115" s="150">
        <f t="shared" ref="AG115:AG143" si="56">(INDEX($B$18:$AB$78,AA115,20))</f>
        <v>1</v>
      </c>
      <c r="AH115" s="151">
        <f t="shared" ref="AH115:AH143" si="57" xml:space="preserve"> INDEX($B$18:$AB$78,AA115,27)</f>
        <v>0.62083057259192542</v>
      </c>
      <c r="AI115" s="152">
        <f t="shared" ref="AI115:AI143" si="58">INDEX($B$18:$AB$78,AA115,2)</f>
        <v>1</v>
      </c>
    </row>
    <row r="116" spans="5:35" x14ac:dyDescent="0.25">
      <c r="I116" s="161" t="s">
        <v>113</v>
      </c>
      <c r="O116" s="159"/>
      <c r="AA116" s="136">
        <v>34</v>
      </c>
      <c r="AB116" s="146">
        <v>28</v>
      </c>
      <c r="AC116" s="147">
        <f t="shared" si="53"/>
        <v>4.1108763570267337</v>
      </c>
      <c r="AE116" s="148">
        <f t="shared" si="54"/>
        <v>1</v>
      </c>
      <c r="AF116" s="149">
        <f t="shared" si="55"/>
        <v>0.26140684410646398</v>
      </c>
      <c r="AG116" s="150">
        <f t="shared" si="56"/>
        <v>2</v>
      </c>
      <c r="AH116" s="151">
        <f t="shared" si="57"/>
        <v>0.84946951292026973</v>
      </c>
      <c r="AI116" s="152">
        <f t="shared" si="58"/>
        <v>1</v>
      </c>
    </row>
    <row r="117" spans="5:35" x14ac:dyDescent="0.25">
      <c r="I117" s="161" t="s">
        <v>118</v>
      </c>
      <c r="AA117" s="136">
        <v>35</v>
      </c>
      <c r="AB117" s="146">
        <v>27</v>
      </c>
      <c r="AC117" s="147">
        <f t="shared" si="53"/>
        <v>4.1044754258647504</v>
      </c>
      <c r="AE117" s="148">
        <f t="shared" si="54"/>
        <v>1</v>
      </c>
      <c r="AF117" s="149">
        <f t="shared" si="55"/>
        <v>0.25190114068441072</v>
      </c>
      <c r="AG117" s="150">
        <f t="shared" si="56"/>
        <v>2</v>
      </c>
      <c r="AH117" s="151">
        <f t="shared" si="57"/>
        <v>0.85257428518034006</v>
      </c>
      <c r="AI117" s="152">
        <f t="shared" si="58"/>
        <v>1</v>
      </c>
    </row>
    <row r="118" spans="5:35" x14ac:dyDescent="0.25">
      <c r="J118" s="164" t="s">
        <v>115</v>
      </c>
      <c r="AA118" s="136">
        <v>36</v>
      </c>
      <c r="AB118" s="146">
        <v>26</v>
      </c>
      <c r="AC118" s="147">
        <f t="shared" si="53"/>
        <v>2.8005222971762933</v>
      </c>
      <c r="AE118" s="148">
        <f t="shared" si="54"/>
        <v>1</v>
      </c>
      <c r="AF118" s="149">
        <f t="shared" si="55"/>
        <v>0.20912547528517123</v>
      </c>
      <c r="AG118" s="150">
        <f t="shared" si="56"/>
        <v>1</v>
      </c>
      <c r="AH118" s="151">
        <f t="shared" si="57"/>
        <v>0.59139682189112197</v>
      </c>
      <c r="AI118" s="152">
        <f t="shared" si="58"/>
        <v>1</v>
      </c>
    </row>
    <row r="119" spans="5:35" x14ac:dyDescent="0.25">
      <c r="J119" s="164" t="s">
        <v>116</v>
      </c>
      <c r="AA119" s="136">
        <v>37</v>
      </c>
      <c r="AB119" s="146">
        <v>25</v>
      </c>
      <c r="AC119" s="147">
        <f t="shared" si="53"/>
        <v>2.9243800163068832</v>
      </c>
      <c r="AE119" s="148">
        <f t="shared" si="54"/>
        <v>1</v>
      </c>
      <c r="AF119" s="149">
        <f t="shared" si="55"/>
        <v>0.26140684410646398</v>
      </c>
      <c r="AG119" s="150">
        <f t="shared" si="56"/>
        <v>1</v>
      </c>
      <c r="AH119" s="151">
        <f t="shared" si="57"/>
        <v>0.66297317220041929</v>
      </c>
      <c r="AI119" s="152">
        <f t="shared" si="58"/>
        <v>1</v>
      </c>
    </row>
    <row r="120" spans="5:35" x14ac:dyDescent="0.25">
      <c r="J120" s="164" t="s">
        <v>114</v>
      </c>
      <c r="AA120" s="136">
        <v>38</v>
      </c>
      <c r="AB120" s="146">
        <v>24</v>
      </c>
      <c r="AC120" s="147">
        <f t="shared" si="53"/>
        <v>2.8958629060407235</v>
      </c>
      <c r="AE120" s="148">
        <f t="shared" si="54"/>
        <v>1</v>
      </c>
      <c r="AF120" s="149">
        <f t="shared" si="55"/>
        <v>0.23288973384030431</v>
      </c>
      <c r="AG120" s="150">
        <f t="shared" si="56"/>
        <v>1</v>
      </c>
      <c r="AH120" s="151">
        <f t="shared" si="57"/>
        <v>0.66297317220041929</v>
      </c>
      <c r="AI120" s="152">
        <f t="shared" si="58"/>
        <v>1</v>
      </c>
    </row>
    <row r="121" spans="5:35" x14ac:dyDescent="0.25">
      <c r="J121" s="164" t="s">
        <v>117</v>
      </c>
      <c r="AA121" s="136">
        <v>39</v>
      </c>
      <c r="AB121" s="146">
        <v>23</v>
      </c>
      <c r="AC121" s="147">
        <f t="shared" si="53"/>
        <v>10</v>
      </c>
      <c r="AE121" s="148">
        <f t="shared" si="54"/>
        <v>1</v>
      </c>
      <c r="AF121" s="149">
        <f t="shared" si="55"/>
        <v>0.41349809885931565</v>
      </c>
      <c r="AG121" s="150">
        <f t="shared" si="56"/>
        <v>1</v>
      </c>
      <c r="AH121" s="151">
        <f t="shared" si="57"/>
        <v>0.68259567266762189</v>
      </c>
      <c r="AI121" s="152">
        <f t="shared" si="58"/>
        <v>1</v>
      </c>
    </row>
    <row r="122" spans="5:35" x14ac:dyDescent="0.25">
      <c r="AA122" s="136">
        <v>40</v>
      </c>
      <c r="AB122" s="146">
        <v>22</v>
      </c>
      <c r="AC122" s="147">
        <f t="shared" si="53"/>
        <v>4.9449848556946616</v>
      </c>
      <c r="AE122" s="148">
        <f t="shared" si="54"/>
        <v>1</v>
      </c>
      <c r="AF122" s="149">
        <f t="shared" si="55"/>
        <v>0.17585551330798499</v>
      </c>
      <c r="AG122" s="150">
        <f t="shared" si="56"/>
        <v>2</v>
      </c>
      <c r="AH122" s="151">
        <f t="shared" si="57"/>
        <v>1.7691293423866772</v>
      </c>
      <c r="AI122" s="152">
        <f t="shared" si="58"/>
        <v>1</v>
      </c>
    </row>
    <row r="123" spans="5:35" ht="18.75" x14ac:dyDescent="0.25">
      <c r="F123" s="168" t="s">
        <v>123</v>
      </c>
      <c r="I123" s="121"/>
      <c r="J123" s="121"/>
      <c r="L123" s="159"/>
      <c r="M123" s="69"/>
      <c r="O123" s="159"/>
      <c r="AA123" s="136">
        <v>41</v>
      </c>
      <c r="AB123" s="146">
        <v>21</v>
      </c>
      <c r="AC123" s="147">
        <f t="shared" si="53"/>
        <v>2.4181054704169496</v>
      </c>
      <c r="AE123" s="148">
        <f t="shared" si="54"/>
        <v>0</v>
      </c>
      <c r="AF123" s="149">
        <f t="shared" si="55"/>
        <v>0.2138783269961978</v>
      </c>
      <c r="AG123" s="150">
        <f t="shared" si="56"/>
        <v>1</v>
      </c>
      <c r="AH123" s="151">
        <f t="shared" si="57"/>
        <v>1.2042271434207519</v>
      </c>
      <c r="AI123" s="152">
        <f t="shared" si="58"/>
        <v>1</v>
      </c>
    </row>
    <row r="124" spans="5:35" x14ac:dyDescent="0.25">
      <c r="E124" s="250" t="s">
        <v>127</v>
      </c>
      <c r="F124" s="250" t="s">
        <v>119</v>
      </c>
      <c r="G124" s="250" t="s">
        <v>0</v>
      </c>
      <c r="H124" s="250" t="s">
        <v>120</v>
      </c>
      <c r="I124" s="250" t="s">
        <v>34</v>
      </c>
      <c r="J124" s="250"/>
      <c r="K124" s="250"/>
      <c r="L124" s="250" t="s">
        <v>126</v>
      </c>
      <c r="M124" s="69"/>
      <c r="AA124" s="136">
        <v>42</v>
      </c>
      <c r="AB124" s="146">
        <v>20</v>
      </c>
      <c r="AC124" s="147">
        <f t="shared" si="53"/>
        <v>2.372907402692976</v>
      </c>
      <c r="AE124" s="148">
        <f t="shared" si="54"/>
        <v>0</v>
      </c>
      <c r="AF124" s="149">
        <f t="shared" si="55"/>
        <v>0.30893536121673015</v>
      </c>
      <c r="AG124" s="150">
        <f t="shared" si="56"/>
        <v>1</v>
      </c>
      <c r="AH124" s="151">
        <f t="shared" si="57"/>
        <v>1.0639720414762459</v>
      </c>
      <c r="AI124" s="152">
        <f t="shared" si="58"/>
        <v>1</v>
      </c>
    </row>
    <row r="125" spans="5:35" x14ac:dyDescent="0.25">
      <c r="E125" s="250"/>
      <c r="F125" s="250"/>
      <c r="G125" s="250"/>
      <c r="H125" s="250"/>
      <c r="I125" s="250"/>
      <c r="J125" s="250"/>
      <c r="K125" s="250"/>
      <c r="L125" s="250"/>
      <c r="AA125" s="136">
        <v>43</v>
      </c>
      <c r="AB125" s="146">
        <v>19</v>
      </c>
      <c r="AC125" s="147">
        <f t="shared" si="53"/>
        <v>4.2586248653291836</v>
      </c>
      <c r="AE125" s="148">
        <f t="shared" si="54"/>
        <v>1</v>
      </c>
      <c r="AF125" s="149">
        <f t="shared" si="55"/>
        <v>0.46102661596958194</v>
      </c>
      <c r="AG125" s="150">
        <f t="shared" si="56"/>
        <v>2</v>
      </c>
      <c r="AH125" s="151">
        <f t="shared" si="57"/>
        <v>0.79759824935960222</v>
      </c>
      <c r="AI125" s="152">
        <f t="shared" si="58"/>
        <v>1</v>
      </c>
    </row>
    <row r="126" spans="5:35" x14ac:dyDescent="0.25">
      <c r="E126" s="169">
        <v>1</v>
      </c>
      <c r="F126" s="169">
        <f>VLOOKUP(J81,E5:Y15,4,FALSE)</f>
        <v>3</v>
      </c>
      <c r="G126" s="169" t="str">
        <f>VLOOKUP(J81,E5:Y15,2,FALSE)</f>
        <v xml:space="preserve">Supv </v>
      </c>
      <c r="H126" s="170">
        <f>VLOOKUP(J81,E5:AB15,14,FALSE)</f>
        <v>1.1692015209125477</v>
      </c>
      <c r="I126" s="171" t="str">
        <f>VLOOKUP(J81,E5:Y15,15,FALSE)</f>
        <v>Macaé</v>
      </c>
      <c r="J126" s="172"/>
      <c r="K126" s="173"/>
      <c r="L126" s="174">
        <f>VLOOKUP(J81,E5:AB15,23,FALSE)</f>
        <v>0.58073257335077555</v>
      </c>
      <c r="AA126" s="136">
        <v>44</v>
      </c>
      <c r="AB126" s="146">
        <v>18</v>
      </c>
      <c r="AC126" s="147">
        <f t="shared" si="53"/>
        <v>3.125833069039289</v>
      </c>
      <c r="AE126" s="148">
        <f t="shared" si="54"/>
        <v>1</v>
      </c>
      <c r="AF126" s="149">
        <f t="shared" si="55"/>
        <v>0.4039923954372624</v>
      </c>
      <c r="AG126" s="150">
        <f t="shared" si="56"/>
        <v>1</v>
      </c>
      <c r="AH126" s="151">
        <f t="shared" si="57"/>
        <v>0.72184067360202642</v>
      </c>
      <c r="AI126" s="152">
        <f t="shared" si="58"/>
        <v>1</v>
      </c>
    </row>
    <row r="127" spans="5:35" x14ac:dyDescent="0.25">
      <c r="AA127" s="136">
        <v>45</v>
      </c>
      <c r="AB127" s="146">
        <v>17</v>
      </c>
      <c r="AC127" s="147">
        <f t="shared" si="53"/>
        <v>10</v>
      </c>
      <c r="AE127" s="148">
        <f t="shared" si="54"/>
        <v>1</v>
      </c>
      <c r="AF127" s="149">
        <f t="shared" si="55"/>
        <v>0.57034220532319413</v>
      </c>
      <c r="AG127" s="150">
        <f t="shared" si="56"/>
        <v>1</v>
      </c>
      <c r="AH127" s="151">
        <f t="shared" si="57"/>
        <v>0.55215182095671711</v>
      </c>
      <c r="AI127" s="152">
        <f t="shared" si="58"/>
        <v>1</v>
      </c>
    </row>
    <row r="128" spans="5:35" x14ac:dyDescent="0.25">
      <c r="AA128" s="136">
        <v>46</v>
      </c>
      <c r="AB128" s="146">
        <v>16</v>
      </c>
      <c r="AC128" s="147">
        <f t="shared" si="53"/>
        <v>10</v>
      </c>
      <c r="AE128" s="148">
        <f t="shared" si="54"/>
        <v>1</v>
      </c>
      <c r="AF128" s="149">
        <f t="shared" si="55"/>
        <v>0.61311787072243362</v>
      </c>
      <c r="AG128" s="150">
        <f t="shared" si="56"/>
        <v>2</v>
      </c>
      <c r="AH128" s="151">
        <f t="shared" si="57"/>
        <v>0.67986324655638797</v>
      </c>
      <c r="AI128" s="152">
        <f t="shared" si="58"/>
        <v>1</v>
      </c>
    </row>
    <row r="129" spans="5:35" ht="18.75" x14ac:dyDescent="0.25">
      <c r="F129" s="175" t="s">
        <v>121</v>
      </c>
      <c r="AA129" s="136">
        <v>47</v>
      </c>
      <c r="AB129" s="146">
        <v>15</v>
      </c>
      <c r="AC129" s="147">
        <f t="shared" si="53"/>
        <v>3.1694114497670816</v>
      </c>
      <c r="AE129" s="148">
        <f t="shared" si="54"/>
        <v>1</v>
      </c>
      <c r="AF129" s="149">
        <f t="shared" si="55"/>
        <v>0.6368821292775666</v>
      </c>
      <c r="AG129" s="150">
        <f t="shared" si="56"/>
        <v>1</v>
      </c>
      <c r="AH129" s="151">
        <f t="shared" si="57"/>
        <v>0.53252932048951485</v>
      </c>
      <c r="AI129" s="152">
        <f t="shared" si="58"/>
        <v>1</v>
      </c>
    </row>
    <row r="130" spans="5:35" x14ac:dyDescent="0.25">
      <c r="E130" s="238" t="s">
        <v>127</v>
      </c>
      <c r="F130" s="238" t="s">
        <v>119</v>
      </c>
      <c r="G130" s="238" t="s">
        <v>10</v>
      </c>
      <c r="H130" s="238" t="s">
        <v>0</v>
      </c>
      <c r="I130" s="238" t="s">
        <v>63</v>
      </c>
      <c r="J130" s="238" t="s">
        <v>120</v>
      </c>
      <c r="K130" s="251" t="s">
        <v>34</v>
      </c>
      <c r="L130" s="252"/>
      <c r="M130" s="238" t="s">
        <v>122</v>
      </c>
      <c r="N130" s="238" t="s">
        <v>36</v>
      </c>
      <c r="O130" s="238" t="s">
        <v>126</v>
      </c>
      <c r="P130" s="238" t="s">
        <v>125</v>
      </c>
      <c r="Q130" s="238" t="s">
        <v>124</v>
      </c>
      <c r="AA130" s="136">
        <v>48</v>
      </c>
      <c r="AB130" s="146">
        <v>14</v>
      </c>
      <c r="AC130" s="147">
        <f t="shared" si="53"/>
        <v>4.3829338348248674</v>
      </c>
      <c r="AE130" s="148">
        <f t="shared" si="54"/>
        <v>2</v>
      </c>
      <c r="AF130" s="149">
        <f t="shared" si="55"/>
        <v>1.0028517110266162</v>
      </c>
      <c r="AG130" s="150">
        <f t="shared" si="56"/>
        <v>1</v>
      </c>
      <c r="AH130" s="151">
        <f t="shared" si="57"/>
        <v>0.38008212379825163</v>
      </c>
      <c r="AI130" s="152">
        <f t="shared" si="58"/>
        <v>1</v>
      </c>
    </row>
    <row r="131" spans="5:35" x14ac:dyDescent="0.25">
      <c r="E131" s="239"/>
      <c r="F131" s="239"/>
      <c r="G131" s="239"/>
      <c r="H131" s="239"/>
      <c r="I131" s="239"/>
      <c r="J131" s="239"/>
      <c r="K131" s="253"/>
      <c r="L131" s="254"/>
      <c r="M131" s="239"/>
      <c r="N131" s="239"/>
      <c r="O131" s="239"/>
      <c r="P131" s="239"/>
      <c r="Q131" s="239"/>
      <c r="AA131" s="136">
        <v>49</v>
      </c>
      <c r="AB131" s="146">
        <v>13</v>
      </c>
      <c r="AC131" s="147">
        <f t="shared" si="53"/>
        <v>4.2043491340127161</v>
      </c>
      <c r="AE131" s="148">
        <f t="shared" si="54"/>
        <v>0</v>
      </c>
      <c r="AF131" s="149">
        <f t="shared" si="55"/>
        <v>0.77928627405450901</v>
      </c>
      <c r="AG131" s="150">
        <f t="shared" si="56"/>
        <v>2</v>
      </c>
      <c r="AH131" s="151">
        <f t="shared" si="57"/>
        <v>1.4250628599582067</v>
      </c>
      <c r="AI131" s="152">
        <f t="shared" si="58"/>
        <v>1</v>
      </c>
    </row>
    <row r="132" spans="5:35" x14ac:dyDescent="0.25">
      <c r="E132" s="169">
        <v>1</v>
      </c>
      <c r="F132" s="169">
        <f>INDEX($B$18:$AB$78,AA83,7)</f>
        <v>11</v>
      </c>
      <c r="G132" s="169" t="str">
        <f>INDEX($B$18:$AB$78,AA83,8)</f>
        <v>Ativo</v>
      </c>
      <c r="H132" s="169" t="str">
        <f>INDEX($B$18:$AB$78,AA83,5)</f>
        <v>Supte</v>
      </c>
      <c r="I132" s="169">
        <f>INDEX($B$18:$AB$78,AA83,1)</f>
        <v>1</v>
      </c>
      <c r="J132" s="170">
        <f>INDEX($B$18:$AB$78,AA83,17)</f>
        <v>1.7052265257459562</v>
      </c>
      <c r="K132" s="171" t="str">
        <f>INDEX($B$18:$AB$78,AA83,18)</f>
        <v>Belo Horizonte</v>
      </c>
      <c r="L132" s="176"/>
      <c r="M132" s="169">
        <f>INDEX($B$18:$AB$78,AA83,20)</f>
        <v>2</v>
      </c>
      <c r="N132" s="177">
        <f>INDEX($B$18:$AB$78,AA83,22)</f>
        <v>0.88888888888888884</v>
      </c>
      <c r="O132" s="177">
        <f>INDEX($B$18:$AB$78,AA83,26)</f>
        <v>1</v>
      </c>
      <c r="P132" s="170">
        <f>AC83</f>
        <v>5.5082472270556311</v>
      </c>
      <c r="Q132" s="178"/>
      <c r="AA132" s="136">
        <v>50</v>
      </c>
      <c r="AB132" s="146">
        <v>12</v>
      </c>
      <c r="AC132" s="147">
        <f t="shared" si="53"/>
        <v>10</v>
      </c>
      <c r="AE132" s="148">
        <f t="shared" si="54"/>
        <v>0</v>
      </c>
      <c r="AF132" s="149">
        <f t="shared" si="55"/>
        <v>0.35171102661596954</v>
      </c>
      <c r="AG132" s="150">
        <f t="shared" si="56"/>
        <v>1</v>
      </c>
      <c r="AH132" s="151">
        <f t="shared" si="57"/>
        <v>1.3111697709670049</v>
      </c>
      <c r="AI132" s="152">
        <f t="shared" si="58"/>
        <v>1</v>
      </c>
    </row>
    <row r="133" spans="5:35" x14ac:dyDescent="0.25">
      <c r="E133" s="179">
        <v>2</v>
      </c>
      <c r="F133" s="179">
        <f>INDEX($B$18:$AB$78,AA84,7)</f>
        <v>12</v>
      </c>
      <c r="G133" s="179" t="str">
        <f>INDEX($B$18:$AB$78,AA84,8)</f>
        <v>Ativo</v>
      </c>
      <c r="H133" s="179" t="str">
        <f>INDEX($B$18:$AB$78,AA84,5)</f>
        <v xml:space="preserve">Supv </v>
      </c>
      <c r="I133" s="179">
        <f>INDEX($B$18:$AB$78,AA84,1)</f>
        <v>1</v>
      </c>
      <c r="J133" s="180">
        <f>INDEX($B$18:$AB$78,AA84,17)</f>
        <v>1.6587452471482893</v>
      </c>
      <c r="K133" s="181" t="str">
        <f>INDEX($B$18:$AB$78,AA84,18)</f>
        <v>Rio de Janeiro</v>
      </c>
      <c r="L133" s="182"/>
      <c r="M133" s="179">
        <f>INDEX($B$18:$AB$78,AA84,20)</f>
        <v>1</v>
      </c>
      <c r="N133" s="183">
        <f t="shared" ref="N133:N136" si="59">INDEX($B$18:$AB$78,AA84,22)</f>
        <v>0.55555555555555558</v>
      </c>
      <c r="O133" s="183">
        <f t="shared" ref="O133:O136" si="60">INDEX($B$18:$AB$78,AA84,26)</f>
        <v>0.67548121846383857</v>
      </c>
      <c r="P133" s="180">
        <f>AC84</f>
        <v>2.8105247474363479</v>
      </c>
      <c r="Q133" s="184">
        <f>(P133/P132)-1</f>
        <v>-0.48976060231438068</v>
      </c>
      <c r="AA133" s="136">
        <v>51</v>
      </c>
      <c r="AB133" s="146">
        <v>11</v>
      </c>
      <c r="AC133" s="147">
        <f t="shared" si="53"/>
        <v>2.4311064640774251</v>
      </c>
      <c r="AE133" s="148">
        <f t="shared" si="54"/>
        <v>0</v>
      </c>
      <c r="AF133" s="149">
        <f t="shared" si="55"/>
        <v>0.18763431972226829</v>
      </c>
      <c r="AG133" s="150">
        <f t="shared" si="56"/>
        <v>1</v>
      </c>
      <c r="AH133" s="151">
        <f t="shared" si="57"/>
        <v>1.2434721443551568</v>
      </c>
      <c r="AI133" s="152">
        <f t="shared" si="58"/>
        <v>1</v>
      </c>
    </row>
    <row r="134" spans="5:35" x14ac:dyDescent="0.25">
      <c r="E134" s="169">
        <v>3</v>
      </c>
      <c r="F134" s="169">
        <f>INDEX($B$18:$AB$78,AA85,7)</f>
        <v>13</v>
      </c>
      <c r="G134" s="169" t="str">
        <f>INDEX($B$18:$AB$78,AA85,8)</f>
        <v>Ativo</v>
      </c>
      <c r="H134" s="169" t="str">
        <f>INDEX($B$18:$AB$78,AA85,5)</f>
        <v xml:space="preserve">Supv </v>
      </c>
      <c r="I134" s="169">
        <f>INDEX($B$18:$AB$78,AA85,1)</f>
        <v>1</v>
      </c>
      <c r="J134" s="170">
        <f>INDEX($B$18:$AB$78,AA85,17)</f>
        <v>1.4591254752851712</v>
      </c>
      <c r="K134" s="171" t="str">
        <f>INDEX($B$18:$AB$78,AA85,18)</f>
        <v>Rio de Janeiro</v>
      </c>
      <c r="L134" s="176"/>
      <c r="M134" s="169">
        <f>INDEX($B$18:$AB$78,AA85,20)</f>
        <v>1</v>
      </c>
      <c r="N134" s="177">
        <f t="shared" si="59"/>
        <v>0.55555555555555558</v>
      </c>
      <c r="O134" s="177">
        <f t="shared" si="60"/>
        <v>0.6777237899458044</v>
      </c>
      <c r="P134" s="170">
        <f>AC85</f>
        <v>2.6148294756666699</v>
      </c>
      <c r="Q134" s="185">
        <f t="shared" ref="Q134:Q136" si="61">(P134/P133)-1</f>
        <v>-6.962944266837845E-2</v>
      </c>
      <c r="AA134" s="136">
        <v>52</v>
      </c>
      <c r="AB134" s="146">
        <v>10</v>
      </c>
      <c r="AC134" s="147">
        <f t="shared" si="53"/>
        <v>2.9413884927438949</v>
      </c>
      <c r="AE134" s="148">
        <f t="shared" si="54"/>
        <v>1</v>
      </c>
      <c r="AF134" s="149">
        <f t="shared" si="55"/>
        <v>0.19011406844106482</v>
      </c>
      <c r="AG134" s="150">
        <f t="shared" si="56"/>
        <v>1</v>
      </c>
      <c r="AH134" s="151">
        <f t="shared" si="57"/>
        <v>0.7512744243028302</v>
      </c>
      <c r="AI134" s="152">
        <f t="shared" si="58"/>
        <v>1</v>
      </c>
    </row>
    <row r="135" spans="5:35" x14ac:dyDescent="0.25">
      <c r="E135" s="179">
        <v>4</v>
      </c>
      <c r="F135" s="179">
        <f>INDEX($B$18:$AB$78,AA86,7)</f>
        <v>14</v>
      </c>
      <c r="G135" s="179" t="str">
        <f>INDEX($B$18:$AB$78,AA86,8)</f>
        <v>Ativo</v>
      </c>
      <c r="H135" s="179" t="str">
        <f>INDEX($B$18:$AB$78,AA86,5)</f>
        <v xml:space="preserve">Supv </v>
      </c>
      <c r="I135" s="179">
        <f>INDEX($B$18:$AB$78,AA86,1)</f>
        <v>1</v>
      </c>
      <c r="J135" s="180">
        <f>INDEX($B$18:$AB$78,AA86,17)</f>
        <v>1.4781368821292777</v>
      </c>
      <c r="K135" s="181" t="str">
        <f>INDEX($B$18:$AB$78,AA86,18)</f>
        <v>Macaé</v>
      </c>
      <c r="L135" s="182"/>
      <c r="M135" s="179">
        <f>INDEX($B$18:$AB$78,AA86,20)</f>
        <v>1</v>
      </c>
      <c r="N135" s="183">
        <f t="shared" si="59"/>
        <v>0.15151515151515152</v>
      </c>
      <c r="O135" s="183">
        <f t="shared" si="60"/>
        <v>0.67548121846383857</v>
      </c>
      <c r="P135" s="180">
        <f>AC86</f>
        <v>2.5289062814072354</v>
      </c>
      <c r="Q135" s="184">
        <f t="shared" si="61"/>
        <v>-3.2859960872793748E-2</v>
      </c>
      <c r="AA135" s="136">
        <v>53</v>
      </c>
      <c r="AB135" s="146">
        <v>9</v>
      </c>
      <c r="AC135" s="147">
        <f t="shared" si="53"/>
        <v>4.1540700211586685</v>
      </c>
      <c r="AE135" s="148">
        <f t="shared" si="54"/>
        <v>1</v>
      </c>
      <c r="AF135" s="149">
        <f t="shared" si="55"/>
        <v>0.35171102661596976</v>
      </c>
      <c r="AG135" s="150">
        <f t="shared" si="56"/>
        <v>2</v>
      </c>
      <c r="AH135" s="151">
        <f t="shared" si="57"/>
        <v>0.80235899454269843</v>
      </c>
      <c r="AI135" s="152">
        <f t="shared" si="58"/>
        <v>1</v>
      </c>
    </row>
    <row r="136" spans="5:35" x14ac:dyDescent="0.25">
      <c r="E136" s="169">
        <v>5</v>
      </c>
      <c r="F136" s="169">
        <f>INDEX($B$18:$AB$78,AA87,7)</f>
        <v>15</v>
      </c>
      <c r="G136" s="169" t="str">
        <f>INDEX($B$18:$AB$78,AA87,8)</f>
        <v>Ativo</v>
      </c>
      <c r="H136" s="169" t="str">
        <f>INDEX($B$18:$AB$78,AA87,5)</f>
        <v>Operador</v>
      </c>
      <c r="I136" s="169">
        <f>INDEX($B$18:$AB$78,AA87,1)</f>
        <v>1</v>
      </c>
      <c r="J136" s="170">
        <f>INDEX($B$18:$AB$78,AA87,17)</f>
        <v>0.92205323193916344</v>
      </c>
      <c r="K136" s="171" t="str">
        <f>INDEX($B$18:$AB$78,AA87,18)</f>
        <v>Salvador</v>
      </c>
      <c r="L136" s="176"/>
      <c r="M136" s="169">
        <f>INDEX($B$18:$AB$78,AA87,20)</f>
        <v>2</v>
      </c>
      <c r="N136" s="177">
        <f t="shared" si="59"/>
        <v>0.85858585858585856</v>
      </c>
      <c r="O136" s="177">
        <f t="shared" si="60"/>
        <v>0.32750887684544944</v>
      </c>
      <c r="P136" s="170">
        <f>AC87</f>
        <v>4.0349352880993852</v>
      </c>
      <c r="Q136" s="185">
        <f t="shared" si="61"/>
        <v>0.59552582781126429</v>
      </c>
      <c r="AA136" s="136">
        <v>54</v>
      </c>
      <c r="AB136" s="146">
        <v>8</v>
      </c>
      <c r="AC136" s="147">
        <f t="shared" si="53"/>
        <v>3.0485652544166717</v>
      </c>
      <c r="AE136" s="148">
        <f t="shared" si="54"/>
        <v>1</v>
      </c>
      <c r="AF136" s="149">
        <f t="shared" si="55"/>
        <v>0.36596958174904948</v>
      </c>
      <c r="AG136" s="150">
        <f t="shared" si="56"/>
        <v>1</v>
      </c>
      <c r="AH136" s="151">
        <f t="shared" si="57"/>
        <v>0.68259567266762189</v>
      </c>
      <c r="AI136" s="152">
        <f t="shared" si="58"/>
        <v>1</v>
      </c>
    </row>
    <row r="137" spans="5:35" x14ac:dyDescent="0.25">
      <c r="L137" s="69"/>
      <c r="M137" s="69"/>
      <c r="AA137" s="136">
        <v>55</v>
      </c>
      <c r="AB137" s="146">
        <v>7</v>
      </c>
      <c r="AC137" s="147">
        <f t="shared" si="53"/>
        <v>3.0884213489741721</v>
      </c>
      <c r="AE137" s="148">
        <f t="shared" si="54"/>
        <v>1</v>
      </c>
      <c r="AF137" s="149">
        <f t="shared" si="55"/>
        <v>0.34695817490494307</v>
      </c>
      <c r="AG137" s="150">
        <f t="shared" si="56"/>
        <v>1</v>
      </c>
      <c r="AH137" s="151">
        <f t="shared" si="57"/>
        <v>0.74146317406922901</v>
      </c>
      <c r="AI137" s="152">
        <f t="shared" si="58"/>
        <v>1</v>
      </c>
    </row>
    <row r="138" spans="5:35" x14ac:dyDescent="0.25">
      <c r="L138" s="69"/>
      <c r="M138" s="69"/>
      <c r="AA138" s="136">
        <v>56</v>
      </c>
      <c r="AB138" s="146">
        <v>6</v>
      </c>
      <c r="AC138" s="147">
        <f t="shared" si="53"/>
        <v>3.0313871284418528</v>
      </c>
      <c r="AE138" s="148">
        <f t="shared" si="54"/>
        <v>1</v>
      </c>
      <c r="AF138" s="149">
        <f t="shared" si="55"/>
        <v>0.28992395437262375</v>
      </c>
      <c r="AG138" s="150">
        <f t="shared" si="56"/>
        <v>1</v>
      </c>
      <c r="AH138" s="151">
        <f t="shared" si="57"/>
        <v>0.74146317406922901</v>
      </c>
      <c r="AI138" s="152">
        <f t="shared" si="58"/>
        <v>1</v>
      </c>
    </row>
    <row r="139" spans="5:35" x14ac:dyDescent="0.25">
      <c r="L139" s="69"/>
      <c r="M139" s="69"/>
      <c r="AA139" s="136">
        <v>57</v>
      </c>
      <c r="AB139" s="146">
        <v>5</v>
      </c>
      <c r="AC139" s="147">
        <f t="shared" si="53"/>
        <v>3.165247719511501</v>
      </c>
      <c r="AE139" s="148">
        <f t="shared" si="54"/>
        <v>1</v>
      </c>
      <c r="AF139" s="149">
        <f t="shared" si="55"/>
        <v>0.55133079847908761</v>
      </c>
      <c r="AG139" s="150">
        <f t="shared" si="56"/>
        <v>1</v>
      </c>
      <c r="AH139" s="151">
        <f t="shared" si="57"/>
        <v>0.61391692103241335</v>
      </c>
      <c r="AI139" s="152">
        <f t="shared" si="58"/>
        <v>1</v>
      </c>
    </row>
    <row r="140" spans="5:35" x14ac:dyDescent="0.25">
      <c r="L140" s="69"/>
      <c r="M140" s="69"/>
      <c r="AA140" s="136">
        <v>58</v>
      </c>
      <c r="AB140" s="146">
        <v>4</v>
      </c>
      <c r="AC140" s="147">
        <f t="shared" si="53"/>
        <v>4.2086598671986035</v>
      </c>
      <c r="AE140" s="148">
        <f t="shared" si="54"/>
        <v>1</v>
      </c>
      <c r="AF140" s="149">
        <f t="shared" si="55"/>
        <v>0.48479087452471492</v>
      </c>
      <c r="AG140" s="150">
        <f t="shared" si="56"/>
        <v>2</v>
      </c>
      <c r="AH140" s="151">
        <f t="shared" si="57"/>
        <v>0.72386899267388882</v>
      </c>
      <c r="AI140" s="152">
        <f t="shared" si="58"/>
        <v>1</v>
      </c>
    </row>
    <row r="141" spans="5:35" x14ac:dyDescent="0.25">
      <c r="L141" s="69"/>
      <c r="M141" s="69"/>
      <c r="AA141" s="136">
        <v>59</v>
      </c>
      <c r="AB141" s="146">
        <v>3</v>
      </c>
      <c r="AC141" s="147">
        <f t="shared" si="53"/>
        <v>10</v>
      </c>
      <c r="AE141" s="148">
        <f t="shared" si="54"/>
        <v>0</v>
      </c>
      <c r="AF141" s="149">
        <f t="shared" si="55"/>
        <v>4.2775665399239493E-2</v>
      </c>
      <c r="AG141" s="150">
        <f t="shared" si="56"/>
        <v>1</v>
      </c>
      <c r="AH141" s="151">
        <f t="shared" si="57"/>
        <v>1.1649821424863469</v>
      </c>
      <c r="AI141" s="152">
        <f t="shared" si="58"/>
        <v>1</v>
      </c>
    </row>
    <row r="142" spans="5:35" x14ac:dyDescent="0.25">
      <c r="L142" s="69"/>
      <c r="M142" s="69"/>
      <c r="AA142" s="136">
        <v>60</v>
      </c>
      <c r="AB142" s="146">
        <v>2</v>
      </c>
      <c r="AC142" s="147">
        <f t="shared" si="53"/>
        <v>10</v>
      </c>
      <c r="AE142" s="148">
        <f t="shared" si="54"/>
        <v>1</v>
      </c>
      <c r="AF142" s="149">
        <f t="shared" si="55"/>
        <v>0.50380228136882155</v>
      </c>
      <c r="AG142" s="150">
        <f t="shared" si="56"/>
        <v>1</v>
      </c>
      <c r="AH142" s="151">
        <f t="shared" si="57"/>
        <v>0.59429442056521098</v>
      </c>
      <c r="AI142" s="152">
        <f t="shared" si="58"/>
        <v>1</v>
      </c>
    </row>
    <row r="143" spans="5:35" x14ac:dyDescent="0.25">
      <c r="AA143" s="136">
        <v>61</v>
      </c>
      <c r="AB143" s="154">
        <v>1</v>
      </c>
      <c r="AC143" s="186">
        <f t="shared" si="53"/>
        <v>4.416203796802054</v>
      </c>
      <c r="AE143" s="187">
        <f t="shared" si="54"/>
        <v>2</v>
      </c>
      <c r="AF143" s="188">
        <f t="shared" si="55"/>
        <v>1.0361216730038025</v>
      </c>
      <c r="AG143" s="189">
        <f t="shared" si="56"/>
        <v>1</v>
      </c>
      <c r="AH143" s="190">
        <f t="shared" si="57"/>
        <v>0.38008212379825163</v>
      </c>
      <c r="AI143" s="191">
        <f t="shared" si="58"/>
        <v>1</v>
      </c>
    </row>
    <row r="144" spans="5:35" ht="15.75" thickBot="1" x14ac:dyDescent="0.3"/>
    <row r="145" spans="23:29" ht="21.75" thickBot="1" x14ac:dyDescent="0.4">
      <c r="W145" s="192" t="s">
        <v>153</v>
      </c>
      <c r="AA145" s="193" t="str">
        <f>IF(SUM(AA83:AA143)=1891, "Ok","Erro")</f>
        <v>Ok</v>
      </c>
      <c r="AC145" s="194">
        <f>SUMPRODUCT(AB83:AB143,AC83:AC143)</f>
        <v>8367.0483022153458</v>
      </c>
    </row>
  </sheetData>
  <sheetProtection selectLockedCells="1" selectUnlockedCells="1"/>
  <mergeCells count="39">
    <mergeCell ref="AE81:AI81"/>
    <mergeCell ref="P130:P131"/>
    <mergeCell ref="Q130:Q131"/>
    <mergeCell ref="L124:L125"/>
    <mergeCell ref="E130:E131"/>
    <mergeCell ref="F130:F131"/>
    <mergeCell ref="G130:G131"/>
    <mergeCell ref="H130:H131"/>
    <mergeCell ref="I130:I131"/>
    <mergeCell ref="J130:J131"/>
    <mergeCell ref="K130:L131"/>
    <mergeCell ref="F124:F125"/>
    <mergeCell ref="G124:G125"/>
    <mergeCell ref="H124:H125"/>
    <mergeCell ref="E124:E125"/>
    <mergeCell ref="I124:K125"/>
    <mergeCell ref="M130:M131"/>
    <mergeCell ref="N130:N131"/>
    <mergeCell ref="B5:B15"/>
    <mergeCell ref="D5:D15"/>
    <mergeCell ref="D18:D27"/>
    <mergeCell ref="D28:D30"/>
    <mergeCell ref="L86:O87"/>
    <mergeCell ref="O130:O131"/>
    <mergeCell ref="B2:AB2"/>
    <mergeCell ref="B17:AB17"/>
    <mergeCell ref="D31:D34"/>
    <mergeCell ref="Q81:Q82"/>
    <mergeCell ref="L81:O82"/>
    <mergeCell ref="D35:D43"/>
    <mergeCell ref="D44:D45"/>
    <mergeCell ref="D46:D54"/>
    <mergeCell ref="D55:D56"/>
    <mergeCell ref="D57:D63"/>
    <mergeCell ref="D64:D65"/>
    <mergeCell ref="D66:D74"/>
    <mergeCell ref="D75:D78"/>
    <mergeCell ref="U5:U15"/>
    <mergeCell ref="AB5:AB15"/>
  </mergeCells>
  <conditionalFormatting sqref="AC83:AC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3:AC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R5:R14 W5:AA14 U18:AB78 R18:R78" unlocked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8DDF-4599-40EC-9687-C4B5C2E42BB1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288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289</v>
      </c>
    </row>
    <row r="8" spans="1:5" x14ac:dyDescent="0.25">
      <c r="A8" s="31"/>
      <c r="B8" t="s">
        <v>290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3" t="s">
        <v>165</v>
      </c>
      <c r="C15" s="33" t="s">
        <v>166</v>
      </c>
      <c r="D15" s="33" t="s">
        <v>167</v>
      </c>
      <c r="E15" s="33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6399.4084782564851</v>
      </c>
    </row>
    <row r="19" spans="1:6" ht="15.75" thickBot="1" x14ac:dyDescent="0.3">
      <c r="A19" t="s">
        <v>169</v>
      </c>
    </row>
    <row r="20" spans="1:6" ht="15.75" thickBot="1" x14ac:dyDescent="0.3">
      <c r="B20" s="33" t="s">
        <v>165</v>
      </c>
      <c r="C20" s="33" t="s">
        <v>166</v>
      </c>
      <c r="D20" s="33" t="s">
        <v>167</v>
      </c>
      <c r="E20" s="33" t="s">
        <v>168</v>
      </c>
      <c r="F20" s="33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41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42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51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3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4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31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23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30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33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2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38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10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36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52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37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54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56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20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26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6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22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55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44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21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57.000000000000007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47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15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35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14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34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25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17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58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53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9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49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8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11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43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18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48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61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13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259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250</v>
      </c>
      <c r="D72" s="36">
        <v>52</v>
      </c>
      <c r="E72" s="36">
        <v>12</v>
      </c>
      <c r="F72" s="34" t="s">
        <v>272</v>
      </c>
    </row>
    <row r="73" spans="2:6" x14ac:dyDescent="0.25">
      <c r="B73" s="34" t="s">
        <v>262</v>
      </c>
      <c r="C73" s="34" t="s">
        <v>259</v>
      </c>
      <c r="D73" s="36">
        <v>53</v>
      </c>
      <c r="E73" s="36">
        <v>45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54</v>
      </c>
      <c r="E74" s="36">
        <v>39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19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50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46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24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7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59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60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38" t="s">
        <v>172</v>
      </c>
      <c r="C85" s="38"/>
      <c r="D85" s="38"/>
      <c r="E85" s="38"/>
      <c r="F85" s="38"/>
      <c r="G85" s="38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BB22-042B-4BDD-A375-6E58720A90CC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291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292</v>
      </c>
    </row>
    <row r="8" spans="1:5" x14ac:dyDescent="0.25">
      <c r="A8" s="31"/>
      <c r="B8" t="s">
        <v>293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3" t="s">
        <v>165</v>
      </c>
      <c r="C15" s="33" t="s">
        <v>166</v>
      </c>
      <c r="D15" s="33" t="s">
        <v>167</v>
      </c>
      <c r="E15" s="33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6399.9710840908729</v>
      </c>
    </row>
    <row r="19" spans="1:6" ht="15.75" thickBot="1" x14ac:dyDescent="0.3">
      <c r="A19" t="s">
        <v>169</v>
      </c>
    </row>
    <row r="20" spans="1:6" ht="15.75" thickBot="1" x14ac:dyDescent="0.3">
      <c r="B20" s="33" t="s">
        <v>165</v>
      </c>
      <c r="C20" s="33" t="s">
        <v>166</v>
      </c>
      <c r="D20" s="33" t="s">
        <v>167</v>
      </c>
      <c r="E20" s="33" t="s">
        <v>168</v>
      </c>
      <c r="F20" s="33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42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51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3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41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4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31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23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30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36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2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52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37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38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10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56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26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22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6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54.000000000000007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21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55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44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47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27.000000000000004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20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57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15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29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9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14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34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35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53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25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49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17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58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43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8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11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18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48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61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13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250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259</v>
      </c>
      <c r="D72" s="36">
        <v>52</v>
      </c>
      <c r="E72" s="36">
        <v>12</v>
      </c>
      <c r="F72" s="34" t="s">
        <v>272</v>
      </c>
    </row>
    <row r="73" spans="2:6" x14ac:dyDescent="0.25">
      <c r="B73" s="34" t="s">
        <v>262</v>
      </c>
      <c r="C73" s="34" t="s">
        <v>259</v>
      </c>
      <c r="D73" s="36">
        <v>53</v>
      </c>
      <c r="E73" s="36">
        <v>45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54</v>
      </c>
      <c r="E74" s="36">
        <v>7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19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59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60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50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24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39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46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38" t="s">
        <v>172</v>
      </c>
      <c r="C85" s="38"/>
      <c r="D85" s="38"/>
      <c r="E85" s="38"/>
      <c r="F85" s="38"/>
      <c r="G85" s="38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2777-9673-45AF-A172-9D7C56A34D0E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294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295</v>
      </c>
    </row>
    <row r="8" spans="1:5" x14ac:dyDescent="0.25">
      <c r="A8" s="31"/>
      <c r="B8" t="s">
        <v>296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9" t="s">
        <v>165</v>
      </c>
      <c r="C15" s="39" t="s">
        <v>166</v>
      </c>
      <c r="D15" s="39" t="s">
        <v>167</v>
      </c>
      <c r="E15" s="39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6399.0771027836026</v>
      </c>
    </row>
    <row r="19" spans="1:6" ht="15.75" thickBot="1" x14ac:dyDescent="0.3">
      <c r="A19" t="s">
        <v>169</v>
      </c>
    </row>
    <row r="20" spans="1:6" ht="15.75" thickBot="1" x14ac:dyDescent="0.3">
      <c r="B20" s="39" t="s">
        <v>165</v>
      </c>
      <c r="C20" s="39" t="s">
        <v>166</v>
      </c>
      <c r="D20" s="39" t="s">
        <v>167</v>
      </c>
      <c r="E20" s="39" t="s">
        <v>168</v>
      </c>
      <c r="F20" s="39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51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31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42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41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3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4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36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23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29.999999999999996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2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52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38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10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37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22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26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56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55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6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20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21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54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56.999999999999993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44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47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15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14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35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34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25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17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9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53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43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58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49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11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8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48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18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61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13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259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259</v>
      </c>
      <c r="D72" s="36">
        <v>52</v>
      </c>
      <c r="E72" s="36">
        <v>24</v>
      </c>
      <c r="F72" s="34" t="s">
        <v>272</v>
      </c>
    </row>
    <row r="73" spans="2:6" x14ac:dyDescent="0.25">
      <c r="B73" s="34" t="s">
        <v>262</v>
      </c>
      <c r="C73" s="34" t="s">
        <v>250</v>
      </c>
      <c r="D73" s="36">
        <v>53</v>
      </c>
      <c r="E73" s="36">
        <v>60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54</v>
      </c>
      <c r="E74" s="36">
        <v>19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12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45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46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7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50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59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39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40" t="s">
        <v>172</v>
      </c>
      <c r="C85" s="40"/>
      <c r="D85" s="40"/>
      <c r="E85" s="40"/>
      <c r="F85" s="40"/>
      <c r="G85" s="40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2104-E41E-4400-8B98-7CD9A62E76F4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297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298</v>
      </c>
    </row>
    <row r="8" spans="1:5" x14ac:dyDescent="0.25">
      <c r="A8" s="31"/>
      <c r="B8" t="s">
        <v>299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9" t="s">
        <v>165</v>
      </c>
      <c r="C15" s="39" t="s">
        <v>166</v>
      </c>
      <c r="D15" s="39" t="s">
        <v>167</v>
      </c>
      <c r="E15" s="39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6399.1709415730083</v>
      </c>
    </row>
    <row r="19" spans="1:6" ht="15.75" thickBot="1" x14ac:dyDescent="0.3">
      <c r="A19" t="s">
        <v>169</v>
      </c>
    </row>
    <row r="20" spans="1:6" ht="15.75" thickBot="1" x14ac:dyDescent="0.3">
      <c r="B20" s="39" t="s">
        <v>165</v>
      </c>
      <c r="C20" s="39" t="s">
        <v>166</v>
      </c>
      <c r="D20" s="39" t="s">
        <v>167</v>
      </c>
      <c r="E20" s="39" t="s">
        <v>168</v>
      </c>
      <c r="F20" s="39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51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42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41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31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4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3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30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23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36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38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2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37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10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52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56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26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54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22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55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6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21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44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20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57.000000000000007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47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16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27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34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35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25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14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9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17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15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53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58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49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8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11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43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61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18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47.999999999999993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13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259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250</v>
      </c>
      <c r="D72" s="36">
        <v>52</v>
      </c>
      <c r="E72" s="36">
        <v>39</v>
      </c>
      <c r="F72" s="34" t="s">
        <v>272</v>
      </c>
    </row>
    <row r="73" spans="2:6" x14ac:dyDescent="0.25">
      <c r="B73" s="34" t="s">
        <v>262</v>
      </c>
      <c r="C73" s="34" t="s">
        <v>259</v>
      </c>
      <c r="D73" s="36">
        <v>53</v>
      </c>
      <c r="E73" s="36">
        <v>60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54</v>
      </c>
      <c r="E74" s="36">
        <v>45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59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12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7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24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50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19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46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40" t="s">
        <v>172</v>
      </c>
      <c r="C85" s="40"/>
      <c r="D85" s="40"/>
      <c r="E85" s="40"/>
      <c r="F85" s="40"/>
      <c r="G85" s="40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B220-D930-4675-8569-2D5C36A1086E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300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301</v>
      </c>
    </row>
    <row r="8" spans="1:5" x14ac:dyDescent="0.25">
      <c r="A8" s="31"/>
      <c r="B8" t="s">
        <v>302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9" t="s">
        <v>165</v>
      </c>
      <c r="C15" s="39" t="s">
        <v>166</v>
      </c>
      <c r="D15" s="39" t="s">
        <v>167</v>
      </c>
      <c r="E15" s="39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6399.3138638481751</v>
      </c>
    </row>
    <row r="19" spans="1:6" ht="15.75" thickBot="1" x14ac:dyDescent="0.3">
      <c r="A19" t="s">
        <v>169</v>
      </c>
    </row>
    <row r="20" spans="1:6" ht="15.75" thickBot="1" x14ac:dyDescent="0.3">
      <c r="B20" s="39" t="s">
        <v>165</v>
      </c>
      <c r="C20" s="39" t="s">
        <v>166</v>
      </c>
      <c r="D20" s="39" t="s">
        <v>167</v>
      </c>
      <c r="E20" s="39" t="s">
        <v>168</v>
      </c>
      <c r="F20" s="39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41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42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31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4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51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3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23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36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29.999999999999996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10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2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52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38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22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37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56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6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54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55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26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21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20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47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44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57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15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14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17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34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35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9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25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53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8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58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11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49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18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48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43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61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13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259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250</v>
      </c>
      <c r="D72" s="36">
        <v>52</v>
      </c>
      <c r="E72" s="36">
        <v>46</v>
      </c>
      <c r="F72" s="34" t="s">
        <v>272</v>
      </c>
    </row>
    <row r="73" spans="2:6" x14ac:dyDescent="0.25">
      <c r="B73" s="34" t="s">
        <v>262</v>
      </c>
      <c r="C73" s="34" t="s">
        <v>259</v>
      </c>
      <c r="D73" s="36">
        <v>53</v>
      </c>
      <c r="E73" s="36">
        <v>39</v>
      </c>
      <c r="F73" s="34" t="s">
        <v>272</v>
      </c>
    </row>
    <row r="74" spans="2:6" x14ac:dyDescent="0.25">
      <c r="B74" s="34" t="s">
        <v>263</v>
      </c>
      <c r="C74" s="34" t="s">
        <v>250</v>
      </c>
      <c r="D74" s="36">
        <v>54</v>
      </c>
      <c r="E74" s="36">
        <v>12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6.9999999999999991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19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59.000000000000007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60.000000000000007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50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45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24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40" t="s">
        <v>172</v>
      </c>
      <c r="C85" s="40"/>
      <c r="D85" s="40"/>
      <c r="E85" s="40"/>
      <c r="F85" s="40"/>
      <c r="G85" s="40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298-36F4-485D-B508-8F6676E61255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303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304</v>
      </c>
    </row>
    <row r="8" spans="1:5" x14ac:dyDescent="0.25">
      <c r="A8" s="31"/>
      <c r="B8" t="s">
        <v>305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9" t="s">
        <v>165</v>
      </c>
      <c r="C15" s="39" t="s">
        <v>166</v>
      </c>
      <c r="D15" s="39" t="s">
        <v>167</v>
      </c>
      <c r="E15" s="39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6399.0829420545524</v>
      </c>
    </row>
    <row r="19" spans="1:6" ht="15.75" thickBot="1" x14ac:dyDescent="0.3">
      <c r="A19" t="s">
        <v>169</v>
      </c>
    </row>
    <row r="20" spans="1:6" ht="15.75" thickBot="1" x14ac:dyDescent="0.3">
      <c r="B20" s="39" t="s">
        <v>165</v>
      </c>
      <c r="C20" s="39" t="s">
        <v>166</v>
      </c>
      <c r="D20" s="39" t="s">
        <v>167</v>
      </c>
      <c r="E20" s="39" t="s">
        <v>168</v>
      </c>
      <c r="F20" s="39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51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41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42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31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4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3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30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36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2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23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38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10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37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52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56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54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6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21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55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26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44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22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56.999999999999993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47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20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16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27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15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35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34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5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14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25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9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52.999999999999993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17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49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58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8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43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11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18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48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13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61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259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259</v>
      </c>
      <c r="D72" s="36">
        <v>52</v>
      </c>
      <c r="E72" s="36">
        <v>50</v>
      </c>
      <c r="F72" s="34" t="s">
        <v>272</v>
      </c>
    </row>
    <row r="73" spans="2:6" x14ac:dyDescent="0.25">
      <c r="B73" s="34" t="s">
        <v>262</v>
      </c>
      <c r="C73" s="34" t="s">
        <v>250</v>
      </c>
      <c r="D73" s="36">
        <v>53</v>
      </c>
      <c r="E73" s="36">
        <v>24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54</v>
      </c>
      <c r="E74" s="36">
        <v>12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45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39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59.000000000000007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7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60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19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46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40" t="s">
        <v>172</v>
      </c>
      <c r="C85" s="40"/>
      <c r="D85" s="40"/>
      <c r="E85" s="40"/>
      <c r="F85" s="40"/>
      <c r="G85" s="40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E961-C94B-4646-B36B-81312BAD8AF8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306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307</v>
      </c>
    </row>
    <row r="8" spans="1:5" x14ac:dyDescent="0.25">
      <c r="A8" s="31"/>
      <c r="B8" t="s">
        <v>308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9" t="s">
        <v>165</v>
      </c>
      <c r="C15" s="39" t="s">
        <v>166</v>
      </c>
      <c r="D15" s="39" t="s">
        <v>167</v>
      </c>
      <c r="E15" s="39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8877.7329218028863</v>
      </c>
      <c r="E16" s="35">
        <v>6401.1136971993401</v>
      </c>
    </row>
    <row r="19" spans="1:6" ht="15.75" thickBot="1" x14ac:dyDescent="0.3">
      <c r="A19" t="s">
        <v>169</v>
      </c>
    </row>
    <row r="20" spans="1:6" ht="15.75" thickBot="1" x14ac:dyDescent="0.3">
      <c r="B20" s="39" t="s">
        <v>165</v>
      </c>
      <c r="C20" s="39" t="s">
        <v>166</v>
      </c>
      <c r="D20" s="39" t="s">
        <v>167</v>
      </c>
      <c r="E20" s="39" t="s">
        <v>168</v>
      </c>
      <c r="F20" s="39" t="s">
        <v>170</v>
      </c>
    </row>
    <row r="21" spans="1:6" x14ac:dyDescent="0.25">
      <c r="B21" s="34" t="s">
        <v>175</v>
      </c>
      <c r="C21" s="34" t="s">
        <v>176</v>
      </c>
      <c r="D21" s="36">
        <v>61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60</v>
      </c>
      <c r="E22" s="36">
        <v>4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59</v>
      </c>
      <c r="E23" s="36">
        <v>41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58</v>
      </c>
      <c r="E24" s="36">
        <v>42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57</v>
      </c>
      <c r="E25" s="36">
        <v>51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56</v>
      </c>
      <c r="E26" s="36">
        <v>31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55</v>
      </c>
      <c r="E27" s="36">
        <v>3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54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53</v>
      </c>
      <c r="E29" s="36">
        <v>36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52</v>
      </c>
      <c r="E30" s="36">
        <v>23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51</v>
      </c>
      <c r="E31" s="36">
        <v>30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50</v>
      </c>
      <c r="E32" s="36">
        <v>2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49</v>
      </c>
      <c r="E33" s="36">
        <v>38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48</v>
      </c>
      <c r="E34" s="36">
        <v>10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47</v>
      </c>
      <c r="E35" s="36">
        <v>37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46</v>
      </c>
      <c r="E36" s="36">
        <v>51.999999999999993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45</v>
      </c>
      <c r="E37" s="36">
        <v>55.000000000000007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44</v>
      </c>
      <c r="E38" s="36">
        <v>56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43</v>
      </c>
      <c r="E39" s="36">
        <v>54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42</v>
      </c>
      <c r="E40" s="36">
        <v>26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41</v>
      </c>
      <c r="E41" s="36">
        <v>22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40</v>
      </c>
      <c r="E42" s="36">
        <v>21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39</v>
      </c>
      <c r="E43" s="36">
        <v>6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38</v>
      </c>
      <c r="E44" s="36">
        <v>20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37</v>
      </c>
      <c r="E45" s="36">
        <v>57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36</v>
      </c>
      <c r="E46" s="36">
        <v>44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35</v>
      </c>
      <c r="E47" s="36">
        <v>46.999999999999993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34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33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32</v>
      </c>
      <c r="E50" s="36">
        <v>35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29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30</v>
      </c>
      <c r="E52" s="36">
        <v>15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29</v>
      </c>
      <c r="E53" s="36">
        <v>5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28</v>
      </c>
      <c r="E54" s="36">
        <v>34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27</v>
      </c>
      <c r="E55" s="36">
        <v>14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26</v>
      </c>
      <c r="E56" s="36">
        <v>9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25</v>
      </c>
      <c r="E57" s="36">
        <v>17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24</v>
      </c>
      <c r="E58" s="36">
        <v>49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23</v>
      </c>
      <c r="E59" s="36">
        <v>53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22</v>
      </c>
      <c r="E60" s="36">
        <v>58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21</v>
      </c>
      <c r="E61" s="36">
        <v>8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20</v>
      </c>
      <c r="E62" s="36">
        <v>25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19</v>
      </c>
      <c r="E63" s="36">
        <v>43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18</v>
      </c>
      <c r="E64" s="36">
        <v>48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17</v>
      </c>
      <c r="E65" s="36">
        <v>11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16</v>
      </c>
      <c r="E66" s="36">
        <v>18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15</v>
      </c>
      <c r="E67" s="36">
        <v>61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14</v>
      </c>
      <c r="E68" s="36">
        <v>13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13</v>
      </c>
      <c r="E69" s="36">
        <v>40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12</v>
      </c>
      <c r="E70" s="36">
        <v>1</v>
      </c>
      <c r="F70" s="34" t="s">
        <v>272</v>
      </c>
    </row>
    <row r="71" spans="2:6" x14ac:dyDescent="0.25">
      <c r="B71" s="34" t="s">
        <v>260</v>
      </c>
      <c r="C71" s="34" t="s">
        <v>250</v>
      </c>
      <c r="D71" s="36">
        <v>11</v>
      </c>
      <c r="E71" s="36">
        <v>28</v>
      </c>
      <c r="F71" s="34" t="s">
        <v>272</v>
      </c>
    </row>
    <row r="72" spans="2:6" x14ac:dyDescent="0.25">
      <c r="B72" s="34" t="s">
        <v>261</v>
      </c>
      <c r="C72" s="34" t="s">
        <v>259</v>
      </c>
      <c r="D72" s="36">
        <v>10</v>
      </c>
      <c r="E72" s="36">
        <v>59</v>
      </c>
      <c r="F72" s="34" t="s">
        <v>272</v>
      </c>
    </row>
    <row r="73" spans="2:6" x14ac:dyDescent="0.25">
      <c r="B73" s="34" t="s">
        <v>262</v>
      </c>
      <c r="C73" s="34" t="s">
        <v>250</v>
      </c>
      <c r="D73" s="36">
        <v>9</v>
      </c>
      <c r="E73" s="36">
        <v>46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8</v>
      </c>
      <c r="E74" s="36">
        <v>45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7</v>
      </c>
      <c r="E75" s="36">
        <v>7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6</v>
      </c>
      <c r="E76" s="36">
        <v>24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</v>
      </c>
      <c r="E77" s="36">
        <v>60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4</v>
      </c>
      <c r="E78" s="36">
        <v>39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3</v>
      </c>
      <c r="E79" s="36">
        <v>50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2</v>
      </c>
      <c r="E80" s="36">
        <v>19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1</v>
      </c>
      <c r="E81" s="37">
        <v>12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40" t="s">
        <v>172</v>
      </c>
      <c r="C85" s="40"/>
      <c r="D85" s="40"/>
      <c r="E85" s="40"/>
      <c r="F85" s="40"/>
      <c r="G85" s="40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C2F5-E354-46E2-ACA9-96D8465D4C7E}">
  <sheetPr>
    <tabColor rgb="FFFFFF00"/>
  </sheetPr>
  <dimension ref="B3:T19"/>
  <sheetViews>
    <sheetView showGridLines="0" showRowColHeaders="0" workbookViewId="0">
      <selection activeCell="H23" sqref="H23"/>
    </sheetView>
  </sheetViews>
  <sheetFormatPr defaultRowHeight="15" x14ac:dyDescent="0.25"/>
  <cols>
    <col min="1" max="1" width="6.5703125" customWidth="1"/>
    <col min="2" max="2" width="4.7109375" customWidth="1"/>
    <col min="3" max="3" width="13.5703125" customWidth="1"/>
    <col min="4" max="4" width="11.7109375" customWidth="1"/>
    <col min="6" max="7" width="6.5703125" customWidth="1"/>
    <col min="8" max="8" width="9.28515625" customWidth="1"/>
  </cols>
  <sheetData>
    <row r="3" spans="2:20" ht="21.75" customHeight="1" x14ac:dyDescent="0.25">
      <c r="B3" s="255" t="s">
        <v>133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7"/>
    </row>
    <row r="4" spans="2:20" ht="22.5" customHeight="1" x14ac:dyDescent="0.25">
      <c r="B4" s="10" t="s">
        <v>127</v>
      </c>
      <c r="C4" s="6" t="s">
        <v>129</v>
      </c>
      <c r="D4" s="6" t="s">
        <v>130</v>
      </c>
      <c r="E4" s="6" t="s">
        <v>122</v>
      </c>
      <c r="F4" s="258" t="s">
        <v>136</v>
      </c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60"/>
    </row>
    <row r="5" spans="2:20" x14ac:dyDescent="0.25">
      <c r="B5" s="9">
        <v>1</v>
      </c>
      <c r="C5" s="11">
        <v>8367.0499999999993</v>
      </c>
      <c r="D5" s="11">
        <v>6402.29</v>
      </c>
      <c r="E5" s="20">
        <v>26.094000000000001</v>
      </c>
      <c r="F5" s="264" t="s">
        <v>138</v>
      </c>
      <c r="G5" s="265"/>
      <c r="H5" s="6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6">
        <v>8</v>
      </c>
      <c r="P5" s="6">
        <v>9</v>
      </c>
      <c r="Q5" s="6">
        <v>10</v>
      </c>
      <c r="R5" s="6">
        <v>11</v>
      </c>
      <c r="S5" s="6">
        <v>12</v>
      </c>
      <c r="T5" s="6">
        <v>13</v>
      </c>
    </row>
    <row r="6" spans="2:20" x14ac:dyDescent="0.25">
      <c r="B6" s="9">
        <v>2</v>
      </c>
      <c r="C6" s="11">
        <v>8367.0499999999993</v>
      </c>
      <c r="D6" s="11">
        <v>6400.27</v>
      </c>
      <c r="E6" s="20">
        <v>23.937000000000001</v>
      </c>
      <c r="F6" s="261" t="s">
        <v>137</v>
      </c>
      <c r="G6" s="29" t="s">
        <v>139</v>
      </c>
      <c r="H6" s="27">
        <v>32</v>
      </c>
      <c r="I6" s="1">
        <v>32</v>
      </c>
      <c r="J6" s="1">
        <v>32</v>
      </c>
      <c r="K6" s="1">
        <v>32</v>
      </c>
      <c r="L6" s="1">
        <v>51</v>
      </c>
      <c r="M6" s="1">
        <v>32</v>
      </c>
      <c r="N6" s="1">
        <v>32</v>
      </c>
      <c r="O6" s="1">
        <v>32</v>
      </c>
      <c r="P6" s="1">
        <v>32</v>
      </c>
      <c r="Q6" s="1">
        <v>32</v>
      </c>
      <c r="R6" s="1">
        <v>32</v>
      </c>
      <c r="S6" s="1">
        <v>32</v>
      </c>
      <c r="T6" s="1">
        <v>32</v>
      </c>
    </row>
    <row r="7" spans="2:20" x14ac:dyDescent="0.25">
      <c r="B7" s="42">
        <v>3</v>
      </c>
      <c r="C7" s="11">
        <v>8367.0499999999993</v>
      </c>
      <c r="D7" s="11">
        <v>6399.16</v>
      </c>
      <c r="E7" s="20">
        <v>21.75</v>
      </c>
      <c r="F7" s="262"/>
      <c r="G7" s="26"/>
      <c r="H7" s="27">
        <v>41</v>
      </c>
      <c r="I7" s="1">
        <v>51</v>
      </c>
      <c r="J7" s="1">
        <v>42</v>
      </c>
      <c r="K7" s="1">
        <v>42</v>
      </c>
      <c r="L7" s="1">
        <v>32</v>
      </c>
      <c r="M7" s="1">
        <v>42</v>
      </c>
      <c r="N7" s="1">
        <v>41</v>
      </c>
      <c r="O7" s="1">
        <v>42</v>
      </c>
      <c r="P7" s="1">
        <v>51</v>
      </c>
      <c r="Q7" s="1">
        <v>51</v>
      </c>
      <c r="R7" s="1">
        <v>41</v>
      </c>
      <c r="S7" s="1">
        <v>51</v>
      </c>
      <c r="T7" s="1">
        <v>4</v>
      </c>
    </row>
    <row r="8" spans="2:20" x14ac:dyDescent="0.25">
      <c r="B8" s="42">
        <v>4</v>
      </c>
      <c r="C8" s="11">
        <v>8367.0499999999993</v>
      </c>
      <c r="D8" s="11">
        <v>6398.88</v>
      </c>
      <c r="E8" s="20">
        <v>24.032</v>
      </c>
      <c r="F8" s="262"/>
      <c r="G8" s="26"/>
      <c r="H8" s="27">
        <v>4</v>
      </c>
      <c r="I8" s="1">
        <v>42</v>
      </c>
      <c r="J8" s="1">
        <v>41</v>
      </c>
      <c r="K8" s="1">
        <v>51</v>
      </c>
      <c r="L8" s="1">
        <v>42</v>
      </c>
      <c r="M8" s="1">
        <v>51</v>
      </c>
      <c r="N8" s="1">
        <v>42</v>
      </c>
      <c r="O8" s="1">
        <v>51</v>
      </c>
      <c r="P8" s="1">
        <v>31</v>
      </c>
      <c r="Q8" s="1">
        <v>42</v>
      </c>
      <c r="R8" s="1">
        <v>42</v>
      </c>
      <c r="S8" s="1">
        <v>41</v>
      </c>
      <c r="T8" s="1">
        <v>41</v>
      </c>
    </row>
    <row r="9" spans="2:20" x14ac:dyDescent="0.25">
      <c r="B9" s="9">
        <v>5</v>
      </c>
      <c r="C9" s="11">
        <v>8367.0499999999993</v>
      </c>
      <c r="D9" s="11">
        <v>6400.11</v>
      </c>
      <c r="E9" s="20">
        <v>21.625</v>
      </c>
      <c r="F9" s="262"/>
      <c r="G9" s="26"/>
      <c r="H9" s="27">
        <v>42</v>
      </c>
      <c r="I9" s="1">
        <v>41</v>
      </c>
      <c r="J9" s="1">
        <v>31</v>
      </c>
      <c r="K9" s="1">
        <v>31</v>
      </c>
      <c r="L9" s="1">
        <v>41</v>
      </c>
      <c r="M9" s="1">
        <v>41</v>
      </c>
      <c r="N9" s="1">
        <v>51</v>
      </c>
      <c r="O9" s="1">
        <v>3</v>
      </c>
      <c r="P9" s="1">
        <v>42</v>
      </c>
      <c r="Q9" s="1">
        <v>41</v>
      </c>
      <c r="R9" s="1">
        <v>31</v>
      </c>
      <c r="S9" s="1">
        <v>42</v>
      </c>
      <c r="T9" s="1">
        <v>42</v>
      </c>
    </row>
    <row r="10" spans="2:20" x14ac:dyDescent="0.25">
      <c r="B10" s="9">
        <v>6</v>
      </c>
      <c r="C10" s="11">
        <v>8367.0499999999993</v>
      </c>
      <c r="D10" s="11">
        <v>6399.36</v>
      </c>
      <c r="E10" s="20">
        <v>30.469000000000001</v>
      </c>
      <c r="F10" s="263"/>
      <c r="G10" s="30" t="s">
        <v>140</v>
      </c>
      <c r="H10" s="28">
        <v>33</v>
      </c>
      <c r="I10" s="5">
        <v>3</v>
      </c>
      <c r="J10" s="5">
        <v>51</v>
      </c>
      <c r="K10" s="5">
        <v>41</v>
      </c>
      <c r="L10" s="5">
        <v>31</v>
      </c>
      <c r="M10" s="5">
        <v>4</v>
      </c>
      <c r="N10" s="5">
        <v>3</v>
      </c>
      <c r="O10" s="5">
        <v>41</v>
      </c>
      <c r="P10" s="5">
        <v>41</v>
      </c>
      <c r="Q10" s="5">
        <v>31</v>
      </c>
      <c r="R10" s="5">
        <v>4</v>
      </c>
      <c r="S10" s="5">
        <v>31</v>
      </c>
      <c r="T10" s="5">
        <v>51</v>
      </c>
    </row>
    <row r="11" spans="2:20" x14ac:dyDescent="0.25">
      <c r="B11" s="9">
        <v>7</v>
      </c>
      <c r="C11" s="11">
        <v>8367.0499999999993</v>
      </c>
      <c r="D11" s="11">
        <v>6399.41</v>
      </c>
      <c r="E11" s="25">
        <v>21.484999999999999</v>
      </c>
      <c r="F11" s="12"/>
      <c r="G11" s="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</row>
    <row r="12" spans="2:20" x14ac:dyDescent="0.25">
      <c r="B12" s="9">
        <v>8</v>
      </c>
      <c r="C12" s="11">
        <v>8367.0499999999993</v>
      </c>
      <c r="D12" s="11">
        <v>6399.97</v>
      </c>
      <c r="E12" s="25">
        <v>29.39</v>
      </c>
      <c r="F12" s="1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6"/>
    </row>
    <row r="13" spans="2:20" x14ac:dyDescent="0.25">
      <c r="B13" s="42">
        <v>9</v>
      </c>
      <c r="C13" s="11">
        <v>8367.0499999999993</v>
      </c>
      <c r="D13" s="11">
        <v>6399.08</v>
      </c>
      <c r="E13" s="25">
        <v>24.25</v>
      </c>
      <c r="F13" s="15"/>
      <c r="G13" s="4"/>
      <c r="H13" s="4"/>
      <c r="I13" s="4" t="s">
        <v>131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16"/>
    </row>
    <row r="14" spans="2:20" x14ac:dyDescent="0.25">
      <c r="B14" s="9">
        <v>10</v>
      </c>
      <c r="C14" s="11">
        <v>8367.0499999999993</v>
      </c>
      <c r="D14" s="11">
        <v>6399.17</v>
      </c>
      <c r="E14" s="25">
        <v>24.422000000000001</v>
      </c>
      <c r="F14" s="15"/>
      <c r="G14" s="4"/>
      <c r="H14" s="4"/>
      <c r="I14" s="4" t="s">
        <v>141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16"/>
    </row>
    <row r="15" spans="2:20" x14ac:dyDescent="0.25">
      <c r="B15" s="9">
        <v>11</v>
      </c>
      <c r="C15" s="11">
        <v>8367.0499999999993</v>
      </c>
      <c r="D15" s="11">
        <v>6399.31</v>
      </c>
      <c r="E15" s="25">
        <v>23.530999999999999</v>
      </c>
      <c r="F15" s="15"/>
      <c r="G15" s="4"/>
      <c r="H15" s="4"/>
      <c r="I15" s="4" t="s">
        <v>132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16"/>
    </row>
    <row r="16" spans="2:20" x14ac:dyDescent="0.25">
      <c r="B16" s="42">
        <v>12</v>
      </c>
      <c r="C16" s="11">
        <v>8367.0499999999993</v>
      </c>
      <c r="D16" s="11">
        <v>6399.08</v>
      </c>
      <c r="E16" s="25">
        <v>30.359000000000002</v>
      </c>
      <c r="F16" s="15"/>
      <c r="G16" s="4"/>
      <c r="H16" s="4"/>
      <c r="I16" s="23" t="s">
        <v>135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16"/>
    </row>
    <row r="17" spans="2:20" x14ac:dyDescent="0.25">
      <c r="B17" s="9">
        <v>13</v>
      </c>
      <c r="C17" s="11">
        <v>8367.0499999999993</v>
      </c>
      <c r="D17" s="11">
        <v>6401.11</v>
      </c>
      <c r="E17" s="25">
        <v>22.327999999999999</v>
      </c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9"/>
    </row>
    <row r="19" spans="2:20" x14ac:dyDescent="0.25">
      <c r="C19" s="21" t="s">
        <v>134</v>
      </c>
      <c r="D19" s="22">
        <f>SUM(D5:D17)/13</f>
        <v>6399.7846153846149</v>
      </c>
      <c r="E19" s="41">
        <f>SUM(E5:E17)/13</f>
        <v>24.897846153846146</v>
      </c>
      <c r="F19" s="24"/>
      <c r="G19" s="24"/>
    </row>
  </sheetData>
  <mergeCells count="4">
    <mergeCell ref="B3:T3"/>
    <mergeCell ref="F4:T4"/>
    <mergeCell ref="F6:F10"/>
    <mergeCell ref="F5:G5"/>
  </mergeCells>
  <conditionalFormatting sqref="H6:H10 G6">
    <cfRule type="colorScale" priority="5">
      <colorScale>
        <cfvo type="num" val="0"/>
        <cfvo type="percentile" val="50"/>
        <cfvo type="max"/>
        <color rgb="FF00B050"/>
        <color rgb="FFFFEB84"/>
        <color rgb="FFFF5050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I6:T10">
    <cfRule type="colorScale" priority="3">
      <colorScale>
        <cfvo type="num" val="0"/>
        <cfvo type="percentile" val="50"/>
        <cfvo type="max"/>
        <color rgb="FF00B050"/>
        <color rgb="FFFFEB84"/>
        <color rgb="FFFF5050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G10">
    <cfRule type="colorScale" priority="1">
      <colorScale>
        <cfvo type="num" val="0"/>
        <cfvo type="percentile" val="50"/>
        <cfvo type="max"/>
        <color rgb="FF00B050"/>
        <color rgb="FFFFEB84"/>
        <color rgb="FFFF5050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BC9D-6A5C-4549-A6CB-134A0EBAF91C}">
  <dimension ref="B2:I10"/>
  <sheetViews>
    <sheetView showGridLines="0" showRowColHeaders="0" workbookViewId="0">
      <selection activeCell="F19" sqref="F19"/>
    </sheetView>
  </sheetViews>
  <sheetFormatPr defaultRowHeight="15" x14ac:dyDescent="0.25"/>
  <cols>
    <col min="1" max="1" width="3.7109375" customWidth="1"/>
    <col min="2" max="2" width="16.5703125" customWidth="1"/>
    <col min="3" max="3" width="10.7109375" customWidth="1"/>
    <col min="4" max="4" width="13.85546875" customWidth="1"/>
    <col min="6" max="6" width="14.140625" customWidth="1"/>
    <col min="7" max="8" width="13" customWidth="1"/>
  </cols>
  <sheetData>
    <row r="2" spans="2:9" ht="33.75" customHeight="1" x14ac:dyDescent="0.25">
      <c r="B2" s="266" t="s">
        <v>47</v>
      </c>
      <c r="C2" s="266"/>
      <c r="D2" s="266"/>
      <c r="E2" s="266"/>
      <c r="F2" s="266"/>
      <c r="G2" s="266"/>
      <c r="H2" s="266"/>
      <c r="I2" s="266"/>
    </row>
    <row r="3" spans="2:9" ht="22.5" customHeight="1" x14ac:dyDescent="0.25">
      <c r="B3" s="6" t="s">
        <v>48</v>
      </c>
      <c r="C3" s="6" t="s">
        <v>49</v>
      </c>
      <c r="D3" s="6" t="s">
        <v>17</v>
      </c>
      <c r="E3" s="6" t="s">
        <v>50</v>
      </c>
      <c r="F3" s="6" t="s">
        <v>51</v>
      </c>
      <c r="G3" s="6" t="s">
        <v>52</v>
      </c>
      <c r="H3" s="6" t="s">
        <v>53</v>
      </c>
      <c r="I3" s="6" t="s">
        <v>54</v>
      </c>
    </row>
    <row r="4" spans="2:9" x14ac:dyDescent="0.25">
      <c r="B4" s="2" t="s">
        <v>28</v>
      </c>
      <c r="C4" s="2" t="s">
        <v>28</v>
      </c>
      <c r="D4" s="7">
        <v>0</v>
      </c>
      <c r="E4" s="8">
        <v>200</v>
      </c>
      <c r="F4" s="2">
        <v>0</v>
      </c>
      <c r="G4" s="2">
        <v>150</v>
      </c>
      <c r="H4" s="2">
        <v>0</v>
      </c>
      <c r="I4" s="3">
        <f>SUM(F4:G4)</f>
        <v>150</v>
      </c>
    </row>
    <row r="5" spans="2:9" x14ac:dyDescent="0.25">
      <c r="B5" s="2" t="s">
        <v>29</v>
      </c>
      <c r="C5" s="2" t="s">
        <v>28</v>
      </c>
      <c r="D5" s="7">
        <v>155</v>
      </c>
      <c r="E5" s="8">
        <v>200</v>
      </c>
      <c r="F5" s="2">
        <v>0</v>
      </c>
      <c r="G5" s="2">
        <v>550</v>
      </c>
      <c r="H5" s="2">
        <v>100</v>
      </c>
      <c r="I5" s="3">
        <f t="shared" ref="I5:I10" si="0">SUM(F5:G5)</f>
        <v>550</v>
      </c>
    </row>
    <row r="6" spans="2:9" x14ac:dyDescent="0.25">
      <c r="B6" s="2" t="s">
        <v>35</v>
      </c>
      <c r="C6" s="2" t="s">
        <v>28</v>
      </c>
      <c r="D6" s="7">
        <v>272</v>
      </c>
      <c r="E6" s="8">
        <v>400</v>
      </c>
      <c r="F6" s="2">
        <v>280</v>
      </c>
      <c r="G6" s="2">
        <v>550</v>
      </c>
      <c r="H6" s="2">
        <v>100</v>
      </c>
      <c r="I6" s="3">
        <f t="shared" si="0"/>
        <v>830</v>
      </c>
    </row>
    <row r="7" spans="2:9" x14ac:dyDescent="0.25">
      <c r="B7" s="2" t="s">
        <v>30</v>
      </c>
      <c r="C7" s="2" t="s">
        <v>28</v>
      </c>
      <c r="D7" s="7">
        <v>354</v>
      </c>
      <c r="E7" s="8">
        <v>400</v>
      </c>
      <c r="F7" s="2">
        <v>330</v>
      </c>
      <c r="G7" s="2">
        <v>550</v>
      </c>
      <c r="H7" s="2">
        <v>100</v>
      </c>
      <c r="I7" s="3">
        <f t="shared" si="0"/>
        <v>880</v>
      </c>
    </row>
    <row r="8" spans="2:9" x14ac:dyDescent="0.25">
      <c r="B8" s="2" t="s">
        <v>31</v>
      </c>
      <c r="C8" s="2" t="s">
        <v>28</v>
      </c>
      <c r="D8" s="7">
        <v>511</v>
      </c>
      <c r="E8" s="8">
        <v>1000</v>
      </c>
      <c r="F8" s="2">
        <v>350</v>
      </c>
      <c r="G8" s="2">
        <v>550</v>
      </c>
      <c r="H8" s="2">
        <v>100</v>
      </c>
      <c r="I8" s="3">
        <f t="shared" si="0"/>
        <v>900</v>
      </c>
    </row>
    <row r="9" spans="2:9" x14ac:dyDescent="0.25">
      <c r="B9" s="2" t="s">
        <v>32</v>
      </c>
      <c r="C9" s="2" t="s">
        <v>28</v>
      </c>
      <c r="D9" s="7">
        <v>843</v>
      </c>
      <c r="E9" s="8">
        <v>1000</v>
      </c>
      <c r="F9" s="2">
        <v>440</v>
      </c>
      <c r="G9" s="2">
        <v>550</v>
      </c>
      <c r="H9" s="2">
        <v>100</v>
      </c>
      <c r="I9" s="3">
        <f t="shared" si="0"/>
        <v>990</v>
      </c>
    </row>
    <row r="10" spans="2:9" x14ac:dyDescent="0.25">
      <c r="B10" s="2" t="s">
        <v>33</v>
      </c>
      <c r="C10" s="2" t="s">
        <v>28</v>
      </c>
      <c r="D10" s="7">
        <v>1103</v>
      </c>
      <c r="E10" s="8">
        <v>1000</v>
      </c>
      <c r="F10" s="2">
        <v>300</v>
      </c>
      <c r="G10" s="2">
        <v>550</v>
      </c>
      <c r="H10" s="2">
        <v>100</v>
      </c>
      <c r="I10" s="3">
        <f t="shared" si="0"/>
        <v>850</v>
      </c>
    </row>
  </sheetData>
  <mergeCells count="1">
    <mergeCell ref="B2:I2"/>
  </mergeCells>
  <pageMargins left="0.7" right="0.7" top="0.75" bottom="0.75" header="0.3" footer="0.3"/>
  <pageSetup orientation="portrait" r:id="rId1"/>
  <ignoredErrors>
    <ignoredError sqref="I4 I5:I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3670-7F47-481D-A358-F51E939EE55F}">
  <sheetPr>
    <tabColor theme="0" tint="-0.249977111117893"/>
  </sheetPr>
  <dimension ref="A1:G86"/>
  <sheetViews>
    <sheetView showGridLines="0" workbookViewId="0">
      <selection activeCell="G14" sqref="G14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156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160</v>
      </c>
    </row>
    <row r="8" spans="1:5" x14ac:dyDescent="0.25">
      <c r="A8" s="31"/>
      <c r="B8" t="s">
        <v>161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3" t="s">
        <v>165</v>
      </c>
      <c r="C15" s="33" t="s">
        <v>166</v>
      </c>
      <c r="D15" s="33" t="s">
        <v>167</v>
      </c>
      <c r="E15" s="33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6402.2916070070096</v>
      </c>
    </row>
    <row r="19" spans="1:6" ht="15.75" thickBot="1" x14ac:dyDescent="0.3">
      <c r="A19" t="s">
        <v>169</v>
      </c>
    </row>
    <row r="20" spans="1:6" ht="15.75" thickBot="1" x14ac:dyDescent="0.3">
      <c r="B20" s="33" t="s">
        <v>165</v>
      </c>
      <c r="C20" s="33" t="s">
        <v>166</v>
      </c>
      <c r="D20" s="33" t="s">
        <v>167</v>
      </c>
      <c r="E20" s="33" t="s">
        <v>168</v>
      </c>
      <c r="F20" s="33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41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4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42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33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31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51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2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30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23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36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10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52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38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37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22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6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56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26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44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54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21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20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55.000000000000007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47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57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35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15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34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14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53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25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9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17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43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49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48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18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8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58.000000000000007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60.999999999999993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40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11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13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28.000000000000004</v>
      </c>
      <c r="F70" s="34" t="s">
        <v>272</v>
      </c>
    </row>
    <row r="71" spans="2:6" x14ac:dyDescent="0.25">
      <c r="B71" s="34" t="s">
        <v>260</v>
      </c>
      <c r="C71" s="34" t="s">
        <v>259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250</v>
      </c>
      <c r="D72" s="36">
        <v>52</v>
      </c>
      <c r="E72" s="36">
        <v>7</v>
      </c>
      <c r="F72" s="34" t="s">
        <v>272</v>
      </c>
    </row>
    <row r="73" spans="2:6" x14ac:dyDescent="0.25">
      <c r="B73" s="34" t="s">
        <v>262</v>
      </c>
      <c r="C73" s="34" t="s">
        <v>250</v>
      </c>
      <c r="D73" s="36">
        <v>53</v>
      </c>
      <c r="E73" s="36">
        <v>19</v>
      </c>
      <c r="F73" s="34" t="s">
        <v>272</v>
      </c>
    </row>
    <row r="74" spans="2:6" x14ac:dyDescent="0.25">
      <c r="B74" s="34" t="s">
        <v>263</v>
      </c>
      <c r="C74" s="34" t="s">
        <v>250</v>
      </c>
      <c r="D74" s="36">
        <v>54</v>
      </c>
      <c r="E74" s="36">
        <v>46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59.999999999999993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45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59.000000000000007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12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50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39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24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38" t="s">
        <v>172</v>
      </c>
      <c r="C85" s="38"/>
      <c r="D85" s="38"/>
      <c r="E85" s="38"/>
      <c r="F85" s="38"/>
      <c r="G85" s="38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7484-DBA1-43DB-9242-17272E359077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273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274</v>
      </c>
    </row>
    <row r="8" spans="1:5" x14ac:dyDescent="0.25">
      <c r="A8" s="31"/>
      <c r="B8" t="s">
        <v>275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3" t="s">
        <v>165</v>
      </c>
      <c r="C15" s="33" t="s">
        <v>166</v>
      </c>
      <c r="D15" s="33" t="s">
        <v>167</v>
      </c>
      <c r="E15" s="33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6400.2749356790073</v>
      </c>
    </row>
    <row r="19" spans="1:6" ht="15.75" thickBot="1" x14ac:dyDescent="0.3">
      <c r="A19" t="s">
        <v>169</v>
      </c>
    </row>
    <row r="20" spans="1:6" ht="15.75" thickBot="1" x14ac:dyDescent="0.3">
      <c r="B20" s="33" t="s">
        <v>165</v>
      </c>
      <c r="C20" s="33" t="s">
        <v>166</v>
      </c>
      <c r="D20" s="33" t="s">
        <v>167</v>
      </c>
      <c r="E20" s="33" t="s">
        <v>168</v>
      </c>
      <c r="F20" s="33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51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42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41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3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31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4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36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23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38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52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29.999999999999996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10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37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2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22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55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6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26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54.000000000000007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56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21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20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44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57.000000000000007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47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14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15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34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35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53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25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9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17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58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8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49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11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18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48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60.999999999999993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13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43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259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250</v>
      </c>
      <c r="D72" s="36">
        <v>52</v>
      </c>
      <c r="E72" s="36">
        <v>39</v>
      </c>
      <c r="F72" s="34" t="s">
        <v>272</v>
      </c>
    </row>
    <row r="73" spans="2:6" x14ac:dyDescent="0.25">
      <c r="B73" s="34" t="s">
        <v>262</v>
      </c>
      <c r="C73" s="34" t="s">
        <v>259</v>
      </c>
      <c r="D73" s="36">
        <v>53</v>
      </c>
      <c r="E73" s="36">
        <v>45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54</v>
      </c>
      <c r="E74" s="36">
        <v>50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59.999999999999993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24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59.000000000000007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12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7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46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19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38" t="s">
        <v>172</v>
      </c>
      <c r="C85" s="38"/>
      <c r="D85" s="38"/>
      <c r="E85" s="38"/>
      <c r="F85" s="38"/>
      <c r="G85" s="38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FDC1-0825-4BCE-A600-AF17A239D871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276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277</v>
      </c>
    </row>
    <row r="8" spans="1:5" x14ac:dyDescent="0.25">
      <c r="A8" s="31"/>
      <c r="B8" t="s">
        <v>278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3" t="s">
        <v>165</v>
      </c>
      <c r="C15" s="33" t="s">
        <v>166</v>
      </c>
      <c r="D15" s="33" t="s">
        <v>167</v>
      </c>
      <c r="E15" s="33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6399.1638362522235</v>
      </c>
    </row>
    <row r="19" spans="1:6" ht="15.75" thickBot="1" x14ac:dyDescent="0.3">
      <c r="A19" t="s">
        <v>169</v>
      </c>
    </row>
    <row r="20" spans="1:6" ht="15.75" thickBot="1" x14ac:dyDescent="0.3">
      <c r="B20" s="33" t="s">
        <v>165</v>
      </c>
      <c r="C20" s="33" t="s">
        <v>166</v>
      </c>
      <c r="D20" s="33" t="s">
        <v>167</v>
      </c>
      <c r="E20" s="33" t="s">
        <v>168</v>
      </c>
      <c r="F20" s="33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42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41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31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51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3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4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2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30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23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36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38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52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37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10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26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20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6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56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22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54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55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21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56.999999999999993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44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47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29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16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15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35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14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34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25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17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52.999999999999993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9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58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49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8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11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43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18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48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61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13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250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259</v>
      </c>
      <c r="D72" s="36">
        <v>52</v>
      </c>
      <c r="E72" s="36">
        <v>39</v>
      </c>
      <c r="F72" s="34" t="s">
        <v>272</v>
      </c>
    </row>
    <row r="73" spans="2:6" x14ac:dyDescent="0.25">
      <c r="B73" s="34" t="s">
        <v>262</v>
      </c>
      <c r="C73" s="34" t="s">
        <v>259</v>
      </c>
      <c r="D73" s="36">
        <v>53</v>
      </c>
      <c r="E73" s="36">
        <v>45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54</v>
      </c>
      <c r="E74" s="36">
        <v>46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50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59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24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12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19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60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7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38" t="s">
        <v>172</v>
      </c>
      <c r="C85" s="38"/>
      <c r="D85" s="38"/>
      <c r="E85" s="38"/>
      <c r="F85" s="38"/>
      <c r="G85" s="38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EE23-4DE6-42D2-A63F-B9A4F3D0EF0C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279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280</v>
      </c>
    </row>
    <row r="8" spans="1:5" x14ac:dyDescent="0.25">
      <c r="A8" s="31"/>
      <c r="B8" t="s">
        <v>281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3" t="s">
        <v>165</v>
      </c>
      <c r="C15" s="33" t="s">
        <v>166</v>
      </c>
      <c r="D15" s="33" t="s">
        <v>167</v>
      </c>
      <c r="E15" s="33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6398.8815724283713</v>
      </c>
    </row>
    <row r="19" spans="1:6" ht="15.75" thickBot="1" x14ac:dyDescent="0.3">
      <c r="A19" t="s">
        <v>169</v>
      </c>
    </row>
    <row r="20" spans="1:6" ht="15.75" thickBot="1" x14ac:dyDescent="0.3">
      <c r="B20" s="33" t="s">
        <v>165</v>
      </c>
      <c r="C20" s="33" t="s">
        <v>166</v>
      </c>
      <c r="D20" s="33" t="s">
        <v>167</v>
      </c>
      <c r="E20" s="33" t="s">
        <v>168</v>
      </c>
      <c r="F20" s="33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42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51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31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41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4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3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2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23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33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29.999999999999996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36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10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38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37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52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56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54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6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26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22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20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21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55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47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44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57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15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35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14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34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25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53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9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17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58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11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49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18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8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43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60.999999999999993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47.999999999999993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13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250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259</v>
      </c>
      <c r="D72" s="36">
        <v>52</v>
      </c>
      <c r="E72" s="36">
        <v>24</v>
      </c>
      <c r="F72" s="34" t="s">
        <v>272</v>
      </c>
    </row>
    <row r="73" spans="2:6" x14ac:dyDescent="0.25">
      <c r="B73" s="34" t="s">
        <v>262</v>
      </c>
      <c r="C73" s="34" t="s">
        <v>259</v>
      </c>
      <c r="D73" s="36">
        <v>53</v>
      </c>
      <c r="E73" s="36">
        <v>59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54</v>
      </c>
      <c r="E74" s="36">
        <v>45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39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46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12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19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50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7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60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38" t="s">
        <v>172</v>
      </c>
      <c r="C85" s="38"/>
      <c r="D85" s="38"/>
      <c r="E85" s="38"/>
      <c r="F85" s="38"/>
      <c r="G85" s="38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4BC6-BB47-4AC3-ACE8-1D926DF73FEE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282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283</v>
      </c>
    </row>
    <row r="8" spans="1:5" x14ac:dyDescent="0.25">
      <c r="A8" s="31"/>
      <c r="B8" t="s">
        <v>284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3" t="s">
        <v>165</v>
      </c>
      <c r="C15" s="33" t="s">
        <v>166</v>
      </c>
      <c r="D15" s="33" t="s">
        <v>167</v>
      </c>
      <c r="E15" s="33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6400.1149609878858</v>
      </c>
    </row>
    <row r="19" spans="1:6" ht="15.75" thickBot="1" x14ac:dyDescent="0.3">
      <c r="A19" t="s">
        <v>169</v>
      </c>
    </row>
    <row r="20" spans="1:6" ht="15.75" thickBot="1" x14ac:dyDescent="0.3">
      <c r="B20" s="33" t="s">
        <v>165</v>
      </c>
      <c r="C20" s="33" t="s">
        <v>166</v>
      </c>
      <c r="D20" s="33" t="s">
        <v>167</v>
      </c>
      <c r="E20" s="33" t="s">
        <v>168</v>
      </c>
      <c r="F20" s="33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51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32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42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41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31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4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3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23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36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29.999999999999996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2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38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37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10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52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56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6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26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21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22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54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20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44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55.000000000000007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47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57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5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15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35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34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14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53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25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9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17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58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49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8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43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11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18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48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61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28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40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1</v>
      </c>
      <c r="F70" s="34" t="s">
        <v>272</v>
      </c>
    </row>
    <row r="71" spans="2:6" x14ac:dyDescent="0.25">
      <c r="B71" s="34" t="s">
        <v>260</v>
      </c>
      <c r="C71" s="34" t="s">
        <v>259</v>
      </c>
      <c r="D71" s="36">
        <v>51</v>
      </c>
      <c r="E71" s="36">
        <v>13</v>
      </c>
      <c r="F71" s="34" t="s">
        <v>272</v>
      </c>
    </row>
    <row r="72" spans="2:6" x14ac:dyDescent="0.25">
      <c r="B72" s="34" t="s">
        <v>261</v>
      </c>
      <c r="C72" s="34" t="s">
        <v>250</v>
      </c>
      <c r="D72" s="36">
        <v>52</v>
      </c>
      <c r="E72" s="36">
        <v>7</v>
      </c>
      <c r="F72" s="34" t="s">
        <v>272</v>
      </c>
    </row>
    <row r="73" spans="2:6" x14ac:dyDescent="0.25">
      <c r="B73" s="34" t="s">
        <v>262</v>
      </c>
      <c r="C73" s="34" t="s">
        <v>259</v>
      </c>
      <c r="D73" s="36">
        <v>53</v>
      </c>
      <c r="E73" s="36">
        <v>39</v>
      </c>
      <c r="F73" s="34" t="s">
        <v>272</v>
      </c>
    </row>
    <row r="74" spans="2:6" x14ac:dyDescent="0.25">
      <c r="B74" s="34" t="s">
        <v>263</v>
      </c>
      <c r="C74" s="34" t="s">
        <v>259</v>
      </c>
      <c r="D74" s="36">
        <v>54</v>
      </c>
      <c r="E74" s="36">
        <v>19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46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24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45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60.000000000000007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50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12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59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38" t="s">
        <v>172</v>
      </c>
      <c r="C85" s="38"/>
      <c r="D85" s="38"/>
      <c r="E85" s="38"/>
      <c r="F85" s="38"/>
      <c r="G85" s="38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CFCD-8819-4A63-8998-80B23A7D7622}">
  <sheetPr>
    <tabColor theme="0" tint="-0.249977111117893"/>
  </sheetPr>
  <dimension ref="A1:G86"/>
  <sheetViews>
    <sheetView showGridLines="0" workbookViewId="0">
      <selection activeCell="B7" sqref="B7"/>
    </sheetView>
  </sheetViews>
  <sheetFormatPr defaultRowHeight="15" x14ac:dyDescent="0.25"/>
  <cols>
    <col min="1" max="1" width="2.28515625" customWidth="1"/>
    <col min="2" max="2" width="22.85546875" bestFit="1" customWidth="1"/>
    <col min="3" max="3" width="85.7109375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1" t="s">
        <v>154</v>
      </c>
    </row>
    <row r="2" spans="1:5" x14ac:dyDescent="0.25">
      <c r="A2" s="31" t="s">
        <v>155</v>
      </c>
    </row>
    <row r="3" spans="1:5" x14ac:dyDescent="0.25">
      <c r="A3" s="31" t="s">
        <v>285</v>
      </c>
    </row>
    <row r="4" spans="1:5" x14ac:dyDescent="0.25">
      <c r="A4" s="31" t="s">
        <v>157</v>
      </c>
    </row>
    <row r="5" spans="1:5" x14ac:dyDescent="0.25">
      <c r="A5" s="31" t="s">
        <v>158</v>
      </c>
    </row>
    <row r="6" spans="1:5" x14ac:dyDescent="0.25">
      <c r="A6" s="31"/>
      <c r="B6" t="s">
        <v>159</v>
      </c>
    </row>
    <row r="7" spans="1:5" x14ac:dyDescent="0.25">
      <c r="A7" s="31"/>
      <c r="B7" t="s">
        <v>286</v>
      </c>
    </row>
    <row r="8" spans="1:5" x14ac:dyDescent="0.25">
      <c r="A8" s="31"/>
      <c r="B8" t="s">
        <v>287</v>
      </c>
    </row>
    <row r="9" spans="1:5" x14ac:dyDescent="0.25">
      <c r="A9" s="31" t="s">
        <v>162</v>
      </c>
    </row>
    <row r="10" spans="1:5" x14ac:dyDescent="0.25">
      <c r="B10" t="s">
        <v>131</v>
      </c>
    </row>
    <row r="11" spans="1:5" x14ac:dyDescent="0.25">
      <c r="B11" t="s">
        <v>163</v>
      </c>
    </row>
    <row r="12" spans="1:5" x14ac:dyDescent="0.25">
      <c r="B12" t="s">
        <v>132</v>
      </c>
    </row>
    <row r="14" spans="1:5" ht="15.75" thickBot="1" x14ac:dyDescent="0.3">
      <c r="A14" t="s">
        <v>164</v>
      </c>
    </row>
    <row r="15" spans="1:5" ht="15.75" thickBot="1" x14ac:dyDescent="0.3">
      <c r="B15" s="33" t="s">
        <v>165</v>
      </c>
      <c r="C15" s="33" t="s">
        <v>166</v>
      </c>
      <c r="D15" s="33" t="s">
        <v>167</v>
      </c>
      <c r="E15" s="33" t="s">
        <v>168</v>
      </c>
    </row>
    <row r="16" spans="1:5" ht="15.75" thickBot="1" x14ac:dyDescent="0.3">
      <c r="B16" s="32" t="s">
        <v>173</v>
      </c>
      <c r="C16" s="32" t="s">
        <v>174</v>
      </c>
      <c r="D16" s="35">
        <v>8367.0483022153458</v>
      </c>
      <c r="E16" s="35">
        <v>6399.362229469737</v>
      </c>
    </row>
    <row r="19" spans="1:6" ht="15.75" thickBot="1" x14ac:dyDescent="0.3">
      <c r="A19" t="s">
        <v>169</v>
      </c>
    </row>
    <row r="20" spans="1:6" ht="15.75" thickBot="1" x14ac:dyDescent="0.3">
      <c r="B20" s="33" t="s">
        <v>165</v>
      </c>
      <c r="C20" s="33" t="s">
        <v>166</v>
      </c>
      <c r="D20" s="33" t="s">
        <v>167</v>
      </c>
      <c r="E20" s="33" t="s">
        <v>168</v>
      </c>
      <c r="F20" s="33" t="s">
        <v>170</v>
      </c>
    </row>
    <row r="21" spans="1:6" x14ac:dyDescent="0.25">
      <c r="B21" s="34" t="s">
        <v>175</v>
      </c>
      <c r="C21" s="34" t="s">
        <v>176</v>
      </c>
      <c r="D21" s="36">
        <v>1</v>
      </c>
      <c r="E21" s="36">
        <v>32</v>
      </c>
      <c r="F21" s="34" t="s">
        <v>272</v>
      </c>
    </row>
    <row r="22" spans="1:6" x14ac:dyDescent="0.25">
      <c r="B22" s="34" t="s">
        <v>177</v>
      </c>
      <c r="C22" s="34" t="s">
        <v>176</v>
      </c>
      <c r="D22" s="36">
        <v>2</v>
      </c>
      <c r="E22" s="36">
        <v>42</v>
      </c>
      <c r="F22" s="34" t="s">
        <v>272</v>
      </c>
    </row>
    <row r="23" spans="1:6" x14ac:dyDescent="0.25">
      <c r="B23" s="34" t="s">
        <v>178</v>
      </c>
      <c r="C23" s="34" t="s">
        <v>176</v>
      </c>
      <c r="D23" s="36">
        <v>3</v>
      </c>
      <c r="E23" s="36">
        <v>51</v>
      </c>
      <c r="F23" s="34" t="s">
        <v>272</v>
      </c>
    </row>
    <row r="24" spans="1:6" x14ac:dyDescent="0.25">
      <c r="B24" s="34" t="s">
        <v>179</v>
      </c>
      <c r="C24" s="34" t="s">
        <v>176</v>
      </c>
      <c r="D24" s="36">
        <v>4</v>
      </c>
      <c r="E24" s="36">
        <v>41</v>
      </c>
      <c r="F24" s="34" t="s">
        <v>272</v>
      </c>
    </row>
    <row r="25" spans="1:6" x14ac:dyDescent="0.25">
      <c r="B25" s="34" t="s">
        <v>180</v>
      </c>
      <c r="C25" s="34" t="s">
        <v>176</v>
      </c>
      <c r="D25" s="36">
        <v>5</v>
      </c>
      <c r="E25" s="36">
        <v>4</v>
      </c>
      <c r="F25" s="34" t="s">
        <v>272</v>
      </c>
    </row>
    <row r="26" spans="1:6" x14ac:dyDescent="0.25">
      <c r="B26" s="34" t="s">
        <v>181</v>
      </c>
      <c r="C26" s="34" t="s">
        <v>182</v>
      </c>
      <c r="D26" s="36">
        <v>6</v>
      </c>
      <c r="E26" s="36">
        <v>3</v>
      </c>
      <c r="F26" s="34" t="s">
        <v>272</v>
      </c>
    </row>
    <row r="27" spans="1:6" x14ac:dyDescent="0.25">
      <c r="B27" s="34" t="s">
        <v>183</v>
      </c>
      <c r="C27" s="34" t="s">
        <v>184</v>
      </c>
      <c r="D27" s="36">
        <v>7</v>
      </c>
      <c r="E27" s="36">
        <v>31</v>
      </c>
      <c r="F27" s="34" t="s">
        <v>272</v>
      </c>
    </row>
    <row r="28" spans="1:6" x14ac:dyDescent="0.25">
      <c r="B28" s="34" t="s">
        <v>185</v>
      </c>
      <c r="C28" s="34" t="s">
        <v>41</v>
      </c>
      <c r="D28" s="36">
        <v>8</v>
      </c>
      <c r="E28" s="36">
        <v>33</v>
      </c>
      <c r="F28" s="34" t="s">
        <v>272</v>
      </c>
    </row>
    <row r="29" spans="1:6" x14ac:dyDescent="0.25">
      <c r="B29" s="34" t="s">
        <v>186</v>
      </c>
      <c r="C29" s="34" t="s">
        <v>187</v>
      </c>
      <c r="D29" s="36">
        <v>9</v>
      </c>
      <c r="E29" s="36">
        <v>30</v>
      </c>
      <c r="F29" s="34" t="s">
        <v>272</v>
      </c>
    </row>
    <row r="30" spans="1:6" x14ac:dyDescent="0.25">
      <c r="B30" s="34" t="s">
        <v>188</v>
      </c>
      <c r="C30" s="34" t="s">
        <v>189</v>
      </c>
      <c r="D30" s="36">
        <v>10</v>
      </c>
      <c r="E30" s="36">
        <v>2</v>
      </c>
      <c r="F30" s="34" t="s">
        <v>272</v>
      </c>
    </row>
    <row r="31" spans="1:6" x14ac:dyDescent="0.25">
      <c r="B31" s="34" t="s">
        <v>190</v>
      </c>
      <c r="C31" s="34" t="s">
        <v>191</v>
      </c>
      <c r="D31" s="36">
        <v>11</v>
      </c>
      <c r="E31" s="36">
        <v>23</v>
      </c>
      <c r="F31" s="34" t="s">
        <v>272</v>
      </c>
    </row>
    <row r="32" spans="1:6" x14ac:dyDescent="0.25">
      <c r="B32" s="34" t="s">
        <v>192</v>
      </c>
      <c r="C32" s="34" t="s">
        <v>193</v>
      </c>
      <c r="D32" s="36">
        <v>12</v>
      </c>
      <c r="E32" s="36">
        <v>36</v>
      </c>
      <c r="F32" s="34" t="s">
        <v>272</v>
      </c>
    </row>
    <row r="33" spans="2:6" x14ac:dyDescent="0.25">
      <c r="B33" s="34" t="s">
        <v>194</v>
      </c>
      <c r="C33" s="34" t="s">
        <v>195</v>
      </c>
      <c r="D33" s="36">
        <v>13</v>
      </c>
      <c r="E33" s="36">
        <v>38</v>
      </c>
      <c r="F33" s="34" t="s">
        <v>272</v>
      </c>
    </row>
    <row r="34" spans="2:6" x14ac:dyDescent="0.25">
      <c r="B34" s="34" t="s">
        <v>196</v>
      </c>
      <c r="C34" s="34" t="s">
        <v>197</v>
      </c>
      <c r="D34" s="36">
        <v>14</v>
      </c>
      <c r="E34" s="36">
        <v>37</v>
      </c>
      <c r="F34" s="34" t="s">
        <v>272</v>
      </c>
    </row>
    <row r="35" spans="2:6" x14ac:dyDescent="0.25">
      <c r="B35" s="34" t="s">
        <v>198</v>
      </c>
      <c r="C35" s="34" t="s">
        <v>199</v>
      </c>
      <c r="D35" s="36">
        <v>15</v>
      </c>
      <c r="E35" s="36">
        <v>10</v>
      </c>
      <c r="F35" s="34" t="s">
        <v>272</v>
      </c>
    </row>
    <row r="36" spans="2:6" x14ac:dyDescent="0.25">
      <c r="B36" s="34" t="s">
        <v>200</v>
      </c>
      <c r="C36" s="34" t="s">
        <v>201</v>
      </c>
      <c r="D36" s="36">
        <v>16</v>
      </c>
      <c r="E36" s="36">
        <v>52</v>
      </c>
      <c r="F36" s="34" t="s">
        <v>272</v>
      </c>
    </row>
    <row r="37" spans="2:6" x14ac:dyDescent="0.25">
      <c r="B37" s="34" t="s">
        <v>202</v>
      </c>
      <c r="C37" s="34" t="s">
        <v>203</v>
      </c>
      <c r="D37" s="36">
        <v>17</v>
      </c>
      <c r="E37" s="36">
        <v>22</v>
      </c>
      <c r="F37" s="34" t="s">
        <v>272</v>
      </c>
    </row>
    <row r="38" spans="2:6" x14ac:dyDescent="0.25">
      <c r="B38" s="34" t="s">
        <v>204</v>
      </c>
      <c r="C38" s="34" t="s">
        <v>205</v>
      </c>
      <c r="D38" s="36">
        <v>18</v>
      </c>
      <c r="E38" s="36">
        <v>56</v>
      </c>
      <c r="F38" s="34" t="s">
        <v>272</v>
      </c>
    </row>
    <row r="39" spans="2:6" x14ac:dyDescent="0.25">
      <c r="B39" s="34" t="s">
        <v>206</v>
      </c>
      <c r="C39" s="34" t="s">
        <v>207</v>
      </c>
      <c r="D39" s="36">
        <v>19</v>
      </c>
      <c r="E39" s="36">
        <v>26</v>
      </c>
      <c r="F39" s="34" t="s">
        <v>272</v>
      </c>
    </row>
    <row r="40" spans="2:6" x14ac:dyDescent="0.25">
      <c r="B40" s="34" t="s">
        <v>208</v>
      </c>
      <c r="C40" s="34" t="s">
        <v>209</v>
      </c>
      <c r="D40" s="36">
        <v>20</v>
      </c>
      <c r="E40" s="36">
        <v>6</v>
      </c>
      <c r="F40" s="34" t="s">
        <v>272</v>
      </c>
    </row>
    <row r="41" spans="2:6" x14ac:dyDescent="0.25">
      <c r="B41" s="34" t="s">
        <v>210</v>
      </c>
      <c r="C41" s="34" t="s">
        <v>211</v>
      </c>
      <c r="D41" s="36">
        <v>21</v>
      </c>
      <c r="E41" s="36">
        <v>21</v>
      </c>
      <c r="F41" s="34" t="s">
        <v>272</v>
      </c>
    </row>
    <row r="42" spans="2:6" x14ac:dyDescent="0.25">
      <c r="B42" s="34" t="s">
        <v>212</v>
      </c>
      <c r="C42" s="34" t="s">
        <v>213</v>
      </c>
      <c r="D42" s="36">
        <v>22</v>
      </c>
      <c r="E42" s="36">
        <v>55</v>
      </c>
      <c r="F42" s="34" t="s">
        <v>272</v>
      </c>
    </row>
    <row r="43" spans="2:6" x14ac:dyDescent="0.25">
      <c r="B43" s="34" t="s">
        <v>214</v>
      </c>
      <c r="C43" s="34" t="s">
        <v>215</v>
      </c>
      <c r="D43" s="36">
        <v>23</v>
      </c>
      <c r="E43" s="36">
        <v>54.000000000000007</v>
      </c>
      <c r="F43" s="34" t="s">
        <v>272</v>
      </c>
    </row>
    <row r="44" spans="2:6" x14ac:dyDescent="0.25">
      <c r="B44" s="34" t="s">
        <v>216</v>
      </c>
      <c r="C44" s="34" t="s">
        <v>217</v>
      </c>
      <c r="D44" s="36">
        <v>24</v>
      </c>
      <c r="E44" s="36">
        <v>47</v>
      </c>
      <c r="F44" s="34" t="s">
        <v>272</v>
      </c>
    </row>
    <row r="45" spans="2:6" x14ac:dyDescent="0.25">
      <c r="B45" s="34" t="s">
        <v>218</v>
      </c>
      <c r="C45" s="34" t="s">
        <v>219</v>
      </c>
      <c r="D45" s="36">
        <v>25</v>
      </c>
      <c r="E45" s="36">
        <v>20</v>
      </c>
      <c r="F45" s="34" t="s">
        <v>272</v>
      </c>
    </row>
    <row r="46" spans="2:6" x14ac:dyDescent="0.25">
      <c r="B46" s="34" t="s">
        <v>220</v>
      </c>
      <c r="C46" s="34" t="s">
        <v>221</v>
      </c>
      <c r="D46" s="36">
        <v>26</v>
      </c>
      <c r="E46" s="36">
        <v>44</v>
      </c>
      <c r="F46" s="34" t="s">
        <v>272</v>
      </c>
    </row>
    <row r="47" spans="2:6" x14ac:dyDescent="0.25">
      <c r="B47" s="34" t="s">
        <v>222</v>
      </c>
      <c r="C47" s="34" t="s">
        <v>211</v>
      </c>
      <c r="D47" s="36">
        <v>27</v>
      </c>
      <c r="E47" s="36">
        <v>57</v>
      </c>
      <c r="F47" s="34" t="s">
        <v>272</v>
      </c>
    </row>
    <row r="48" spans="2:6" x14ac:dyDescent="0.25">
      <c r="B48" s="34" t="s">
        <v>223</v>
      </c>
      <c r="C48" s="34" t="s">
        <v>224</v>
      </c>
      <c r="D48" s="36">
        <v>28</v>
      </c>
      <c r="E48" s="36">
        <v>27</v>
      </c>
      <c r="F48" s="34" t="s">
        <v>272</v>
      </c>
    </row>
    <row r="49" spans="2:6" x14ac:dyDescent="0.25">
      <c r="B49" s="34" t="s">
        <v>225</v>
      </c>
      <c r="C49" s="34"/>
      <c r="D49" s="36">
        <v>29</v>
      </c>
      <c r="E49" s="36">
        <v>16</v>
      </c>
      <c r="F49" s="34" t="s">
        <v>272</v>
      </c>
    </row>
    <row r="50" spans="2:6" x14ac:dyDescent="0.25">
      <c r="B50" s="34" t="s">
        <v>226</v>
      </c>
      <c r="C50" s="34"/>
      <c r="D50" s="36">
        <v>30</v>
      </c>
      <c r="E50" s="36">
        <v>29</v>
      </c>
      <c r="F50" s="34" t="s">
        <v>272</v>
      </c>
    </row>
    <row r="51" spans="2:6" x14ac:dyDescent="0.25">
      <c r="B51" s="34" t="s">
        <v>227</v>
      </c>
      <c r="C51" s="34"/>
      <c r="D51" s="36">
        <v>31</v>
      </c>
      <c r="E51" s="36">
        <v>17</v>
      </c>
      <c r="F51" s="34" t="s">
        <v>272</v>
      </c>
    </row>
    <row r="52" spans="2:6" x14ac:dyDescent="0.25">
      <c r="B52" s="34" t="s">
        <v>228</v>
      </c>
      <c r="C52" s="34" t="s">
        <v>41</v>
      </c>
      <c r="D52" s="36">
        <v>32</v>
      </c>
      <c r="E52" s="36">
        <v>5</v>
      </c>
      <c r="F52" s="34" t="s">
        <v>272</v>
      </c>
    </row>
    <row r="53" spans="2:6" x14ac:dyDescent="0.25">
      <c r="B53" s="34" t="s">
        <v>229</v>
      </c>
      <c r="C53" s="34" t="s">
        <v>230</v>
      </c>
      <c r="D53" s="36">
        <v>33</v>
      </c>
      <c r="E53" s="36">
        <v>15</v>
      </c>
      <c r="F53" s="34" t="s">
        <v>272</v>
      </c>
    </row>
    <row r="54" spans="2:6" x14ac:dyDescent="0.25">
      <c r="B54" s="34" t="s">
        <v>231</v>
      </c>
      <c r="C54" s="34" t="s">
        <v>232</v>
      </c>
      <c r="D54" s="36">
        <v>34</v>
      </c>
      <c r="E54" s="36">
        <v>34</v>
      </c>
      <c r="F54" s="34" t="s">
        <v>272</v>
      </c>
    </row>
    <row r="55" spans="2:6" x14ac:dyDescent="0.25">
      <c r="B55" s="34" t="s">
        <v>233</v>
      </c>
      <c r="C55" s="34" t="s">
        <v>234</v>
      </c>
      <c r="D55" s="36">
        <v>35</v>
      </c>
      <c r="E55" s="36">
        <v>35</v>
      </c>
      <c r="F55" s="34" t="s">
        <v>272</v>
      </c>
    </row>
    <row r="56" spans="2:6" x14ac:dyDescent="0.25">
      <c r="B56" s="34" t="s">
        <v>235</v>
      </c>
      <c r="C56" s="34" t="s">
        <v>236</v>
      </c>
      <c r="D56" s="36">
        <v>36</v>
      </c>
      <c r="E56" s="36">
        <v>9</v>
      </c>
      <c r="F56" s="34" t="s">
        <v>272</v>
      </c>
    </row>
    <row r="57" spans="2:6" x14ac:dyDescent="0.25">
      <c r="B57" s="34" t="s">
        <v>237</v>
      </c>
      <c r="C57" s="34" t="s">
        <v>238</v>
      </c>
      <c r="D57" s="36">
        <v>37</v>
      </c>
      <c r="E57" s="36">
        <v>14</v>
      </c>
      <c r="F57" s="34" t="s">
        <v>272</v>
      </c>
    </row>
    <row r="58" spans="2:6" x14ac:dyDescent="0.25">
      <c r="B58" s="34" t="s">
        <v>239</v>
      </c>
      <c r="C58" s="34" t="s">
        <v>240</v>
      </c>
      <c r="D58" s="36">
        <v>38</v>
      </c>
      <c r="E58" s="36">
        <v>52.999999999999993</v>
      </c>
      <c r="F58" s="34" t="s">
        <v>272</v>
      </c>
    </row>
    <row r="59" spans="2:6" x14ac:dyDescent="0.25">
      <c r="B59" s="34" t="s">
        <v>241</v>
      </c>
      <c r="C59" s="34" t="s">
        <v>242</v>
      </c>
      <c r="D59" s="36">
        <v>39</v>
      </c>
      <c r="E59" s="36">
        <v>8</v>
      </c>
      <c r="F59" s="34" t="s">
        <v>272</v>
      </c>
    </row>
    <row r="60" spans="2:6" x14ac:dyDescent="0.25">
      <c r="B60" s="34" t="s">
        <v>243</v>
      </c>
      <c r="C60" s="34" t="s">
        <v>41</v>
      </c>
      <c r="D60" s="36">
        <v>40</v>
      </c>
      <c r="E60" s="36">
        <v>25</v>
      </c>
      <c r="F60" s="34" t="s">
        <v>272</v>
      </c>
    </row>
    <row r="61" spans="2:6" x14ac:dyDescent="0.25">
      <c r="B61" s="34" t="s">
        <v>244</v>
      </c>
      <c r="C61" s="34" t="s">
        <v>245</v>
      </c>
      <c r="D61" s="36">
        <v>41</v>
      </c>
      <c r="E61" s="36">
        <v>58</v>
      </c>
      <c r="F61" s="34" t="s">
        <v>272</v>
      </c>
    </row>
    <row r="62" spans="2:6" x14ac:dyDescent="0.25">
      <c r="B62" s="34" t="s">
        <v>246</v>
      </c>
      <c r="C62" s="34" t="s">
        <v>247</v>
      </c>
      <c r="D62" s="36">
        <v>42</v>
      </c>
      <c r="E62" s="36">
        <v>49</v>
      </c>
      <c r="F62" s="34" t="s">
        <v>272</v>
      </c>
    </row>
    <row r="63" spans="2:6" x14ac:dyDescent="0.25">
      <c r="B63" s="34" t="s">
        <v>248</v>
      </c>
      <c r="C63" s="34" t="s">
        <v>41</v>
      </c>
      <c r="D63" s="36">
        <v>43</v>
      </c>
      <c r="E63" s="36">
        <v>11</v>
      </c>
      <c r="F63" s="34" t="s">
        <v>272</v>
      </c>
    </row>
    <row r="64" spans="2:6" x14ac:dyDescent="0.25">
      <c r="B64" s="34" t="s">
        <v>249</v>
      </c>
      <c r="C64" s="34" t="s">
        <v>250</v>
      </c>
      <c r="D64" s="36">
        <v>44</v>
      </c>
      <c r="E64" s="36">
        <v>43</v>
      </c>
      <c r="F64" s="34" t="s">
        <v>272</v>
      </c>
    </row>
    <row r="65" spans="2:6" x14ac:dyDescent="0.25">
      <c r="B65" s="34" t="s">
        <v>251</v>
      </c>
      <c r="C65" s="34" t="s">
        <v>41</v>
      </c>
      <c r="D65" s="36">
        <v>45</v>
      </c>
      <c r="E65" s="36">
        <v>18</v>
      </c>
      <c r="F65" s="34" t="s">
        <v>272</v>
      </c>
    </row>
    <row r="66" spans="2:6" x14ac:dyDescent="0.25">
      <c r="B66" s="34" t="s">
        <v>252</v>
      </c>
      <c r="C66" s="34" t="s">
        <v>41</v>
      </c>
      <c r="D66" s="36">
        <v>46</v>
      </c>
      <c r="E66" s="36">
        <v>60.999999999999993</v>
      </c>
      <c r="F66" s="34" t="s">
        <v>272</v>
      </c>
    </row>
    <row r="67" spans="2:6" x14ac:dyDescent="0.25">
      <c r="B67" s="34" t="s">
        <v>253</v>
      </c>
      <c r="C67" s="34" t="s">
        <v>254</v>
      </c>
      <c r="D67" s="36">
        <v>47</v>
      </c>
      <c r="E67" s="36">
        <v>47.999999999999993</v>
      </c>
      <c r="F67" s="34" t="s">
        <v>272</v>
      </c>
    </row>
    <row r="68" spans="2:6" x14ac:dyDescent="0.25">
      <c r="B68" s="34" t="s">
        <v>255</v>
      </c>
      <c r="C68" s="34" t="s">
        <v>256</v>
      </c>
      <c r="D68" s="36">
        <v>48</v>
      </c>
      <c r="E68" s="36">
        <v>13</v>
      </c>
      <c r="F68" s="34" t="s">
        <v>272</v>
      </c>
    </row>
    <row r="69" spans="2:6" x14ac:dyDescent="0.25">
      <c r="B69" s="34" t="s">
        <v>257</v>
      </c>
      <c r="C69" s="34" t="s">
        <v>41</v>
      </c>
      <c r="D69" s="36">
        <v>49</v>
      </c>
      <c r="E69" s="36">
        <v>28</v>
      </c>
      <c r="F69" s="34" t="s">
        <v>272</v>
      </c>
    </row>
    <row r="70" spans="2:6" x14ac:dyDescent="0.25">
      <c r="B70" s="34" t="s">
        <v>258</v>
      </c>
      <c r="C70" s="34" t="s">
        <v>259</v>
      </c>
      <c r="D70" s="36">
        <v>50</v>
      </c>
      <c r="E70" s="36">
        <v>40</v>
      </c>
      <c r="F70" s="34" t="s">
        <v>272</v>
      </c>
    </row>
    <row r="71" spans="2:6" x14ac:dyDescent="0.25">
      <c r="B71" s="34" t="s">
        <v>260</v>
      </c>
      <c r="C71" s="34" t="s">
        <v>250</v>
      </c>
      <c r="D71" s="36">
        <v>51</v>
      </c>
      <c r="E71" s="36">
        <v>1</v>
      </c>
      <c r="F71" s="34" t="s">
        <v>272</v>
      </c>
    </row>
    <row r="72" spans="2:6" x14ac:dyDescent="0.25">
      <c r="B72" s="34" t="s">
        <v>261</v>
      </c>
      <c r="C72" s="34" t="s">
        <v>259</v>
      </c>
      <c r="D72" s="36">
        <v>52</v>
      </c>
      <c r="E72" s="36">
        <v>50</v>
      </c>
      <c r="F72" s="34" t="s">
        <v>272</v>
      </c>
    </row>
    <row r="73" spans="2:6" x14ac:dyDescent="0.25">
      <c r="B73" s="34" t="s">
        <v>262</v>
      </c>
      <c r="C73" s="34" t="s">
        <v>259</v>
      </c>
      <c r="D73" s="36">
        <v>53</v>
      </c>
      <c r="E73" s="36">
        <v>45</v>
      </c>
      <c r="F73" s="34" t="s">
        <v>272</v>
      </c>
    </row>
    <row r="74" spans="2:6" x14ac:dyDescent="0.25">
      <c r="B74" s="34" t="s">
        <v>263</v>
      </c>
      <c r="C74" s="34" t="s">
        <v>250</v>
      </c>
      <c r="D74" s="36">
        <v>54</v>
      </c>
      <c r="E74" s="36">
        <v>19</v>
      </c>
      <c r="F74" s="34" t="s">
        <v>272</v>
      </c>
    </row>
    <row r="75" spans="2:6" x14ac:dyDescent="0.25">
      <c r="B75" s="34" t="s">
        <v>264</v>
      </c>
      <c r="C75" s="34" t="s">
        <v>41</v>
      </c>
      <c r="D75" s="36">
        <v>55</v>
      </c>
      <c r="E75" s="36">
        <v>24</v>
      </c>
      <c r="F75" s="34" t="s">
        <v>272</v>
      </c>
    </row>
    <row r="76" spans="2:6" x14ac:dyDescent="0.25">
      <c r="B76" s="34" t="s">
        <v>265</v>
      </c>
      <c r="C76" s="34" t="s">
        <v>41</v>
      </c>
      <c r="D76" s="36">
        <v>56</v>
      </c>
      <c r="E76" s="36">
        <v>12</v>
      </c>
      <c r="F76" s="34" t="s">
        <v>272</v>
      </c>
    </row>
    <row r="77" spans="2:6" x14ac:dyDescent="0.25">
      <c r="B77" s="34" t="s">
        <v>266</v>
      </c>
      <c r="C77" s="34" t="s">
        <v>41</v>
      </c>
      <c r="D77" s="36">
        <v>57</v>
      </c>
      <c r="E77" s="36">
        <v>39</v>
      </c>
      <c r="F77" s="34" t="s">
        <v>272</v>
      </c>
    </row>
    <row r="78" spans="2:6" x14ac:dyDescent="0.25">
      <c r="B78" s="34" t="s">
        <v>267</v>
      </c>
      <c r="C78" s="34" t="s">
        <v>41</v>
      </c>
      <c r="D78" s="36">
        <v>58</v>
      </c>
      <c r="E78" s="36">
        <v>60.000000000000007</v>
      </c>
      <c r="F78" s="34" t="s">
        <v>272</v>
      </c>
    </row>
    <row r="79" spans="2:6" x14ac:dyDescent="0.25">
      <c r="B79" s="34" t="s">
        <v>268</v>
      </c>
      <c r="C79" s="34" t="s">
        <v>41</v>
      </c>
      <c r="D79" s="36">
        <v>59</v>
      </c>
      <c r="E79" s="36">
        <v>7</v>
      </c>
      <c r="F79" s="34" t="s">
        <v>272</v>
      </c>
    </row>
    <row r="80" spans="2:6" x14ac:dyDescent="0.25">
      <c r="B80" s="34" t="s">
        <v>269</v>
      </c>
      <c r="C80" s="34" t="s">
        <v>41</v>
      </c>
      <c r="D80" s="36">
        <v>60</v>
      </c>
      <c r="E80" s="36">
        <v>46</v>
      </c>
      <c r="F80" s="34" t="s">
        <v>272</v>
      </c>
    </row>
    <row r="81" spans="1:7" ht="15.75" thickBot="1" x14ac:dyDescent="0.3">
      <c r="B81" s="32" t="s">
        <v>270</v>
      </c>
      <c r="C81" s="32" t="s">
        <v>41</v>
      </c>
      <c r="D81" s="37">
        <v>61</v>
      </c>
      <c r="E81" s="37">
        <v>59</v>
      </c>
      <c r="F81" s="32" t="s">
        <v>272</v>
      </c>
    </row>
    <row r="84" spans="1:7" ht="15.75" thickBot="1" x14ac:dyDescent="0.3">
      <c r="A84" t="s">
        <v>171</v>
      </c>
    </row>
    <row r="85" spans="1:7" ht="15.75" thickBot="1" x14ac:dyDescent="0.3">
      <c r="B85" s="38" t="s">
        <v>172</v>
      </c>
      <c r="C85" s="38"/>
      <c r="D85" s="38"/>
      <c r="E85" s="38"/>
      <c r="F85" s="38"/>
      <c r="G85" s="38"/>
    </row>
    <row r="86" spans="1:7" ht="15.75" thickBot="1" x14ac:dyDescent="0.3">
      <c r="B86" s="32" t="s">
        <v>271</v>
      </c>
      <c r="C86" s="32"/>
      <c r="D86" s="32"/>
      <c r="E86" s="32"/>
      <c r="F86" s="32"/>
      <c r="G86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4</vt:i4>
      </vt:variant>
    </vt:vector>
  </HeadingPairs>
  <TitlesOfParts>
    <vt:vector size="20" baseType="lpstr">
      <vt:lpstr>Modelo</vt:lpstr>
      <vt:lpstr>Simulações</vt:lpstr>
      <vt:lpstr>Distância</vt:lpstr>
      <vt:lpstr>sim1</vt:lpstr>
      <vt:lpstr>sim2</vt:lpstr>
      <vt:lpstr>sim3</vt:lpstr>
      <vt:lpstr>sim4</vt:lpstr>
      <vt:lpstr>sim5</vt:lpstr>
      <vt:lpstr>sim6</vt:lpstr>
      <vt:lpstr>sim7</vt:lpstr>
      <vt:lpstr>sim8</vt:lpstr>
      <vt:lpstr>sim9</vt:lpstr>
      <vt:lpstr>sim10</vt:lpstr>
      <vt:lpstr>sim11</vt:lpstr>
      <vt:lpstr>sim12</vt:lpstr>
      <vt:lpstr>sim13</vt:lpstr>
      <vt:lpstr>Função Obj</vt:lpstr>
      <vt:lpstr>Escolhas</vt:lpstr>
      <vt:lpstr>Calc Exper.</vt:lpstr>
      <vt:lpstr>Calc 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Tello</dc:creator>
  <cp:lastModifiedBy>Roberto Tello</cp:lastModifiedBy>
  <dcterms:created xsi:type="dcterms:W3CDTF">2021-09-27T12:54:06Z</dcterms:created>
  <dcterms:modified xsi:type="dcterms:W3CDTF">2022-01-30T20:31:24Z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RTello@technip.onmicrosoft.com</vt:lpwstr>
  </property>
  <property fmtid="{D5CDD505-2E9C-101B-9397-08002B2CF9AE}" pid="5" name="MSIP_Label_3b48b937-0ae3-46f5-b32e-f3232b5be847_SetDate">
    <vt:lpwstr>2021-09-27T13:40:10.8268709Z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b29603fb-7fab-4bf6-8ed3-004985bb9d91_Enabled">
    <vt:lpwstr>True</vt:lpwstr>
  </property>
  <property fmtid="{D5CDD505-2E9C-101B-9397-08002B2CF9AE}" pid="10" name="MSIP_Label_b29603fb-7fab-4bf6-8ed3-004985bb9d91_SiteId">
    <vt:lpwstr>9179d01a-e94c-4488-b5f0-4554bc474f8c</vt:lpwstr>
  </property>
  <property fmtid="{D5CDD505-2E9C-101B-9397-08002B2CF9AE}" pid="11" name="MSIP_Label_b29603fb-7fab-4bf6-8ed3-004985bb9d91_Owner">
    <vt:lpwstr>RTello@technip.onmicrosoft.com</vt:lpwstr>
  </property>
  <property fmtid="{D5CDD505-2E9C-101B-9397-08002B2CF9AE}" pid="12" name="MSIP_Label_b29603fb-7fab-4bf6-8ed3-004985bb9d91_SetDate">
    <vt:lpwstr>2021-09-27T13:40:10.8268709Z</vt:lpwstr>
  </property>
  <property fmtid="{D5CDD505-2E9C-101B-9397-08002B2CF9AE}" pid="13" name="MSIP_Label_b29603fb-7fab-4bf6-8ed3-004985bb9d91_Name">
    <vt:lpwstr>Anyone - No Protection</vt:lpwstr>
  </property>
  <property fmtid="{D5CDD505-2E9C-101B-9397-08002B2CF9AE}" pid="14" name="MSIP_Label_b29603fb-7fab-4bf6-8ed3-004985bb9d91_Application">
    <vt:lpwstr>Microsoft Azure Information Protection</vt:lpwstr>
  </property>
  <property fmtid="{D5CDD505-2E9C-101B-9397-08002B2CF9AE}" pid="15" name="MSIP_Label_b29603fb-7fab-4bf6-8ed3-004985bb9d91_Parent">
    <vt:lpwstr>3b48b937-0ae3-46f5-b32e-f3232b5be847</vt:lpwstr>
  </property>
  <property fmtid="{D5CDD505-2E9C-101B-9397-08002B2CF9AE}" pid="16" name="MSIP_Label_b29603fb-7fab-4bf6-8ed3-004985bb9d91_Extended_MSFT_Method">
    <vt:lpwstr>Automatic</vt:lpwstr>
  </property>
  <property fmtid="{D5CDD505-2E9C-101B-9397-08002B2CF9AE}" pid="17" name="MSIP_Label_8caabacf-b917-4a45-9a5f-ed3a53d2eeb7_Enabled">
    <vt:lpwstr>true</vt:lpwstr>
  </property>
  <property fmtid="{D5CDD505-2E9C-101B-9397-08002B2CF9AE}" pid="18" name="MSIP_Label_8caabacf-b917-4a45-9a5f-ed3a53d2eeb7_SetDate">
    <vt:lpwstr>2022-01-11T20:07:11Z</vt:lpwstr>
  </property>
  <property fmtid="{D5CDD505-2E9C-101B-9397-08002B2CF9AE}" pid="19" name="MSIP_Label_8caabacf-b917-4a45-9a5f-ed3a53d2eeb7_Method">
    <vt:lpwstr>Standard</vt:lpwstr>
  </property>
  <property fmtid="{D5CDD505-2E9C-101B-9397-08002B2CF9AE}" pid="20" name="MSIP_Label_8caabacf-b917-4a45-9a5f-ed3a53d2eeb7_Name">
    <vt:lpwstr>Anyone - No Protection</vt:lpwstr>
  </property>
  <property fmtid="{D5CDD505-2E9C-101B-9397-08002B2CF9AE}" pid="21" name="MSIP_Label_8caabacf-b917-4a45-9a5f-ed3a53d2eeb7_SiteId">
    <vt:lpwstr>0804c951-93a0-405d-80e4-fa87c7551d6a</vt:lpwstr>
  </property>
  <property fmtid="{D5CDD505-2E9C-101B-9397-08002B2CF9AE}" pid="22" name="MSIP_Label_8caabacf-b917-4a45-9a5f-ed3a53d2eeb7_ActionId">
    <vt:lpwstr>6b2d1e9e-1377-4dfe-9089-6a39c2da6d5c</vt:lpwstr>
  </property>
  <property fmtid="{D5CDD505-2E9C-101B-9397-08002B2CF9AE}" pid="23" name="MSIP_Label_8caabacf-b917-4a45-9a5f-ed3a53d2eeb7_ContentBits">
    <vt:lpwstr>0</vt:lpwstr>
  </property>
</Properties>
</file>