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ocuments\GitHub\Single-Crystal-Mineral-Database\static\downloads\"/>
    </mc:Choice>
  </mc:AlternateContent>
  <xr:revisionPtr revIDLastSave="0" documentId="13_ncr:1_{C14D771C-E80B-47EF-8C51-48376DB140C9}" xr6:coauthVersionLast="38" xr6:coauthVersionMax="38" xr10:uidLastSave="{00000000-0000-0000-0000-000000000000}"/>
  <bookViews>
    <workbookView xWindow="0" yWindow="0" windowWidth="19200" windowHeight="6648" xr2:uid="{00000000-000D-0000-FFFF-FFFF00000000}"/>
  </bookViews>
  <sheets>
    <sheet name="Cubic" sheetId="10" r:id="rId1"/>
    <sheet name="Cubic Refs" sheetId="11" r:id="rId2"/>
    <sheet name="Hexagonal" sheetId="1" r:id="rId3"/>
    <sheet name="Hexagonal Refs" sheetId="13" r:id="rId4"/>
    <sheet name="Trigonal" sheetId="2" r:id="rId5"/>
    <sheet name="Trigonal Refs" sheetId="14" r:id="rId6"/>
    <sheet name="Tetragonal" sheetId="3" r:id="rId7"/>
    <sheet name="Tetragonal Refs" sheetId="15" r:id="rId8"/>
    <sheet name="Orthorhombic" sheetId="5" r:id="rId9"/>
    <sheet name="Ortho Refs" sheetId="8" r:id="rId10"/>
    <sheet name="Monoclinic" sheetId="4" r:id="rId11"/>
    <sheet name="Mono Refs" sheetId="7" r:id="rId12"/>
    <sheet name="Triclinic" sheetId="6" r:id="rId13"/>
    <sheet name="Triclinic Refs" sheetId="16" r:id="rId14"/>
    <sheet name="Key" sheetId="12" r:id="rId1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5" l="1"/>
  <c r="U2" i="5"/>
  <c r="W2" i="5"/>
  <c r="S3" i="5"/>
  <c r="U3" i="5"/>
  <c r="R3" i="5" s="1"/>
  <c r="W3" i="5"/>
  <c r="S4" i="5"/>
  <c r="U4" i="5"/>
  <c r="V4" i="5" s="1"/>
  <c r="W4" i="5"/>
  <c r="S5" i="5"/>
  <c r="U5" i="5"/>
  <c r="V5" i="5" s="1"/>
  <c r="W5" i="5"/>
  <c r="S6" i="5"/>
  <c r="U6" i="5"/>
  <c r="W6" i="5"/>
  <c r="S7" i="5"/>
  <c r="U7" i="5"/>
  <c r="R7" i="5" s="1"/>
  <c r="W7" i="5"/>
  <c r="S8" i="5"/>
  <c r="U8" i="5"/>
  <c r="V8" i="5" s="1"/>
  <c r="W8" i="5"/>
  <c r="S9" i="5"/>
  <c r="U9" i="5"/>
  <c r="W9" i="5"/>
  <c r="S10" i="5"/>
  <c r="U10" i="5"/>
  <c r="W10" i="5"/>
  <c r="S11" i="5"/>
  <c r="AI11" i="5" s="1"/>
  <c r="U11" i="5"/>
  <c r="R11" i="5" s="1"/>
  <c r="W11" i="5"/>
  <c r="S12" i="5"/>
  <c r="U12" i="5"/>
  <c r="R12" i="5" s="1"/>
  <c r="W12" i="5"/>
  <c r="S13" i="5"/>
  <c r="U13" i="5"/>
  <c r="W13" i="5"/>
  <c r="S14" i="5"/>
  <c r="U14" i="5"/>
  <c r="W14" i="5"/>
  <c r="S15" i="5"/>
  <c r="U15" i="5"/>
  <c r="R15" i="5" s="1"/>
  <c r="W15" i="5"/>
  <c r="S16" i="5"/>
  <c r="U16" i="5"/>
  <c r="W16" i="5"/>
  <c r="S17" i="5"/>
  <c r="U17" i="5"/>
  <c r="V17" i="5" s="1"/>
  <c r="W17" i="5"/>
  <c r="S18" i="5"/>
  <c r="U18" i="5"/>
  <c r="W18" i="5"/>
  <c r="S19" i="5"/>
  <c r="U19" i="5"/>
  <c r="R19" i="5" s="1"/>
  <c r="W19" i="5"/>
  <c r="S20" i="5"/>
  <c r="U20" i="5"/>
  <c r="W20" i="5"/>
  <c r="S21" i="5"/>
  <c r="U21" i="5"/>
  <c r="V21" i="5" s="1"/>
  <c r="W21" i="5"/>
  <c r="S22" i="5"/>
  <c r="U22" i="5"/>
  <c r="W22" i="5"/>
  <c r="S23" i="5"/>
  <c r="U23" i="5"/>
  <c r="W23" i="5"/>
  <c r="S24" i="5"/>
  <c r="U24" i="5"/>
  <c r="V24" i="5" s="1"/>
  <c r="W24" i="5"/>
  <c r="S25" i="5"/>
  <c r="U25" i="5"/>
  <c r="V25" i="5" s="1"/>
  <c r="W25" i="5"/>
  <c r="S26" i="5"/>
  <c r="U26" i="5"/>
  <c r="W26" i="5"/>
  <c r="S27" i="5"/>
  <c r="U27" i="5"/>
  <c r="W27" i="5"/>
  <c r="S28" i="5"/>
  <c r="U28" i="5"/>
  <c r="R28" i="5" s="1"/>
  <c r="W28" i="5"/>
  <c r="S29" i="5"/>
  <c r="U29" i="5"/>
  <c r="W29" i="5"/>
  <c r="S30" i="5"/>
  <c r="U30" i="5"/>
  <c r="W30" i="5"/>
  <c r="S31" i="5"/>
  <c r="U31" i="5"/>
  <c r="R31" i="5" s="1"/>
  <c r="W31" i="5"/>
  <c r="S32" i="5"/>
  <c r="U32" i="5"/>
  <c r="W32" i="5"/>
  <c r="S33" i="5"/>
  <c r="U33" i="5"/>
  <c r="W33" i="5"/>
  <c r="S34" i="5"/>
  <c r="U34" i="5"/>
  <c r="W34" i="5"/>
  <c r="S35" i="5"/>
  <c r="U35" i="5"/>
  <c r="W35" i="5"/>
  <c r="S36" i="5"/>
  <c r="U36" i="5"/>
  <c r="W36" i="5"/>
  <c r="S37" i="5"/>
  <c r="U37" i="5"/>
  <c r="R37" i="5" s="1"/>
  <c r="W37" i="5"/>
  <c r="S38" i="5"/>
  <c r="U38" i="5"/>
  <c r="W38" i="5"/>
  <c r="S39" i="5"/>
  <c r="U39" i="5"/>
  <c r="R39" i="5" s="1"/>
  <c r="W39" i="5"/>
  <c r="S40" i="5"/>
  <c r="U40" i="5"/>
  <c r="R40" i="5" s="1"/>
  <c r="W40" i="5"/>
  <c r="S41" i="5"/>
  <c r="U41" i="5"/>
  <c r="W41" i="5"/>
  <c r="S42" i="5"/>
  <c r="U42" i="5"/>
  <c r="V42" i="5" s="1"/>
  <c r="W42" i="5"/>
  <c r="S43" i="5"/>
  <c r="U43" i="5"/>
  <c r="R43" i="5" s="1"/>
  <c r="W43" i="5"/>
  <c r="S44" i="5"/>
  <c r="U44" i="5"/>
  <c r="W44" i="5"/>
  <c r="S45" i="5"/>
  <c r="U45" i="5"/>
  <c r="W45" i="5"/>
  <c r="S46" i="5"/>
  <c r="U46" i="5"/>
  <c r="W46" i="5"/>
  <c r="S47" i="5"/>
  <c r="U47" i="5"/>
  <c r="V47" i="5" s="1"/>
  <c r="W47" i="5"/>
  <c r="S48" i="5"/>
  <c r="U48" i="5"/>
  <c r="V48" i="5" s="1"/>
  <c r="W48" i="5"/>
  <c r="S49" i="5"/>
  <c r="U49" i="5"/>
  <c r="W49" i="5"/>
  <c r="S50" i="5"/>
  <c r="U50" i="5"/>
  <c r="R50" i="5" s="1"/>
  <c r="W50" i="5"/>
  <c r="S51" i="5"/>
  <c r="U51" i="5"/>
  <c r="R51" i="5" s="1"/>
  <c r="W51" i="5"/>
  <c r="S52" i="5"/>
  <c r="U52" i="5"/>
  <c r="W52" i="5"/>
  <c r="S53" i="5"/>
  <c r="U53" i="5"/>
  <c r="W53" i="5"/>
  <c r="S54" i="5"/>
  <c r="U54" i="5"/>
  <c r="W54" i="5"/>
  <c r="S55" i="5"/>
  <c r="U55" i="5"/>
  <c r="R55" i="5" s="1"/>
  <c r="W55" i="5"/>
  <c r="S56" i="5"/>
  <c r="U56" i="5"/>
  <c r="R56" i="5" s="1"/>
  <c r="W56" i="5"/>
  <c r="S57" i="5"/>
  <c r="U57" i="5"/>
  <c r="R57" i="5" s="1"/>
  <c r="W57" i="5"/>
  <c r="S58" i="5"/>
  <c r="U58" i="5"/>
  <c r="W58" i="5"/>
  <c r="S59" i="5"/>
  <c r="U59" i="5"/>
  <c r="R59" i="5" s="1"/>
  <c r="W59" i="5"/>
  <c r="S60" i="5"/>
  <c r="U60" i="5"/>
  <c r="W60" i="5"/>
  <c r="S61" i="5"/>
  <c r="U61" i="5"/>
  <c r="R61" i="5" s="1"/>
  <c r="W61" i="5"/>
  <c r="S62" i="5"/>
  <c r="U62" i="5"/>
  <c r="W62" i="5"/>
  <c r="S63" i="5"/>
  <c r="U63" i="5"/>
  <c r="R63" i="5" s="1"/>
  <c r="W63" i="5"/>
  <c r="S64" i="5"/>
  <c r="U64" i="5"/>
  <c r="V64" i="5" s="1"/>
  <c r="W64" i="5"/>
  <c r="S65" i="5"/>
  <c r="U65" i="5"/>
  <c r="W65" i="5"/>
  <c r="S66" i="5"/>
  <c r="U66" i="5"/>
  <c r="W66" i="5"/>
  <c r="S67" i="5"/>
  <c r="U67" i="5"/>
  <c r="V67" i="5" s="1"/>
  <c r="W67" i="5"/>
  <c r="S68" i="5"/>
  <c r="U68" i="5"/>
  <c r="R68" i="5" s="1"/>
  <c r="W68" i="5"/>
  <c r="S69" i="5"/>
  <c r="U69" i="5"/>
  <c r="R69" i="5" s="1"/>
  <c r="W69" i="5"/>
  <c r="S70" i="5"/>
  <c r="U70" i="5"/>
  <c r="W70" i="5"/>
  <c r="R71" i="5"/>
  <c r="AI71" i="5" s="1"/>
  <c r="S71" i="5"/>
  <c r="U71" i="5"/>
  <c r="V71" i="5" s="1"/>
  <c r="W71" i="5"/>
  <c r="S73" i="5"/>
  <c r="U73" i="5"/>
  <c r="W73" i="5"/>
  <c r="S75" i="5"/>
  <c r="U75" i="5"/>
  <c r="W75" i="5"/>
  <c r="S76" i="5"/>
  <c r="U76" i="5"/>
  <c r="W76" i="5"/>
  <c r="S77" i="5"/>
  <c r="U77" i="5"/>
  <c r="V77" i="5" s="1"/>
  <c r="W77" i="5"/>
  <c r="S78" i="5"/>
  <c r="U78" i="5"/>
  <c r="W78" i="5"/>
  <c r="S79" i="5"/>
  <c r="U79" i="5"/>
  <c r="R79" i="5" s="1"/>
  <c r="W79" i="5"/>
  <c r="S80" i="5"/>
  <c r="U80" i="5"/>
  <c r="W80" i="5"/>
  <c r="S81" i="5"/>
  <c r="U81" i="5"/>
  <c r="W81" i="5"/>
  <c r="S82" i="5"/>
  <c r="U82" i="5"/>
  <c r="W82" i="5"/>
  <c r="S83" i="5"/>
  <c r="U83" i="5"/>
  <c r="R83" i="5" s="1"/>
  <c r="W83" i="5"/>
  <c r="S84" i="5"/>
  <c r="U84" i="5"/>
  <c r="V84" i="5" s="1"/>
  <c r="W84" i="5"/>
  <c r="S86" i="5"/>
  <c r="U86" i="5"/>
  <c r="W86" i="5"/>
  <c r="S87" i="5"/>
  <c r="U87" i="5"/>
  <c r="W87" i="5"/>
  <c r="S88" i="5"/>
  <c r="U88" i="5"/>
  <c r="R88" i="5" s="1"/>
  <c r="W88" i="5"/>
  <c r="S90" i="5"/>
  <c r="U90" i="5"/>
  <c r="V90" i="5" s="1"/>
  <c r="W90" i="5"/>
  <c r="S91" i="5"/>
  <c r="U91" i="5"/>
  <c r="V91" i="5" s="1"/>
  <c r="W91" i="5"/>
  <c r="S92" i="5"/>
  <c r="U92" i="5"/>
  <c r="V92" i="5" s="1"/>
  <c r="W92" i="5"/>
  <c r="S93" i="5"/>
  <c r="U93" i="5"/>
  <c r="W93" i="5"/>
  <c r="S94" i="5"/>
  <c r="U94" i="5"/>
  <c r="R94" i="5" s="1"/>
  <c r="W94" i="5"/>
  <c r="S95" i="5"/>
  <c r="U95" i="5"/>
  <c r="R95" i="5" s="1"/>
  <c r="W95" i="5"/>
  <c r="S97" i="5"/>
  <c r="U97" i="5"/>
  <c r="V97" i="5" s="1"/>
  <c r="W97" i="5"/>
  <c r="S98" i="5"/>
  <c r="U98" i="5"/>
  <c r="W98" i="5"/>
  <c r="S99" i="5"/>
  <c r="AI99" i="5" s="1"/>
  <c r="U99" i="5"/>
  <c r="R99" i="5" s="1"/>
  <c r="W99" i="5"/>
  <c r="S100" i="5"/>
  <c r="U100" i="5"/>
  <c r="V100" i="5" s="1"/>
  <c r="W100" i="5"/>
  <c r="S101" i="5"/>
  <c r="U101" i="5"/>
  <c r="R101" i="5" s="1"/>
  <c r="W101" i="5"/>
  <c r="S102" i="5"/>
  <c r="U102" i="5"/>
  <c r="W102" i="5"/>
  <c r="S103" i="5"/>
  <c r="U103" i="5"/>
  <c r="W103" i="5"/>
  <c r="S104" i="5"/>
  <c r="U104" i="5"/>
  <c r="V104" i="5" s="1"/>
  <c r="W104" i="5"/>
  <c r="S105" i="5"/>
  <c r="U105" i="5"/>
  <c r="W105" i="5"/>
  <c r="S106" i="5"/>
  <c r="U106" i="5"/>
  <c r="V106" i="5" s="1"/>
  <c r="W106" i="5"/>
  <c r="S107" i="5"/>
  <c r="U107" i="5"/>
  <c r="W107" i="5"/>
  <c r="S108" i="5"/>
  <c r="U108" i="5"/>
  <c r="R108" i="5" s="1"/>
  <c r="W108" i="5"/>
  <c r="S109" i="5"/>
  <c r="U109" i="5"/>
  <c r="R109" i="5" s="1"/>
  <c r="W109" i="5"/>
  <c r="S110" i="5"/>
  <c r="U110" i="5"/>
  <c r="W110" i="5"/>
  <c r="S111" i="5"/>
  <c r="U111" i="5"/>
  <c r="W111" i="5"/>
  <c r="S112" i="5"/>
  <c r="U112" i="5"/>
  <c r="V112" i="5" s="1"/>
  <c r="W112" i="5"/>
  <c r="S113" i="5"/>
  <c r="U113" i="5"/>
  <c r="W113" i="5"/>
  <c r="S114" i="5"/>
  <c r="U114" i="5"/>
  <c r="V114" i="5" s="1"/>
  <c r="W114" i="5"/>
  <c r="S115" i="5"/>
  <c r="U115" i="5"/>
  <c r="W115" i="5"/>
  <c r="S116" i="5"/>
  <c r="U116" i="5"/>
  <c r="R116" i="5" s="1"/>
  <c r="W116" i="5"/>
  <c r="S117" i="5"/>
  <c r="U117" i="5"/>
  <c r="R117" i="5" s="1"/>
  <c r="W117" i="5"/>
  <c r="S118" i="5"/>
  <c r="U118" i="5"/>
  <c r="W118" i="5"/>
  <c r="S119" i="5"/>
  <c r="U119" i="5"/>
  <c r="W119" i="5"/>
  <c r="S122" i="5"/>
  <c r="U122" i="5"/>
  <c r="R122" i="5" s="1"/>
  <c r="W122" i="5"/>
  <c r="K7" i="10"/>
  <c r="P7" i="10" s="1"/>
  <c r="L7" i="10"/>
  <c r="M7" i="10"/>
  <c r="V7" i="10"/>
  <c r="Y7" i="10"/>
  <c r="Z7" i="10"/>
  <c r="AA7" i="10"/>
  <c r="AF7" i="10"/>
  <c r="AG7" i="10"/>
  <c r="AI7" i="10"/>
  <c r="AK7" i="10"/>
  <c r="AJ7" i="10"/>
  <c r="K8" i="10"/>
  <c r="P8" i="10" s="1"/>
  <c r="L8" i="10"/>
  <c r="M8" i="10"/>
  <c r="V8" i="10"/>
  <c r="Y8" i="10"/>
  <c r="Z8" i="10"/>
  <c r="AA8" i="10"/>
  <c r="AF8" i="10"/>
  <c r="AG8" i="10"/>
  <c r="AI8" i="10"/>
  <c r="AK8" i="10"/>
  <c r="AJ8" i="10"/>
  <c r="K9" i="10"/>
  <c r="O9" i="10" s="1"/>
  <c r="L9" i="10"/>
  <c r="M9" i="10"/>
  <c r="P9" i="10"/>
  <c r="V9" i="10"/>
  <c r="Y9" i="10"/>
  <c r="Z9" i="10"/>
  <c r="AA9" i="10"/>
  <c r="AF9" i="10"/>
  <c r="AG9" i="10"/>
  <c r="AI9" i="10"/>
  <c r="AK9" i="10"/>
  <c r="AJ9" i="10"/>
  <c r="K10" i="10"/>
  <c r="L10" i="10"/>
  <c r="M10" i="10"/>
  <c r="N10" i="10" s="1"/>
  <c r="W10" i="10" s="1"/>
  <c r="Y10" i="10"/>
  <c r="Z10" i="10"/>
  <c r="AA10" i="10"/>
  <c r="AF10" i="10"/>
  <c r="AG10" i="10"/>
  <c r="AI10" i="10"/>
  <c r="AK10" i="10"/>
  <c r="AJ10" i="10"/>
  <c r="K11" i="10"/>
  <c r="P11" i="10" s="1"/>
  <c r="L11" i="10"/>
  <c r="M11" i="10"/>
  <c r="Y11" i="10"/>
  <c r="Z11" i="10"/>
  <c r="AA11" i="10"/>
  <c r="AF11" i="10"/>
  <c r="AG11" i="10"/>
  <c r="AI11" i="10"/>
  <c r="AK11" i="10"/>
  <c r="AJ11" i="10"/>
  <c r="K12" i="10"/>
  <c r="L12" i="10"/>
  <c r="M12" i="10"/>
  <c r="Y12" i="10"/>
  <c r="Z12" i="10"/>
  <c r="AA12" i="10"/>
  <c r="AF12" i="10"/>
  <c r="AG12" i="10"/>
  <c r="AI12" i="10"/>
  <c r="AK12" i="10"/>
  <c r="AJ12" i="10"/>
  <c r="K13" i="10"/>
  <c r="O13" i="10" s="1"/>
  <c r="L13" i="10"/>
  <c r="M13" i="10"/>
  <c r="Y13" i="10"/>
  <c r="Z13" i="10"/>
  <c r="AA13" i="10"/>
  <c r="AF13" i="10"/>
  <c r="AG13" i="10"/>
  <c r="AI13" i="10"/>
  <c r="AK13" i="10"/>
  <c r="AJ13" i="10"/>
  <c r="K14" i="10"/>
  <c r="L14" i="10"/>
  <c r="M14" i="10"/>
  <c r="Y14" i="10"/>
  <c r="Z14" i="10"/>
  <c r="AA14" i="10"/>
  <c r="AF14" i="10"/>
  <c r="AG14" i="10"/>
  <c r="AI14" i="10"/>
  <c r="AK14" i="10"/>
  <c r="AJ14" i="10"/>
  <c r="K15" i="10"/>
  <c r="P15" i="10" s="1"/>
  <c r="L15" i="10"/>
  <c r="M15" i="10"/>
  <c r="Y15" i="10"/>
  <c r="Z15" i="10"/>
  <c r="AA15" i="10"/>
  <c r="AF15" i="10"/>
  <c r="AG15" i="10"/>
  <c r="AI15" i="10"/>
  <c r="AK15" i="10"/>
  <c r="AJ15" i="10"/>
  <c r="K16" i="10"/>
  <c r="P16" i="10" s="1"/>
  <c r="L16" i="10"/>
  <c r="M16" i="10"/>
  <c r="Y16" i="10"/>
  <c r="Z16" i="10"/>
  <c r="AA16" i="10"/>
  <c r="AF16" i="10"/>
  <c r="AG16" i="10"/>
  <c r="AI16" i="10"/>
  <c r="AK16" i="10"/>
  <c r="AJ16" i="10"/>
  <c r="K17" i="10"/>
  <c r="O17" i="10" s="1"/>
  <c r="L17" i="10"/>
  <c r="M17" i="10"/>
  <c r="Y17" i="10"/>
  <c r="Z17" i="10"/>
  <c r="AA17" i="10"/>
  <c r="AF17" i="10"/>
  <c r="AG17" i="10"/>
  <c r="AI17" i="10"/>
  <c r="AK17" i="10"/>
  <c r="AJ17" i="10"/>
  <c r="K18" i="10"/>
  <c r="O18" i="10" s="1"/>
  <c r="L18" i="10"/>
  <c r="M18" i="10"/>
  <c r="Y18" i="10"/>
  <c r="Z18" i="10"/>
  <c r="AA18" i="10"/>
  <c r="AF18" i="10"/>
  <c r="AG18" i="10"/>
  <c r="AI18" i="10"/>
  <c r="AK18" i="10"/>
  <c r="AJ18" i="10"/>
  <c r="K19" i="10"/>
  <c r="P19" i="10" s="1"/>
  <c r="L19" i="10"/>
  <c r="M19" i="10"/>
  <c r="Y19" i="10"/>
  <c r="Z19" i="10"/>
  <c r="AA19" i="10"/>
  <c r="AF19" i="10"/>
  <c r="AG19" i="10"/>
  <c r="AI19" i="10"/>
  <c r="AK19" i="10"/>
  <c r="AJ19" i="10"/>
  <c r="K20" i="10"/>
  <c r="P20" i="10" s="1"/>
  <c r="L20" i="10"/>
  <c r="M20" i="10"/>
  <c r="Y20" i="10"/>
  <c r="Z20" i="10"/>
  <c r="AA20" i="10"/>
  <c r="AF20" i="10"/>
  <c r="AG20" i="10"/>
  <c r="AI20" i="10"/>
  <c r="AK20" i="10"/>
  <c r="AJ20" i="10"/>
  <c r="K21" i="10"/>
  <c r="O21" i="10" s="1"/>
  <c r="L21" i="10"/>
  <c r="M21" i="10"/>
  <c r="Y21" i="10"/>
  <c r="Z21" i="10"/>
  <c r="AA21" i="10"/>
  <c r="AF21" i="10"/>
  <c r="AG21" i="10"/>
  <c r="AI21" i="10"/>
  <c r="AK21" i="10"/>
  <c r="AJ21" i="10"/>
  <c r="K22" i="10"/>
  <c r="L22" i="10"/>
  <c r="M22" i="10"/>
  <c r="Y22" i="10"/>
  <c r="Z22" i="10"/>
  <c r="AA22" i="10"/>
  <c r="AF22" i="10"/>
  <c r="AG22" i="10"/>
  <c r="AI22" i="10"/>
  <c r="AK22" i="10"/>
  <c r="AJ22" i="10"/>
  <c r="K23" i="10"/>
  <c r="L23" i="10"/>
  <c r="M23" i="10"/>
  <c r="O23" i="10"/>
  <c r="Y23" i="10"/>
  <c r="Z23" i="10"/>
  <c r="AA23" i="10"/>
  <c r="AF23" i="10"/>
  <c r="AG23" i="10"/>
  <c r="AI23" i="10"/>
  <c r="AK23" i="10"/>
  <c r="AJ23" i="10"/>
  <c r="K24" i="10"/>
  <c r="O24" i="10" s="1"/>
  <c r="L24" i="10"/>
  <c r="M24" i="10"/>
  <c r="Y24" i="10"/>
  <c r="Z24" i="10"/>
  <c r="AA24" i="10"/>
  <c r="AF24" i="10"/>
  <c r="AG24" i="10"/>
  <c r="AI24" i="10"/>
  <c r="AK24" i="10"/>
  <c r="AJ24" i="10"/>
  <c r="K25" i="10"/>
  <c r="O25" i="10" s="1"/>
  <c r="L25" i="10"/>
  <c r="M25" i="10"/>
  <c r="V25" i="10"/>
  <c r="Y25" i="10"/>
  <c r="Z25" i="10"/>
  <c r="AA25" i="10"/>
  <c r="AF25" i="10"/>
  <c r="AG25" i="10"/>
  <c r="AI25" i="10"/>
  <c r="AK25" i="10"/>
  <c r="AJ25" i="10"/>
  <c r="K26" i="10"/>
  <c r="P26" i="10" s="1"/>
  <c r="L26" i="10"/>
  <c r="M26" i="10"/>
  <c r="Y26" i="10"/>
  <c r="Z26" i="10"/>
  <c r="AA26" i="10"/>
  <c r="AF26" i="10"/>
  <c r="AG26" i="10"/>
  <c r="AI26" i="10"/>
  <c r="AK26" i="10"/>
  <c r="AJ26" i="10"/>
  <c r="K27" i="10"/>
  <c r="P27" i="10" s="1"/>
  <c r="L27" i="10"/>
  <c r="M27" i="10"/>
  <c r="Y27" i="10"/>
  <c r="Z27" i="10"/>
  <c r="AA27" i="10"/>
  <c r="AF27" i="10"/>
  <c r="AG27" i="10"/>
  <c r="AI27" i="10"/>
  <c r="AK27" i="10"/>
  <c r="AJ27" i="10"/>
  <c r="K28" i="10"/>
  <c r="O28" i="10" s="1"/>
  <c r="L28" i="10"/>
  <c r="M28" i="10"/>
  <c r="Y28" i="10"/>
  <c r="Z28" i="10"/>
  <c r="AA28" i="10"/>
  <c r="AF28" i="10"/>
  <c r="AG28" i="10"/>
  <c r="AI28" i="10"/>
  <c r="AK28" i="10"/>
  <c r="AJ28" i="10"/>
  <c r="K29" i="10"/>
  <c r="P29" i="10" s="1"/>
  <c r="L29" i="10"/>
  <c r="M29" i="10"/>
  <c r="Y29" i="10"/>
  <c r="Z29" i="10"/>
  <c r="AA29" i="10"/>
  <c r="AF29" i="10"/>
  <c r="AG29" i="10"/>
  <c r="AI29" i="10"/>
  <c r="AK29" i="10"/>
  <c r="AJ29" i="10"/>
  <c r="K30" i="10"/>
  <c r="O30" i="10" s="1"/>
  <c r="L30" i="10"/>
  <c r="M30" i="10"/>
  <c r="Y30" i="10"/>
  <c r="Z30" i="10"/>
  <c r="AA30" i="10"/>
  <c r="AF30" i="10"/>
  <c r="AG30" i="10"/>
  <c r="AI30" i="10"/>
  <c r="AK30" i="10"/>
  <c r="AJ30" i="10"/>
  <c r="K31" i="10"/>
  <c r="O31" i="10" s="1"/>
  <c r="L31" i="10"/>
  <c r="M31" i="10"/>
  <c r="Y31" i="10"/>
  <c r="Z31" i="10"/>
  <c r="AA31" i="10"/>
  <c r="AF31" i="10"/>
  <c r="AG31" i="10"/>
  <c r="AI31" i="10"/>
  <c r="AK31" i="10"/>
  <c r="AJ31" i="10"/>
  <c r="K32" i="10"/>
  <c r="O32" i="10" s="1"/>
  <c r="L32" i="10"/>
  <c r="M32" i="10"/>
  <c r="Y32" i="10"/>
  <c r="Z32" i="10"/>
  <c r="AA32" i="10"/>
  <c r="AF32" i="10"/>
  <c r="AG32" i="10"/>
  <c r="AI32" i="10"/>
  <c r="AK32" i="10"/>
  <c r="AJ32" i="10"/>
  <c r="K33" i="10"/>
  <c r="V33" i="10" s="1"/>
  <c r="L33" i="10"/>
  <c r="M33" i="10"/>
  <c r="Y33" i="10"/>
  <c r="Z33" i="10"/>
  <c r="AA33" i="10"/>
  <c r="AF33" i="10"/>
  <c r="AG33" i="10"/>
  <c r="AI33" i="10"/>
  <c r="AK33" i="10"/>
  <c r="AJ33" i="10"/>
  <c r="K34" i="10"/>
  <c r="O34" i="10" s="1"/>
  <c r="L34" i="10"/>
  <c r="M34" i="10"/>
  <c r="Y34" i="10"/>
  <c r="Z34" i="10"/>
  <c r="AA34" i="10"/>
  <c r="AF34" i="10"/>
  <c r="AG34" i="10"/>
  <c r="AI34" i="10"/>
  <c r="AK34" i="10"/>
  <c r="AJ34" i="10"/>
  <c r="K35" i="10"/>
  <c r="O35" i="10" s="1"/>
  <c r="L35" i="10"/>
  <c r="M35" i="10"/>
  <c r="Y35" i="10"/>
  <c r="Z35" i="10"/>
  <c r="AA35" i="10"/>
  <c r="AF35" i="10"/>
  <c r="AG35" i="10"/>
  <c r="AI35" i="10"/>
  <c r="AK35" i="10"/>
  <c r="AJ35" i="10"/>
  <c r="K36" i="10"/>
  <c r="O36" i="10" s="1"/>
  <c r="L36" i="10"/>
  <c r="M36" i="10"/>
  <c r="Y36" i="10"/>
  <c r="Z36" i="10"/>
  <c r="AA36" i="10"/>
  <c r="AF36" i="10"/>
  <c r="AG36" i="10"/>
  <c r="AI36" i="10"/>
  <c r="AK36" i="10"/>
  <c r="AJ36" i="10"/>
  <c r="K37" i="10"/>
  <c r="O37" i="10" s="1"/>
  <c r="L37" i="10"/>
  <c r="M37" i="10"/>
  <c r="Y37" i="10"/>
  <c r="Z37" i="10"/>
  <c r="AA37" i="10"/>
  <c r="AF37" i="10"/>
  <c r="AG37" i="10"/>
  <c r="AI37" i="10"/>
  <c r="AK37" i="10"/>
  <c r="AJ37" i="10"/>
  <c r="K38" i="10"/>
  <c r="O38" i="10" s="1"/>
  <c r="L38" i="10"/>
  <c r="M38" i="10"/>
  <c r="Y38" i="10"/>
  <c r="Z38" i="10"/>
  <c r="AA38" i="10"/>
  <c r="AF38" i="10"/>
  <c r="AG38" i="10"/>
  <c r="AI38" i="10"/>
  <c r="AK38" i="10"/>
  <c r="AJ38" i="10"/>
  <c r="K39" i="10"/>
  <c r="O39" i="10" s="1"/>
  <c r="L39" i="10"/>
  <c r="M39" i="10"/>
  <c r="Y39" i="10"/>
  <c r="Z39" i="10"/>
  <c r="AA39" i="10"/>
  <c r="AF39" i="10"/>
  <c r="AG39" i="10"/>
  <c r="AI39" i="10"/>
  <c r="AK39" i="10"/>
  <c r="AJ39" i="10"/>
  <c r="K40" i="10"/>
  <c r="O40" i="10" s="1"/>
  <c r="L40" i="10"/>
  <c r="M40" i="10"/>
  <c r="Y40" i="10"/>
  <c r="Z40" i="10"/>
  <c r="AA40" i="10"/>
  <c r="AF40" i="10"/>
  <c r="AG40" i="10"/>
  <c r="AI40" i="10"/>
  <c r="AK40" i="10"/>
  <c r="AJ40" i="10"/>
  <c r="K41" i="10"/>
  <c r="V41" i="10" s="1"/>
  <c r="L41" i="10"/>
  <c r="M41" i="10"/>
  <c r="Y41" i="10"/>
  <c r="Z41" i="10"/>
  <c r="AA41" i="10"/>
  <c r="AF41" i="10"/>
  <c r="AG41" i="10"/>
  <c r="AI41" i="10"/>
  <c r="AK41" i="10"/>
  <c r="AJ41" i="10"/>
  <c r="K42" i="10"/>
  <c r="O42" i="10" s="1"/>
  <c r="L42" i="10"/>
  <c r="M42" i="10"/>
  <c r="Y42" i="10"/>
  <c r="Z42" i="10"/>
  <c r="AA42" i="10"/>
  <c r="AF42" i="10"/>
  <c r="AG42" i="10"/>
  <c r="AI42" i="10"/>
  <c r="AK42" i="10"/>
  <c r="AJ42" i="10"/>
  <c r="K43" i="10"/>
  <c r="O43" i="10" s="1"/>
  <c r="L43" i="10"/>
  <c r="M43" i="10"/>
  <c r="Y43" i="10"/>
  <c r="Z43" i="10"/>
  <c r="AA43" i="10"/>
  <c r="AF43" i="10"/>
  <c r="AG43" i="10"/>
  <c r="AI43" i="10"/>
  <c r="AK43" i="10"/>
  <c r="AJ43" i="10"/>
  <c r="K44" i="10"/>
  <c r="V44" i="10" s="1"/>
  <c r="L44" i="10"/>
  <c r="M44" i="10"/>
  <c r="Y44" i="10"/>
  <c r="Z44" i="10"/>
  <c r="AA44" i="10"/>
  <c r="AF44" i="10"/>
  <c r="AG44" i="10"/>
  <c r="AI44" i="10"/>
  <c r="AK44" i="10"/>
  <c r="AJ44" i="10"/>
  <c r="K45" i="10"/>
  <c r="V45" i="10" s="1"/>
  <c r="L45" i="10"/>
  <c r="M45" i="10"/>
  <c r="Y45" i="10"/>
  <c r="Z45" i="10"/>
  <c r="AA45" i="10"/>
  <c r="AF45" i="10"/>
  <c r="AG45" i="10"/>
  <c r="AI45" i="10"/>
  <c r="AK45" i="10"/>
  <c r="AJ45" i="10"/>
  <c r="K46" i="10"/>
  <c r="P46" i="10" s="1"/>
  <c r="L46" i="10"/>
  <c r="M46" i="10"/>
  <c r="Y46" i="10"/>
  <c r="Z46" i="10"/>
  <c r="AA46" i="10"/>
  <c r="AF46" i="10"/>
  <c r="AG46" i="10"/>
  <c r="AI46" i="10"/>
  <c r="AK46" i="10"/>
  <c r="AJ46" i="10"/>
  <c r="K47" i="10"/>
  <c r="V47" i="10" s="1"/>
  <c r="L47" i="10"/>
  <c r="M47" i="10"/>
  <c r="Y47" i="10"/>
  <c r="Z47" i="10"/>
  <c r="AA47" i="10"/>
  <c r="AF47" i="10"/>
  <c r="AG47" i="10"/>
  <c r="AI47" i="10"/>
  <c r="AK47" i="10"/>
  <c r="AJ47" i="10"/>
  <c r="K48" i="10"/>
  <c r="O48" i="10" s="1"/>
  <c r="L48" i="10"/>
  <c r="M48" i="10"/>
  <c r="Y48" i="10"/>
  <c r="Z48" i="10"/>
  <c r="AA48" i="10"/>
  <c r="AF48" i="10"/>
  <c r="AG48" i="10"/>
  <c r="AI48" i="10"/>
  <c r="AK48" i="10"/>
  <c r="AJ48" i="10"/>
  <c r="K49" i="10"/>
  <c r="O49" i="10" s="1"/>
  <c r="L49" i="10"/>
  <c r="M49" i="10"/>
  <c r="Y49" i="10"/>
  <c r="Z49" i="10"/>
  <c r="AA49" i="10"/>
  <c r="AF49" i="10"/>
  <c r="AG49" i="10"/>
  <c r="AI49" i="10"/>
  <c r="AK49" i="10"/>
  <c r="AJ49" i="10"/>
  <c r="K50" i="10"/>
  <c r="P50" i="10" s="1"/>
  <c r="L50" i="10"/>
  <c r="M50" i="10"/>
  <c r="Y50" i="10"/>
  <c r="Z50" i="10"/>
  <c r="AA50" i="10"/>
  <c r="AF50" i="10"/>
  <c r="AG50" i="10"/>
  <c r="AI50" i="10"/>
  <c r="AK50" i="10"/>
  <c r="AJ50" i="10"/>
  <c r="K52" i="10"/>
  <c r="O52" i="10" s="1"/>
  <c r="L52" i="10"/>
  <c r="M52" i="10"/>
  <c r="Y52" i="10"/>
  <c r="Z52" i="10"/>
  <c r="AA52" i="10"/>
  <c r="AF52" i="10"/>
  <c r="AG52" i="10"/>
  <c r="AI52" i="10"/>
  <c r="AK52" i="10"/>
  <c r="AJ52" i="10"/>
  <c r="K53" i="10"/>
  <c r="V53" i="10" s="1"/>
  <c r="L53" i="10"/>
  <c r="M53" i="10"/>
  <c r="Y53" i="10"/>
  <c r="Z53" i="10"/>
  <c r="AA53" i="10"/>
  <c r="AF53" i="10"/>
  <c r="AG53" i="10"/>
  <c r="AI53" i="10"/>
  <c r="AK53" i="10"/>
  <c r="AJ53" i="10"/>
  <c r="K54" i="10"/>
  <c r="L54" i="10"/>
  <c r="M54" i="10"/>
  <c r="Y54" i="10"/>
  <c r="Z54" i="10"/>
  <c r="AA54" i="10"/>
  <c r="AF54" i="10"/>
  <c r="AG54" i="10"/>
  <c r="AI54" i="10"/>
  <c r="AK54" i="10"/>
  <c r="AJ54" i="10"/>
  <c r="K55" i="10"/>
  <c r="O55" i="10" s="1"/>
  <c r="L55" i="10"/>
  <c r="M55" i="10"/>
  <c r="Y55" i="10"/>
  <c r="Z55" i="10"/>
  <c r="AA55" i="10"/>
  <c r="AF55" i="10"/>
  <c r="AG55" i="10"/>
  <c r="AI55" i="10"/>
  <c r="AK55" i="10"/>
  <c r="AJ55" i="10"/>
  <c r="K56" i="10"/>
  <c r="O56" i="10" s="1"/>
  <c r="L56" i="10"/>
  <c r="M56" i="10"/>
  <c r="Y56" i="10"/>
  <c r="Z56" i="10"/>
  <c r="AA56" i="10"/>
  <c r="AF56" i="10"/>
  <c r="AG56" i="10"/>
  <c r="AI56" i="10"/>
  <c r="AK56" i="10"/>
  <c r="AJ56" i="10"/>
  <c r="K57" i="10"/>
  <c r="O57" i="10" s="1"/>
  <c r="L57" i="10"/>
  <c r="M57" i="10"/>
  <c r="Y57" i="10"/>
  <c r="Z57" i="10"/>
  <c r="AA57" i="10"/>
  <c r="AF57" i="10"/>
  <c r="AG57" i="10"/>
  <c r="AI57" i="10"/>
  <c r="AK57" i="10"/>
  <c r="AJ57" i="10"/>
  <c r="K58" i="10"/>
  <c r="O58" i="10" s="1"/>
  <c r="L58" i="10"/>
  <c r="M58" i="10"/>
  <c r="Y58" i="10"/>
  <c r="Z58" i="10"/>
  <c r="AA58" i="10"/>
  <c r="AF58" i="10"/>
  <c r="AG58" i="10"/>
  <c r="AI58" i="10"/>
  <c r="AK58" i="10"/>
  <c r="AJ58" i="10"/>
  <c r="K59" i="10"/>
  <c r="O59" i="10" s="1"/>
  <c r="L59" i="10"/>
  <c r="M59" i="10"/>
  <c r="Y59" i="10"/>
  <c r="Z59" i="10"/>
  <c r="AA59" i="10"/>
  <c r="AF59" i="10"/>
  <c r="AG59" i="10"/>
  <c r="AI59" i="10"/>
  <c r="AK59" i="10"/>
  <c r="AJ59" i="10"/>
  <c r="K61" i="10"/>
  <c r="P61" i="10" s="1"/>
  <c r="L61" i="10"/>
  <c r="M61" i="10"/>
  <c r="Y61" i="10"/>
  <c r="Z61" i="10"/>
  <c r="AA61" i="10"/>
  <c r="AF61" i="10"/>
  <c r="AG61" i="10"/>
  <c r="AI61" i="10"/>
  <c r="AK61" i="10"/>
  <c r="AJ61" i="10"/>
  <c r="K62" i="10"/>
  <c r="V62" i="10" s="1"/>
  <c r="L62" i="10"/>
  <c r="M62" i="10"/>
  <c r="Y62" i="10"/>
  <c r="Z62" i="10"/>
  <c r="AA62" i="10"/>
  <c r="AF62" i="10"/>
  <c r="AG62" i="10"/>
  <c r="AI62" i="10"/>
  <c r="AK62" i="10"/>
  <c r="AJ62" i="10"/>
  <c r="K64" i="10"/>
  <c r="O64" i="10" s="1"/>
  <c r="L64" i="10"/>
  <c r="M64" i="10"/>
  <c r="Y64" i="10"/>
  <c r="Z64" i="10"/>
  <c r="AA64" i="10"/>
  <c r="AF64" i="10"/>
  <c r="AG64" i="10"/>
  <c r="AI64" i="10"/>
  <c r="AK64" i="10"/>
  <c r="AJ64" i="10"/>
  <c r="K65" i="10"/>
  <c r="O65" i="10" s="1"/>
  <c r="L65" i="10"/>
  <c r="M65" i="10"/>
  <c r="Y65" i="10"/>
  <c r="Z65" i="10"/>
  <c r="AA65" i="10"/>
  <c r="AF65" i="10"/>
  <c r="AG65" i="10"/>
  <c r="AI65" i="10"/>
  <c r="AK65" i="10"/>
  <c r="AJ65" i="10"/>
  <c r="K68" i="10"/>
  <c r="O68" i="10" s="1"/>
  <c r="L68" i="10"/>
  <c r="M68" i="10"/>
  <c r="Y68" i="10"/>
  <c r="Z68" i="10"/>
  <c r="AA68" i="10"/>
  <c r="AF68" i="10"/>
  <c r="AG68" i="10"/>
  <c r="AI68" i="10"/>
  <c r="AK68" i="10"/>
  <c r="AJ68" i="10"/>
  <c r="K69" i="10"/>
  <c r="O69" i="10" s="1"/>
  <c r="L69" i="10"/>
  <c r="M69" i="10"/>
  <c r="Y69" i="10"/>
  <c r="Z69" i="10"/>
  <c r="AA69" i="10"/>
  <c r="AF69" i="10"/>
  <c r="AG69" i="10"/>
  <c r="AI69" i="10"/>
  <c r="AK69" i="10"/>
  <c r="AJ69" i="10"/>
  <c r="K70" i="10"/>
  <c r="O70" i="10" s="1"/>
  <c r="L70" i="10"/>
  <c r="M70" i="10"/>
  <c r="Y70" i="10"/>
  <c r="Z70" i="10"/>
  <c r="AA70" i="10"/>
  <c r="AF70" i="10"/>
  <c r="AG70" i="10"/>
  <c r="AI70" i="10"/>
  <c r="AK70" i="10"/>
  <c r="AJ70" i="10"/>
  <c r="K71" i="10"/>
  <c r="L71" i="10"/>
  <c r="M71" i="10"/>
  <c r="Y71" i="10"/>
  <c r="Z71" i="10"/>
  <c r="AA71" i="10"/>
  <c r="AF71" i="10"/>
  <c r="AG71" i="10"/>
  <c r="AI71" i="10"/>
  <c r="AK71" i="10"/>
  <c r="AJ71" i="10"/>
  <c r="K72" i="10"/>
  <c r="O72" i="10" s="1"/>
  <c r="L72" i="10"/>
  <c r="M72" i="10"/>
  <c r="Y72" i="10"/>
  <c r="Z72" i="10"/>
  <c r="AA72" i="10"/>
  <c r="AF72" i="10"/>
  <c r="AG72" i="10"/>
  <c r="AI72" i="10"/>
  <c r="AK72" i="10"/>
  <c r="AJ72" i="10"/>
  <c r="K73" i="10"/>
  <c r="O73" i="10" s="1"/>
  <c r="L73" i="10"/>
  <c r="M73" i="10"/>
  <c r="Y73" i="10"/>
  <c r="Z73" i="10"/>
  <c r="AA73" i="10"/>
  <c r="AF73" i="10"/>
  <c r="AG73" i="10"/>
  <c r="AI73" i="10"/>
  <c r="AK73" i="10"/>
  <c r="AJ73" i="10"/>
  <c r="K74" i="10"/>
  <c r="V74" i="10" s="1"/>
  <c r="L74" i="10"/>
  <c r="M74" i="10"/>
  <c r="Y74" i="10"/>
  <c r="Z74" i="10"/>
  <c r="AA74" i="10"/>
  <c r="AF74" i="10"/>
  <c r="AG74" i="10"/>
  <c r="AI74" i="10"/>
  <c r="AK74" i="10"/>
  <c r="AJ74" i="10"/>
  <c r="K75" i="10"/>
  <c r="O75" i="10" s="1"/>
  <c r="L75" i="10"/>
  <c r="M75" i="10"/>
  <c r="Y75" i="10"/>
  <c r="Z75" i="10"/>
  <c r="AA75" i="10"/>
  <c r="AF75" i="10"/>
  <c r="AG75" i="10"/>
  <c r="AI75" i="10"/>
  <c r="AK75" i="10"/>
  <c r="AJ75" i="10"/>
  <c r="K76" i="10"/>
  <c r="L76" i="10"/>
  <c r="M76" i="10"/>
  <c r="Y76" i="10"/>
  <c r="Z76" i="10"/>
  <c r="AA76" i="10"/>
  <c r="AF76" i="10"/>
  <c r="AG76" i="10"/>
  <c r="AI76" i="10"/>
  <c r="AK76" i="10"/>
  <c r="AJ76" i="10"/>
  <c r="K77" i="10"/>
  <c r="V77" i="10" s="1"/>
  <c r="L77" i="10"/>
  <c r="M77" i="10"/>
  <c r="Y77" i="10"/>
  <c r="Z77" i="10"/>
  <c r="AA77" i="10"/>
  <c r="AF77" i="10"/>
  <c r="AG77" i="10"/>
  <c r="AI77" i="10"/>
  <c r="AK77" i="10"/>
  <c r="AJ77" i="10"/>
  <c r="K78" i="10"/>
  <c r="L78" i="10"/>
  <c r="M78" i="10"/>
  <c r="Y78" i="10"/>
  <c r="Z78" i="10"/>
  <c r="AA78" i="10"/>
  <c r="AF78" i="10"/>
  <c r="AG78" i="10"/>
  <c r="AI78" i="10"/>
  <c r="AK78" i="10"/>
  <c r="AJ78" i="10"/>
  <c r="K79" i="10"/>
  <c r="P79" i="10" s="1"/>
  <c r="L79" i="10"/>
  <c r="M79" i="10"/>
  <c r="Y79" i="10"/>
  <c r="Z79" i="10"/>
  <c r="AA79" i="10"/>
  <c r="AF79" i="10"/>
  <c r="AG79" i="10"/>
  <c r="AI79" i="10"/>
  <c r="AK79" i="10"/>
  <c r="AJ79" i="10"/>
  <c r="K80" i="10"/>
  <c r="P80" i="10" s="1"/>
  <c r="L80" i="10"/>
  <c r="M80" i="10"/>
  <c r="Y80" i="10"/>
  <c r="Z80" i="10"/>
  <c r="AA80" i="10"/>
  <c r="AF80" i="10"/>
  <c r="AG80" i="10"/>
  <c r="AI80" i="10"/>
  <c r="AK80" i="10"/>
  <c r="AJ80" i="10"/>
  <c r="K81" i="10"/>
  <c r="V81" i="10" s="1"/>
  <c r="L81" i="10"/>
  <c r="M81" i="10"/>
  <c r="Y81" i="10"/>
  <c r="Z81" i="10"/>
  <c r="AA81" i="10"/>
  <c r="AF81" i="10"/>
  <c r="AG81" i="10"/>
  <c r="AI81" i="10"/>
  <c r="AK81" i="10"/>
  <c r="AJ81" i="10"/>
  <c r="K82" i="10"/>
  <c r="L82" i="10"/>
  <c r="M82" i="10"/>
  <c r="Y82" i="10"/>
  <c r="Z82" i="10"/>
  <c r="AA82" i="10"/>
  <c r="AF82" i="10"/>
  <c r="AG82" i="10"/>
  <c r="AI82" i="10"/>
  <c r="AK82" i="10"/>
  <c r="AJ82" i="10"/>
  <c r="K83" i="10"/>
  <c r="O83" i="10" s="1"/>
  <c r="L83" i="10"/>
  <c r="M83" i="10"/>
  <c r="Y83" i="10"/>
  <c r="Z83" i="10"/>
  <c r="AA83" i="10"/>
  <c r="AF83" i="10"/>
  <c r="AG83" i="10"/>
  <c r="AI83" i="10"/>
  <c r="AK83" i="10"/>
  <c r="AJ83" i="10"/>
  <c r="K84" i="10"/>
  <c r="V84" i="10" s="1"/>
  <c r="L84" i="10"/>
  <c r="M84" i="10"/>
  <c r="Y84" i="10"/>
  <c r="Z84" i="10"/>
  <c r="AA84" i="10"/>
  <c r="AF84" i="10"/>
  <c r="AG84" i="10"/>
  <c r="AI84" i="10"/>
  <c r="AK84" i="10"/>
  <c r="AJ84" i="10"/>
  <c r="K85" i="10"/>
  <c r="O85" i="10" s="1"/>
  <c r="L85" i="10"/>
  <c r="M85" i="10"/>
  <c r="Y85" i="10"/>
  <c r="Z85" i="10"/>
  <c r="AA85" i="10"/>
  <c r="AF85" i="10"/>
  <c r="AG85" i="10"/>
  <c r="AI85" i="10"/>
  <c r="AK85" i="10"/>
  <c r="AJ85" i="10"/>
  <c r="K86" i="10"/>
  <c r="O86" i="10" s="1"/>
  <c r="L86" i="10"/>
  <c r="M86" i="10"/>
  <c r="Y86" i="10"/>
  <c r="Z86" i="10"/>
  <c r="AA86" i="10"/>
  <c r="AF86" i="10"/>
  <c r="AG86" i="10"/>
  <c r="AI86" i="10"/>
  <c r="AK86" i="10"/>
  <c r="AJ86" i="10"/>
  <c r="K87" i="10"/>
  <c r="P87" i="10" s="1"/>
  <c r="L87" i="10"/>
  <c r="M87" i="10"/>
  <c r="Y87" i="10"/>
  <c r="Z87" i="10"/>
  <c r="AA87" i="10"/>
  <c r="AF87" i="10"/>
  <c r="AG87" i="10"/>
  <c r="AI87" i="10"/>
  <c r="AK87" i="10"/>
  <c r="AJ87" i="10"/>
  <c r="K88" i="10"/>
  <c r="V88" i="10" s="1"/>
  <c r="L88" i="10"/>
  <c r="M88" i="10"/>
  <c r="Y88" i="10"/>
  <c r="Z88" i="10"/>
  <c r="AA88" i="10"/>
  <c r="AF88" i="10"/>
  <c r="AG88" i="10"/>
  <c r="AI88" i="10"/>
  <c r="AK88" i="10"/>
  <c r="AJ88" i="10"/>
  <c r="K90" i="10"/>
  <c r="O90" i="10" s="1"/>
  <c r="L90" i="10"/>
  <c r="M90" i="10"/>
  <c r="Y90" i="10"/>
  <c r="Z90" i="10"/>
  <c r="AA90" i="10"/>
  <c r="AF90" i="10"/>
  <c r="AG90" i="10"/>
  <c r="AI90" i="10"/>
  <c r="AK90" i="10"/>
  <c r="AJ90" i="10"/>
  <c r="K91" i="10"/>
  <c r="L91" i="10"/>
  <c r="M91" i="10"/>
  <c r="Y91" i="10"/>
  <c r="Z91" i="10"/>
  <c r="AA91" i="10"/>
  <c r="AF91" i="10"/>
  <c r="AG91" i="10"/>
  <c r="AI91" i="10"/>
  <c r="AK91" i="10"/>
  <c r="AJ91" i="10"/>
  <c r="K92" i="10"/>
  <c r="O92" i="10" s="1"/>
  <c r="L92" i="10"/>
  <c r="M92" i="10"/>
  <c r="N92" i="10" s="1"/>
  <c r="Y92" i="10"/>
  <c r="Z92" i="10"/>
  <c r="AA92" i="10"/>
  <c r="AF92" i="10"/>
  <c r="AG92" i="10"/>
  <c r="AI92" i="10"/>
  <c r="AK92" i="10"/>
  <c r="AJ92" i="10"/>
  <c r="K93" i="10"/>
  <c r="V93" i="10" s="1"/>
  <c r="L93" i="10"/>
  <c r="M93" i="10"/>
  <c r="Y93" i="10"/>
  <c r="Z93" i="10"/>
  <c r="AA93" i="10"/>
  <c r="AF93" i="10"/>
  <c r="AG93" i="10"/>
  <c r="AI93" i="10"/>
  <c r="AK93" i="10"/>
  <c r="AJ93" i="10"/>
  <c r="K94" i="10"/>
  <c r="O94" i="10" s="1"/>
  <c r="L94" i="10"/>
  <c r="M94" i="10"/>
  <c r="Y94" i="10"/>
  <c r="Z94" i="10"/>
  <c r="AA94" i="10"/>
  <c r="AF94" i="10"/>
  <c r="AG94" i="10"/>
  <c r="AI94" i="10"/>
  <c r="AK94" i="10"/>
  <c r="AJ94" i="10"/>
  <c r="K95" i="10"/>
  <c r="L95" i="10"/>
  <c r="M95" i="10"/>
  <c r="Y95" i="10"/>
  <c r="Z95" i="10"/>
  <c r="AA95" i="10"/>
  <c r="AF95" i="10"/>
  <c r="AG95" i="10"/>
  <c r="AI95" i="10"/>
  <c r="AK95" i="10"/>
  <c r="AJ95" i="10"/>
  <c r="K96" i="10"/>
  <c r="O96" i="10" s="1"/>
  <c r="L96" i="10"/>
  <c r="M96" i="10"/>
  <c r="AC96" i="10" s="1"/>
  <c r="Y96" i="10"/>
  <c r="Z96" i="10"/>
  <c r="AA96" i="10"/>
  <c r="AF96" i="10"/>
  <c r="AG96" i="10"/>
  <c r="AI96" i="10"/>
  <c r="AK96" i="10"/>
  <c r="AJ96" i="10"/>
  <c r="K97" i="10"/>
  <c r="V97" i="10" s="1"/>
  <c r="L97" i="10"/>
  <c r="M97" i="10"/>
  <c r="Y97" i="10"/>
  <c r="Z97" i="10"/>
  <c r="AA97" i="10"/>
  <c r="AF97" i="10"/>
  <c r="AG97" i="10"/>
  <c r="AI97" i="10"/>
  <c r="AK97" i="10"/>
  <c r="AJ97" i="10"/>
  <c r="K98" i="10"/>
  <c r="O98" i="10" s="1"/>
  <c r="L98" i="10"/>
  <c r="M98" i="10"/>
  <c r="Y98" i="10"/>
  <c r="Z98" i="10"/>
  <c r="AA98" i="10"/>
  <c r="AF98" i="10"/>
  <c r="AG98" i="10"/>
  <c r="AI98" i="10"/>
  <c r="AK98" i="10"/>
  <c r="AJ98" i="10"/>
  <c r="K99" i="10"/>
  <c r="P99" i="10" s="1"/>
  <c r="L99" i="10"/>
  <c r="M99" i="10"/>
  <c r="Y99" i="10"/>
  <c r="Z99" i="10"/>
  <c r="AA99" i="10"/>
  <c r="AF99" i="10"/>
  <c r="AG99" i="10"/>
  <c r="AI99" i="10"/>
  <c r="AK99" i="10"/>
  <c r="AJ99" i="10"/>
  <c r="K100" i="10"/>
  <c r="O100" i="10" s="1"/>
  <c r="L100" i="10"/>
  <c r="M100" i="10"/>
  <c r="Y100" i="10"/>
  <c r="Z100" i="10"/>
  <c r="AA100" i="10"/>
  <c r="AF100" i="10"/>
  <c r="AG100" i="10"/>
  <c r="AI100" i="10"/>
  <c r="AK100" i="10"/>
  <c r="AJ100" i="10"/>
  <c r="K101" i="10"/>
  <c r="P101" i="10" s="1"/>
  <c r="L101" i="10"/>
  <c r="M101" i="10"/>
  <c r="Y101" i="10"/>
  <c r="Z101" i="10"/>
  <c r="AA101" i="10"/>
  <c r="AF101" i="10"/>
  <c r="AG101" i="10"/>
  <c r="AI101" i="10"/>
  <c r="AK101" i="10"/>
  <c r="AJ101" i="10"/>
  <c r="K102" i="10"/>
  <c r="O102" i="10" s="1"/>
  <c r="L102" i="10"/>
  <c r="M102" i="10"/>
  <c r="Y102" i="10"/>
  <c r="Z102" i="10"/>
  <c r="AA102" i="10"/>
  <c r="AF102" i="10"/>
  <c r="AG102" i="10"/>
  <c r="AI102" i="10"/>
  <c r="AK102" i="10"/>
  <c r="AJ102" i="10"/>
  <c r="K103" i="10"/>
  <c r="L103" i="10"/>
  <c r="M103" i="10"/>
  <c r="Y103" i="10"/>
  <c r="Z103" i="10"/>
  <c r="AA103" i="10"/>
  <c r="AF103" i="10"/>
  <c r="AG103" i="10"/>
  <c r="AI103" i="10"/>
  <c r="AK103" i="10"/>
  <c r="AJ103" i="10"/>
  <c r="K104" i="10"/>
  <c r="O104" i="10" s="1"/>
  <c r="L104" i="10"/>
  <c r="M104" i="10"/>
  <c r="Y104" i="10"/>
  <c r="Z104" i="10"/>
  <c r="AA104" i="10"/>
  <c r="AF104" i="10"/>
  <c r="AG104" i="10"/>
  <c r="AI104" i="10"/>
  <c r="AK104" i="10"/>
  <c r="AJ104" i="10"/>
  <c r="K105" i="10"/>
  <c r="V105" i="10" s="1"/>
  <c r="L105" i="10"/>
  <c r="M105" i="10"/>
  <c r="Y105" i="10"/>
  <c r="Z105" i="10"/>
  <c r="AA105" i="10"/>
  <c r="AF105" i="10"/>
  <c r="AG105" i="10"/>
  <c r="AI105" i="10"/>
  <c r="AK105" i="10"/>
  <c r="AJ105" i="10"/>
  <c r="K106" i="10"/>
  <c r="O106" i="10" s="1"/>
  <c r="L106" i="10"/>
  <c r="M106" i="10"/>
  <c r="Y106" i="10"/>
  <c r="Z106" i="10"/>
  <c r="AA106" i="10"/>
  <c r="AF106" i="10"/>
  <c r="AG106" i="10"/>
  <c r="AI106" i="10"/>
  <c r="AK106" i="10"/>
  <c r="AJ106" i="10"/>
  <c r="K108" i="10"/>
  <c r="P108" i="10" s="1"/>
  <c r="L108" i="10"/>
  <c r="M108" i="10"/>
  <c r="Y108" i="10"/>
  <c r="Z108" i="10"/>
  <c r="AA108" i="10"/>
  <c r="AF108" i="10"/>
  <c r="AG108" i="10"/>
  <c r="AI108" i="10"/>
  <c r="AK108" i="10"/>
  <c r="AJ108" i="10"/>
  <c r="K110" i="10"/>
  <c r="O110" i="10" s="1"/>
  <c r="L110" i="10"/>
  <c r="M110" i="10"/>
  <c r="Y110" i="10"/>
  <c r="Z110" i="10"/>
  <c r="AA110" i="10"/>
  <c r="AF110" i="10"/>
  <c r="AG110" i="10"/>
  <c r="AI110" i="10"/>
  <c r="AK110" i="10"/>
  <c r="AJ110" i="10"/>
  <c r="K111" i="10"/>
  <c r="O111" i="10" s="1"/>
  <c r="L111" i="10"/>
  <c r="M111" i="10"/>
  <c r="Y111" i="10"/>
  <c r="Z111" i="10"/>
  <c r="AA111" i="10"/>
  <c r="AF111" i="10"/>
  <c r="AG111" i="10"/>
  <c r="AI111" i="10"/>
  <c r="AK111" i="10"/>
  <c r="AJ111" i="10"/>
  <c r="K112" i="10"/>
  <c r="O112" i="10" s="1"/>
  <c r="L112" i="10"/>
  <c r="M112" i="10"/>
  <c r="Y112" i="10"/>
  <c r="Z112" i="10"/>
  <c r="AA112" i="10"/>
  <c r="AF112" i="10"/>
  <c r="AG112" i="10"/>
  <c r="AI112" i="10"/>
  <c r="AK112" i="10"/>
  <c r="AJ112" i="10"/>
  <c r="K113" i="10"/>
  <c r="P113" i="10" s="1"/>
  <c r="L113" i="10"/>
  <c r="M113" i="10"/>
  <c r="Y113" i="10"/>
  <c r="Z113" i="10"/>
  <c r="AA113" i="10"/>
  <c r="AF113" i="10"/>
  <c r="AG113" i="10"/>
  <c r="AI113" i="10"/>
  <c r="AK113" i="10"/>
  <c r="AJ113" i="10"/>
  <c r="K114" i="10"/>
  <c r="O114" i="10" s="1"/>
  <c r="L114" i="10"/>
  <c r="M114" i="10"/>
  <c r="Y114" i="10"/>
  <c r="Z114" i="10"/>
  <c r="AA114" i="10"/>
  <c r="AF114" i="10"/>
  <c r="AG114" i="10"/>
  <c r="AI114" i="10"/>
  <c r="AK114" i="10"/>
  <c r="AJ114" i="10"/>
  <c r="K116" i="10"/>
  <c r="O116" i="10" s="1"/>
  <c r="L116" i="10"/>
  <c r="M116" i="10"/>
  <c r="Y116" i="10"/>
  <c r="Z116" i="10"/>
  <c r="AA116" i="10"/>
  <c r="AF116" i="10"/>
  <c r="AG116" i="10"/>
  <c r="AI116" i="10"/>
  <c r="AK116" i="10"/>
  <c r="AJ116" i="10"/>
  <c r="K117" i="10"/>
  <c r="L117" i="10"/>
  <c r="M117" i="10"/>
  <c r="Y117" i="10"/>
  <c r="Z117" i="10"/>
  <c r="AA117" i="10"/>
  <c r="AF117" i="10"/>
  <c r="AG117" i="10"/>
  <c r="AI117" i="10"/>
  <c r="AK117" i="10"/>
  <c r="AJ117" i="10"/>
  <c r="K119" i="10"/>
  <c r="O119" i="10" s="1"/>
  <c r="L119" i="10"/>
  <c r="M119" i="10"/>
  <c r="Y119" i="10"/>
  <c r="Z119" i="10"/>
  <c r="AA119" i="10"/>
  <c r="AF119" i="10"/>
  <c r="AG119" i="10"/>
  <c r="AI119" i="10"/>
  <c r="AK119" i="10"/>
  <c r="AJ119" i="10"/>
  <c r="K120" i="10"/>
  <c r="O120" i="10" s="1"/>
  <c r="L120" i="10"/>
  <c r="M120" i="10"/>
  <c r="Y120" i="10"/>
  <c r="Z120" i="10"/>
  <c r="AA120" i="10"/>
  <c r="AF120" i="10"/>
  <c r="AG120" i="10"/>
  <c r="AI120" i="10"/>
  <c r="AK120" i="10"/>
  <c r="AJ120" i="10"/>
  <c r="K121" i="10"/>
  <c r="V121" i="10" s="1"/>
  <c r="L121" i="10"/>
  <c r="M121" i="10"/>
  <c r="P121" i="10"/>
  <c r="Y121" i="10"/>
  <c r="Z121" i="10"/>
  <c r="AA121" i="10"/>
  <c r="AF121" i="10"/>
  <c r="AG121" i="10"/>
  <c r="AI121" i="10"/>
  <c r="AK121" i="10"/>
  <c r="AJ121" i="10"/>
  <c r="K122" i="10"/>
  <c r="O122" i="10" s="1"/>
  <c r="L122" i="10"/>
  <c r="M122" i="10"/>
  <c r="Y122" i="10"/>
  <c r="Z122" i="10"/>
  <c r="AA122" i="10"/>
  <c r="AF122" i="10"/>
  <c r="AG122" i="10"/>
  <c r="AI122" i="10"/>
  <c r="AK122" i="10"/>
  <c r="AJ122" i="10"/>
  <c r="K123" i="10"/>
  <c r="O123" i="10" s="1"/>
  <c r="L123" i="10"/>
  <c r="AC123" i="10" s="1"/>
  <c r="M123" i="10"/>
  <c r="Y123" i="10"/>
  <c r="Z123" i="10"/>
  <c r="AA123" i="10"/>
  <c r="AF123" i="10"/>
  <c r="AG123" i="10"/>
  <c r="AI123" i="10"/>
  <c r="AK123" i="10"/>
  <c r="AJ123" i="10"/>
  <c r="K124" i="10"/>
  <c r="L124" i="10"/>
  <c r="M124" i="10"/>
  <c r="Y124" i="10"/>
  <c r="Z124" i="10"/>
  <c r="AA124" i="10"/>
  <c r="AF124" i="10"/>
  <c r="AG124" i="10"/>
  <c r="AI124" i="10"/>
  <c r="AK124" i="10"/>
  <c r="AJ124" i="10"/>
  <c r="K125" i="10"/>
  <c r="V125" i="10" s="1"/>
  <c r="L125" i="10"/>
  <c r="M125" i="10"/>
  <c r="P125" i="10"/>
  <c r="Y125" i="10"/>
  <c r="Z125" i="10"/>
  <c r="AA125" i="10"/>
  <c r="AF125" i="10"/>
  <c r="AG125" i="10"/>
  <c r="AI125" i="10"/>
  <c r="AK125" i="10"/>
  <c r="AJ125" i="10"/>
  <c r="K126" i="10"/>
  <c r="P126" i="10" s="1"/>
  <c r="L126" i="10"/>
  <c r="M126" i="10"/>
  <c r="Y126" i="10"/>
  <c r="Z126" i="10"/>
  <c r="AA126" i="10"/>
  <c r="AF126" i="10"/>
  <c r="AG126" i="10"/>
  <c r="AI126" i="10"/>
  <c r="AK126" i="10"/>
  <c r="AJ126" i="10"/>
  <c r="K127" i="10"/>
  <c r="O127" i="10" s="1"/>
  <c r="L127" i="10"/>
  <c r="M127" i="10"/>
  <c r="Y127" i="10"/>
  <c r="Z127" i="10"/>
  <c r="AA127" i="10"/>
  <c r="AF127" i="10"/>
  <c r="AG127" i="10"/>
  <c r="AI127" i="10"/>
  <c r="AK127" i="10"/>
  <c r="AJ127" i="10"/>
  <c r="K128" i="10"/>
  <c r="P128" i="10" s="1"/>
  <c r="L128" i="10"/>
  <c r="M128" i="10"/>
  <c r="Y128" i="10"/>
  <c r="Z128" i="10"/>
  <c r="AA128" i="10"/>
  <c r="AF128" i="10"/>
  <c r="AG128" i="10"/>
  <c r="AI128" i="10"/>
  <c r="AK128" i="10"/>
  <c r="AJ128" i="10"/>
  <c r="K129" i="10"/>
  <c r="O129" i="10" s="1"/>
  <c r="L129" i="10"/>
  <c r="M129" i="10"/>
  <c r="Y129" i="10"/>
  <c r="Z129" i="10"/>
  <c r="AA129" i="10"/>
  <c r="AF129" i="10"/>
  <c r="AG129" i="10"/>
  <c r="AI129" i="10"/>
  <c r="AK129" i="10"/>
  <c r="AJ129" i="10"/>
  <c r="K130" i="10"/>
  <c r="V130" i="10" s="1"/>
  <c r="L130" i="10"/>
  <c r="M130" i="10"/>
  <c r="Y130" i="10"/>
  <c r="Z130" i="10"/>
  <c r="AA130" i="10"/>
  <c r="AF130" i="10"/>
  <c r="AG130" i="10"/>
  <c r="AI130" i="10"/>
  <c r="AK130" i="10"/>
  <c r="AJ130" i="10"/>
  <c r="K131" i="10"/>
  <c r="L131" i="10"/>
  <c r="M131" i="10"/>
  <c r="Y131" i="10"/>
  <c r="Z131" i="10"/>
  <c r="AA131" i="10"/>
  <c r="AF131" i="10"/>
  <c r="AG131" i="10"/>
  <c r="AI131" i="10"/>
  <c r="AK131" i="10"/>
  <c r="AJ131" i="10"/>
  <c r="K132" i="10"/>
  <c r="V132" i="10" s="1"/>
  <c r="L132" i="10"/>
  <c r="M132" i="10"/>
  <c r="Y132" i="10"/>
  <c r="Z132" i="10"/>
  <c r="AA132" i="10"/>
  <c r="AF132" i="10"/>
  <c r="AG132" i="10"/>
  <c r="AI132" i="10"/>
  <c r="AK132" i="10"/>
  <c r="AJ132" i="10"/>
  <c r="K133" i="10"/>
  <c r="O133" i="10" s="1"/>
  <c r="L133" i="10"/>
  <c r="M133" i="10"/>
  <c r="Y133" i="10"/>
  <c r="Z133" i="10"/>
  <c r="AA133" i="10"/>
  <c r="AF133" i="10"/>
  <c r="AG133" i="10"/>
  <c r="AI133" i="10"/>
  <c r="AK133" i="10"/>
  <c r="AJ133" i="10"/>
  <c r="K134" i="10"/>
  <c r="P134" i="10" s="1"/>
  <c r="L134" i="10"/>
  <c r="M134" i="10"/>
  <c r="Y134" i="10"/>
  <c r="Z134" i="10"/>
  <c r="AA134" i="10"/>
  <c r="AF134" i="10"/>
  <c r="AG134" i="10"/>
  <c r="AI134" i="10"/>
  <c r="AK134" i="10"/>
  <c r="AJ134" i="10"/>
  <c r="K135" i="10"/>
  <c r="O135" i="10" s="1"/>
  <c r="L135" i="10"/>
  <c r="M135" i="10"/>
  <c r="Y135" i="10"/>
  <c r="Z135" i="10"/>
  <c r="AA135" i="10"/>
  <c r="AF135" i="10"/>
  <c r="AG135" i="10"/>
  <c r="AI135" i="10"/>
  <c r="AK135" i="10"/>
  <c r="AJ135" i="10"/>
  <c r="K136" i="10"/>
  <c r="O136" i="10" s="1"/>
  <c r="L136" i="10"/>
  <c r="M136" i="10"/>
  <c r="Y136" i="10"/>
  <c r="Z136" i="10"/>
  <c r="AA136" i="10"/>
  <c r="AF136" i="10"/>
  <c r="AG136" i="10"/>
  <c r="AI136" i="10"/>
  <c r="AK136" i="10"/>
  <c r="AJ136" i="10"/>
  <c r="K137" i="10"/>
  <c r="O137" i="10" s="1"/>
  <c r="L137" i="10"/>
  <c r="M137" i="10"/>
  <c r="Y137" i="10"/>
  <c r="Z137" i="10"/>
  <c r="AA137" i="10"/>
  <c r="AF137" i="10"/>
  <c r="AG137" i="10"/>
  <c r="AI137" i="10"/>
  <c r="AK137" i="10"/>
  <c r="AJ137" i="10"/>
  <c r="K138" i="10"/>
  <c r="O138" i="10" s="1"/>
  <c r="L138" i="10"/>
  <c r="M138" i="10"/>
  <c r="Y138" i="10"/>
  <c r="Z138" i="10"/>
  <c r="AA138" i="10"/>
  <c r="AF138" i="10"/>
  <c r="AG138" i="10"/>
  <c r="AI138" i="10"/>
  <c r="AK138" i="10"/>
  <c r="AJ138" i="10"/>
  <c r="K139" i="10"/>
  <c r="L139" i="10"/>
  <c r="M139" i="10"/>
  <c r="Y139" i="10"/>
  <c r="Z139" i="10"/>
  <c r="AA139" i="10"/>
  <c r="AF139" i="10"/>
  <c r="AG139" i="10"/>
  <c r="AI139" i="10"/>
  <c r="AK139" i="10"/>
  <c r="AJ139" i="10"/>
  <c r="K140" i="10"/>
  <c r="O140" i="10" s="1"/>
  <c r="L140" i="10"/>
  <c r="M140" i="10"/>
  <c r="Y140" i="10"/>
  <c r="Z140" i="10"/>
  <c r="AA140" i="10"/>
  <c r="AF140" i="10"/>
  <c r="AG140" i="10"/>
  <c r="AI140" i="10"/>
  <c r="AK140" i="10"/>
  <c r="AJ140" i="10"/>
  <c r="K141" i="10"/>
  <c r="O141" i="10" s="1"/>
  <c r="L141" i="10"/>
  <c r="M141" i="10"/>
  <c r="Y141" i="10"/>
  <c r="Z141" i="10"/>
  <c r="AA141" i="10"/>
  <c r="AF141" i="10"/>
  <c r="AG141" i="10"/>
  <c r="AI141" i="10"/>
  <c r="AK141" i="10"/>
  <c r="AJ141" i="10"/>
  <c r="K142" i="10"/>
  <c r="V142" i="10" s="1"/>
  <c r="L142" i="10"/>
  <c r="M142" i="10"/>
  <c r="P142" i="10"/>
  <c r="Y142" i="10"/>
  <c r="Z142" i="10"/>
  <c r="AA142" i="10"/>
  <c r="AF142" i="10"/>
  <c r="AG142" i="10"/>
  <c r="AI142" i="10"/>
  <c r="AK142" i="10"/>
  <c r="AJ142" i="10"/>
  <c r="K143" i="10"/>
  <c r="O143" i="10" s="1"/>
  <c r="L143" i="10"/>
  <c r="M143" i="10"/>
  <c r="Y143" i="10"/>
  <c r="Z143" i="10"/>
  <c r="AA143" i="10"/>
  <c r="AF143" i="10"/>
  <c r="AG143" i="10"/>
  <c r="AI143" i="10"/>
  <c r="AK143" i="10"/>
  <c r="AJ143" i="10"/>
  <c r="K144" i="10"/>
  <c r="O144" i="10" s="1"/>
  <c r="L144" i="10"/>
  <c r="M144" i="10"/>
  <c r="Y144" i="10"/>
  <c r="Z144" i="10"/>
  <c r="AA144" i="10"/>
  <c r="AF144" i="10"/>
  <c r="AG144" i="10"/>
  <c r="AI144" i="10"/>
  <c r="AK144" i="10"/>
  <c r="AJ144" i="10"/>
  <c r="K145" i="10"/>
  <c r="O145" i="10" s="1"/>
  <c r="L145" i="10"/>
  <c r="M145" i="10"/>
  <c r="Y145" i="10"/>
  <c r="Z145" i="10"/>
  <c r="AA145" i="10"/>
  <c r="AF145" i="10"/>
  <c r="AG145" i="10"/>
  <c r="AI145" i="10"/>
  <c r="AK145" i="10"/>
  <c r="AJ145" i="10"/>
  <c r="K146" i="10"/>
  <c r="O146" i="10" s="1"/>
  <c r="L146" i="10"/>
  <c r="M146" i="10"/>
  <c r="Y146" i="10"/>
  <c r="Z146" i="10"/>
  <c r="AA146" i="10"/>
  <c r="AF146" i="10"/>
  <c r="AG146" i="10"/>
  <c r="AI146" i="10"/>
  <c r="AK146" i="10"/>
  <c r="AJ146" i="10"/>
  <c r="K148" i="10"/>
  <c r="L148" i="10"/>
  <c r="M148" i="10"/>
  <c r="Y148" i="10"/>
  <c r="Z148" i="10"/>
  <c r="AA148" i="10"/>
  <c r="AF148" i="10"/>
  <c r="AG148" i="10"/>
  <c r="AI148" i="10"/>
  <c r="AK148" i="10"/>
  <c r="AJ148" i="10"/>
  <c r="K149" i="10"/>
  <c r="P149" i="10" s="1"/>
  <c r="L149" i="10"/>
  <c r="M149" i="10"/>
  <c r="Y149" i="10"/>
  <c r="Z149" i="10"/>
  <c r="AA149" i="10"/>
  <c r="AF149" i="10"/>
  <c r="AG149" i="10"/>
  <c r="AI149" i="10"/>
  <c r="AK149" i="10"/>
  <c r="AJ149" i="10"/>
  <c r="K150" i="10"/>
  <c r="O150" i="10" s="1"/>
  <c r="L150" i="10"/>
  <c r="M150" i="10"/>
  <c r="Y150" i="10"/>
  <c r="Z150" i="10"/>
  <c r="AA150" i="10"/>
  <c r="AF150" i="10"/>
  <c r="AG150" i="10"/>
  <c r="AI150" i="10"/>
  <c r="AK150" i="10"/>
  <c r="AJ150" i="10"/>
  <c r="K152" i="10"/>
  <c r="P152" i="10" s="1"/>
  <c r="L152" i="10"/>
  <c r="AB152" i="10" s="1"/>
  <c r="M152" i="10"/>
  <c r="Y152" i="10"/>
  <c r="Z152" i="10"/>
  <c r="AA152" i="10"/>
  <c r="AF152" i="10"/>
  <c r="AG152" i="10"/>
  <c r="AI152" i="10"/>
  <c r="AK152" i="10"/>
  <c r="AJ152" i="10"/>
  <c r="K153" i="10"/>
  <c r="O153" i="10" s="1"/>
  <c r="L153" i="10"/>
  <c r="M153" i="10"/>
  <c r="Y153" i="10"/>
  <c r="Z153" i="10"/>
  <c r="AA153" i="10"/>
  <c r="AF153" i="10"/>
  <c r="AG153" i="10"/>
  <c r="AI153" i="10"/>
  <c r="AK153" i="10"/>
  <c r="AJ153" i="10"/>
  <c r="K154" i="10"/>
  <c r="O154" i="10" s="1"/>
  <c r="L154" i="10"/>
  <c r="M154" i="10"/>
  <c r="AD154" i="10" s="1"/>
  <c r="Y154" i="10"/>
  <c r="Z154" i="10"/>
  <c r="AA154" i="10"/>
  <c r="AF154" i="10"/>
  <c r="AG154" i="10"/>
  <c r="AI154" i="10"/>
  <c r="AK154" i="10"/>
  <c r="AJ154" i="10"/>
  <c r="K157" i="10"/>
  <c r="O157" i="10" s="1"/>
  <c r="L157" i="10"/>
  <c r="M157" i="10"/>
  <c r="Y157" i="10"/>
  <c r="Z157" i="10"/>
  <c r="AA157" i="10"/>
  <c r="AF157" i="10"/>
  <c r="AG157" i="10"/>
  <c r="AI157" i="10"/>
  <c r="AK157" i="10"/>
  <c r="AJ157" i="10"/>
  <c r="K158" i="10"/>
  <c r="V158" i="10" s="1"/>
  <c r="L158" i="10"/>
  <c r="M158" i="10"/>
  <c r="Y158" i="10"/>
  <c r="Z158" i="10"/>
  <c r="AA158" i="10"/>
  <c r="AF158" i="10"/>
  <c r="AG158" i="10"/>
  <c r="AI158" i="10"/>
  <c r="AK158" i="10"/>
  <c r="AJ158" i="10"/>
  <c r="K159" i="10"/>
  <c r="L159" i="10"/>
  <c r="M159" i="10"/>
  <c r="Y159" i="10"/>
  <c r="Z159" i="10"/>
  <c r="AA159" i="10"/>
  <c r="AF159" i="10"/>
  <c r="AG159" i="10"/>
  <c r="AI159" i="10"/>
  <c r="AK159" i="10"/>
  <c r="AJ159" i="10"/>
  <c r="K160" i="10"/>
  <c r="V160" i="10" s="1"/>
  <c r="L160" i="10"/>
  <c r="M160" i="10"/>
  <c r="Y160" i="10"/>
  <c r="Z160" i="10"/>
  <c r="AA160" i="10"/>
  <c r="AF160" i="10"/>
  <c r="AG160" i="10"/>
  <c r="AI160" i="10"/>
  <c r="AK160" i="10"/>
  <c r="AJ160" i="10"/>
  <c r="K161" i="10"/>
  <c r="O161" i="10" s="1"/>
  <c r="L161" i="10"/>
  <c r="M161" i="10"/>
  <c r="Y161" i="10"/>
  <c r="Z161" i="10"/>
  <c r="AA161" i="10"/>
  <c r="AF161" i="10"/>
  <c r="AG161" i="10"/>
  <c r="AI161" i="10"/>
  <c r="AK161" i="10"/>
  <c r="AJ161" i="10"/>
  <c r="K163" i="10"/>
  <c r="L163" i="10"/>
  <c r="M163" i="10"/>
  <c r="Y163" i="10"/>
  <c r="Z163" i="10"/>
  <c r="AA163" i="10"/>
  <c r="AF163" i="10"/>
  <c r="AG163" i="10"/>
  <c r="AI163" i="10"/>
  <c r="AK163" i="10"/>
  <c r="AJ163" i="10"/>
  <c r="K164" i="10"/>
  <c r="O164" i="10" s="1"/>
  <c r="L164" i="10"/>
  <c r="M164" i="10"/>
  <c r="Y164" i="10"/>
  <c r="Z164" i="10"/>
  <c r="AA164" i="10"/>
  <c r="AF164" i="10"/>
  <c r="AG164" i="10"/>
  <c r="AI164" i="10"/>
  <c r="AK164" i="10"/>
  <c r="AJ164" i="10"/>
  <c r="K165" i="10"/>
  <c r="O165" i="10" s="1"/>
  <c r="L165" i="10"/>
  <c r="M165" i="10"/>
  <c r="Y165" i="10"/>
  <c r="Z165" i="10"/>
  <c r="AA165" i="10"/>
  <c r="AF165" i="10"/>
  <c r="AG165" i="10"/>
  <c r="AI165" i="10"/>
  <c r="AK165" i="10"/>
  <c r="AJ165" i="10"/>
  <c r="K166" i="10"/>
  <c r="O166" i="10" s="1"/>
  <c r="L166" i="10"/>
  <c r="M166" i="10"/>
  <c r="Y166" i="10"/>
  <c r="Z166" i="10"/>
  <c r="AA166" i="10"/>
  <c r="AF166" i="10"/>
  <c r="AG166" i="10"/>
  <c r="AI166" i="10"/>
  <c r="AK166" i="10"/>
  <c r="AJ166" i="10"/>
  <c r="K167" i="10"/>
  <c r="L167" i="10"/>
  <c r="M167" i="10"/>
  <c r="Y167" i="10"/>
  <c r="Z167" i="10"/>
  <c r="AA167" i="10"/>
  <c r="AF167" i="10"/>
  <c r="AG167" i="10"/>
  <c r="AI167" i="10"/>
  <c r="AK167" i="10"/>
  <c r="AJ167" i="10"/>
  <c r="K168" i="10"/>
  <c r="O168" i="10" s="1"/>
  <c r="L168" i="10"/>
  <c r="M168" i="10"/>
  <c r="Y168" i="10"/>
  <c r="Z168" i="10"/>
  <c r="AA168" i="10"/>
  <c r="AF168" i="10"/>
  <c r="AG168" i="10"/>
  <c r="AI168" i="10"/>
  <c r="AK168" i="10"/>
  <c r="AJ168" i="10"/>
  <c r="K169" i="10"/>
  <c r="O169" i="10" s="1"/>
  <c r="L169" i="10"/>
  <c r="M169" i="10"/>
  <c r="AD169" i="10" s="1"/>
  <c r="Y169" i="10"/>
  <c r="Z169" i="10"/>
  <c r="AA169" i="10"/>
  <c r="AF169" i="10"/>
  <c r="AG169" i="10"/>
  <c r="AI169" i="10"/>
  <c r="AK169" i="10"/>
  <c r="AJ169" i="10"/>
  <c r="K170" i="10"/>
  <c r="O170" i="10" s="1"/>
  <c r="L170" i="10"/>
  <c r="M170" i="10"/>
  <c r="Y170" i="10"/>
  <c r="Z170" i="10"/>
  <c r="AA170" i="10"/>
  <c r="AF170" i="10"/>
  <c r="AG170" i="10"/>
  <c r="AI170" i="10"/>
  <c r="AK170" i="10"/>
  <c r="AJ170" i="10"/>
  <c r="K171" i="10"/>
  <c r="V171" i="10" s="1"/>
  <c r="L171" i="10"/>
  <c r="M171" i="10"/>
  <c r="Y171" i="10"/>
  <c r="Z171" i="10"/>
  <c r="AA171" i="10"/>
  <c r="AF171" i="10"/>
  <c r="AG171" i="10"/>
  <c r="AI171" i="10"/>
  <c r="AK171" i="10"/>
  <c r="AJ171" i="10"/>
  <c r="K172" i="10"/>
  <c r="O172" i="10" s="1"/>
  <c r="L172" i="10"/>
  <c r="M172" i="10"/>
  <c r="Y172" i="10"/>
  <c r="Z172" i="10"/>
  <c r="AA172" i="10"/>
  <c r="AF172" i="10"/>
  <c r="AG172" i="10"/>
  <c r="AI172" i="10"/>
  <c r="AK172" i="10"/>
  <c r="AJ172" i="10"/>
  <c r="K173" i="10"/>
  <c r="V173" i="10" s="1"/>
  <c r="L173" i="10"/>
  <c r="M173" i="10"/>
  <c r="Y173" i="10"/>
  <c r="Z173" i="10"/>
  <c r="AA173" i="10"/>
  <c r="AF173" i="10"/>
  <c r="AG173" i="10"/>
  <c r="AI173" i="10"/>
  <c r="AK173" i="10"/>
  <c r="AJ173" i="10"/>
  <c r="K174" i="10"/>
  <c r="O174" i="10" s="1"/>
  <c r="L174" i="10"/>
  <c r="M174" i="10"/>
  <c r="Y174" i="10"/>
  <c r="Z174" i="10"/>
  <c r="AA174" i="10"/>
  <c r="AF174" i="10"/>
  <c r="AG174" i="10"/>
  <c r="AI174" i="10"/>
  <c r="AK174" i="10"/>
  <c r="AJ174" i="10"/>
  <c r="K176" i="10"/>
  <c r="P176" i="10" s="1"/>
  <c r="L176" i="10"/>
  <c r="M176" i="10"/>
  <c r="Y176" i="10"/>
  <c r="Z176" i="10"/>
  <c r="AA176" i="10"/>
  <c r="AF176" i="10"/>
  <c r="AG176" i="10"/>
  <c r="AI176" i="10"/>
  <c r="AK176" i="10"/>
  <c r="AJ176" i="10"/>
  <c r="K177" i="10"/>
  <c r="O177" i="10" s="1"/>
  <c r="L177" i="10"/>
  <c r="M177" i="10"/>
  <c r="Y177" i="10"/>
  <c r="Z177" i="10"/>
  <c r="AA177" i="10"/>
  <c r="AF177" i="10"/>
  <c r="AG177" i="10"/>
  <c r="AI177" i="10"/>
  <c r="AK177" i="10"/>
  <c r="AJ177" i="10"/>
  <c r="K178" i="10"/>
  <c r="O178" i="10" s="1"/>
  <c r="L178" i="10"/>
  <c r="M178" i="10"/>
  <c r="Y178" i="10"/>
  <c r="Z178" i="10"/>
  <c r="AA178" i="10"/>
  <c r="AF178" i="10"/>
  <c r="AG178" i="10"/>
  <c r="AI178" i="10"/>
  <c r="AK178" i="10"/>
  <c r="AJ178" i="10"/>
  <c r="K179" i="10"/>
  <c r="L179" i="10"/>
  <c r="M179" i="10"/>
  <c r="O179" i="10"/>
  <c r="Y179" i="10"/>
  <c r="Z179" i="10"/>
  <c r="AA179" i="10"/>
  <c r="AF179" i="10"/>
  <c r="AG179" i="10"/>
  <c r="AI179" i="10"/>
  <c r="AK179" i="10"/>
  <c r="AJ179" i="10"/>
  <c r="K180" i="10"/>
  <c r="O180" i="10" s="1"/>
  <c r="L180" i="10"/>
  <c r="M180" i="10"/>
  <c r="P180" i="10"/>
  <c r="V180" i="10"/>
  <c r="Y180" i="10"/>
  <c r="Z180" i="10"/>
  <c r="AA180" i="10"/>
  <c r="AF180" i="10"/>
  <c r="AG180" i="10"/>
  <c r="AI180" i="10"/>
  <c r="AK180" i="10"/>
  <c r="AJ180" i="10"/>
  <c r="K181" i="10"/>
  <c r="O181" i="10" s="1"/>
  <c r="L181" i="10"/>
  <c r="M181" i="10"/>
  <c r="Y181" i="10"/>
  <c r="Z181" i="10"/>
  <c r="AA181" i="10"/>
  <c r="AF181" i="10"/>
  <c r="AG181" i="10"/>
  <c r="AI181" i="10"/>
  <c r="AK181" i="10"/>
  <c r="AJ181" i="10"/>
  <c r="K182" i="10"/>
  <c r="L182" i="10"/>
  <c r="M182" i="10"/>
  <c r="Y182" i="10"/>
  <c r="Z182" i="10"/>
  <c r="AA182" i="10"/>
  <c r="AF182" i="10"/>
  <c r="AG182" i="10"/>
  <c r="AI182" i="10"/>
  <c r="AK182" i="10"/>
  <c r="AJ182" i="10"/>
  <c r="K183" i="10"/>
  <c r="O183" i="10" s="1"/>
  <c r="L183" i="10"/>
  <c r="M183" i="10"/>
  <c r="Y183" i="10"/>
  <c r="Z183" i="10"/>
  <c r="AA183" i="10"/>
  <c r="AF183" i="10"/>
  <c r="AG183" i="10"/>
  <c r="AI183" i="10"/>
  <c r="AK183" i="10"/>
  <c r="AJ183" i="10"/>
  <c r="K184" i="10"/>
  <c r="O184" i="10" s="1"/>
  <c r="L184" i="10"/>
  <c r="M184" i="10"/>
  <c r="Y184" i="10"/>
  <c r="Z184" i="10"/>
  <c r="AA184" i="10"/>
  <c r="AF184" i="10"/>
  <c r="AG184" i="10"/>
  <c r="AI184" i="10"/>
  <c r="AK184" i="10"/>
  <c r="AJ184" i="10"/>
  <c r="K185" i="10"/>
  <c r="O185" i="10" s="1"/>
  <c r="L185" i="10"/>
  <c r="M185" i="10"/>
  <c r="Y185" i="10"/>
  <c r="Z185" i="10"/>
  <c r="AA185" i="10"/>
  <c r="AF185" i="10"/>
  <c r="AG185" i="10"/>
  <c r="AI185" i="10"/>
  <c r="AK185" i="10"/>
  <c r="AJ185" i="10"/>
  <c r="K186" i="10"/>
  <c r="V186" i="10" s="1"/>
  <c r="L186" i="10"/>
  <c r="M186" i="10"/>
  <c r="P186" i="10"/>
  <c r="Y186" i="10"/>
  <c r="Z186" i="10"/>
  <c r="AA186" i="10"/>
  <c r="AF186" i="10"/>
  <c r="AG186" i="10"/>
  <c r="AI186" i="10"/>
  <c r="AK186" i="10"/>
  <c r="AJ186" i="10"/>
  <c r="K187" i="10"/>
  <c r="O187" i="10" s="1"/>
  <c r="L187" i="10"/>
  <c r="M187" i="10"/>
  <c r="Y187" i="10"/>
  <c r="Z187" i="10"/>
  <c r="AA187" i="10"/>
  <c r="AF187" i="10"/>
  <c r="AG187" i="10"/>
  <c r="AI187" i="10"/>
  <c r="AK187" i="10"/>
  <c r="AJ187" i="10"/>
  <c r="K188" i="10"/>
  <c r="P188" i="10" s="1"/>
  <c r="L188" i="10"/>
  <c r="M188" i="10"/>
  <c r="Y188" i="10"/>
  <c r="Z188" i="10"/>
  <c r="AA188" i="10"/>
  <c r="AF188" i="10"/>
  <c r="AG188" i="10"/>
  <c r="AI188" i="10"/>
  <c r="AK188" i="10"/>
  <c r="AJ188" i="10"/>
  <c r="K189" i="10"/>
  <c r="O189" i="10" s="1"/>
  <c r="L189" i="10"/>
  <c r="AC189" i="10" s="1"/>
  <c r="M189" i="10"/>
  <c r="Y189" i="10"/>
  <c r="Z189" i="10"/>
  <c r="AA189" i="10"/>
  <c r="AF189" i="10"/>
  <c r="AG189" i="10"/>
  <c r="AI189" i="10"/>
  <c r="AK189" i="10"/>
  <c r="AJ189" i="10"/>
  <c r="K190" i="10"/>
  <c r="P190" i="10" s="1"/>
  <c r="L190" i="10"/>
  <c r="M190" i="10"/>
  <c r="Y190" i="10"/>
  <c r="Z190" i="10"/>
  <c r="AA190" i="10"/>
  <c r="AF190" i="10"/>
  <c r="AG190" i="10"/>
  <c r="AI190" i="10"/>
  <c r="AK190" i="10"/>
  <c r="AJ190" i="10"/>
  <c r="K191" i="10"/>
  <c r="O191" i="10" s="1"/>
  <c r="L191" i="10"/>
  <c r="M191" i="10"/>
  <c r="Y191" i="10"/>
  <c r="Z191" i="10"/>
  <c r="AA191" i="10"/>
  <c r="AF191" i="10"/>
  <c r="AG191" i="10"/>
  <c r="AI191" i="10"/>
  <c r="AK191" i="10"/>
  <c r="AJ191" i="10"/>
  <c r="K192" i="10"/>
  <c r="L192" i="10"/>
  <c r="M192" i="10"/>
  <c r="Y192" i="10"/>
  <c r="Z192" i="10"/>
  <c r="AA192" i="10"/>
  <c r="AF192" i="10"/>
  <c r="AG192" i="10"/>
  <c r="AI192" i="10"/>
  <c r="AK192" i="10"/>
  <c r="AJ192" i="10"/>
  <c r="K193" i="10"/>
  <c r="O193" i="10" s="1"/>
  <c r="L193" i="10"/>
  <c r="M193" i="10"/>
  <c r="Y193" i="10"/>
  <c r="Z193" i="10"/>
  <c r="AA193" i="10"/>
  <c r="AF193" i="10"/>
  <c r="AG193" i="10"/>
  <c r="AI193" i="10"/>
  <c r="AK193" i="10"/>
  <c r="AJ193" i="10"/>
  <c r="K194" i="10"/>
  <c r="V194" i="10" s="1"/>
  <c r="L194" i="10"/>
  <c r="M194" i="10"/>
  <c r="Y194" i="10"/>
  <c r="Z194" i="10"/>
  <c r="AA194" i="10"/>
  <c r="AF194" i="10"/>
  <c r="AG194" i="10"/>
  <c r="AI194" i="10"/>
  <c r="AK194" i="10"/>
  <c r="AJ194" i="10"/>
  <c r="K196" i="10"/>
  <c r="O196" i="10" s="1"/>
  <c r="L196" i="10"/>
  <c r="M196" i="10"/>
  <c r="Y196" i="10"/>
  <c r="Z196" i="10"/>
  <c r="AA196" i="10"/>
  <c r="AF196" i="10"/>
  <c r="AG196" i="10"/>
  <c r="AI196" i="10"/>
  <c r="AK196" i="10"/>
  <c r="AJ196" i="10"/>
  <c r="K197" i="10"/>
  <c r="L197" i="10"/>
  <c r="M197" i="10"/>
  <c r="Y197" i="10"/>
  <c r="Z197" i="10"/>
  <c r="AA197" i="10"/>
  <c r="AF197" i="10"/>
  <c r="AG197" i="10"/>
  <c r="AI197" i="10"/>
  <c r="AK197" i="10"/>
  <c r="AJ197" i="10"/>
  <c r="K198" i="10"/>
  <c r="O198" i="10" s="1"/>
  <c r="L198" i="10"/>
  <c r="M198" i="10"/>
  <c r="Y198" i="10"/>
  <c r="Z198" i="10"/>
  <c r="AA198" i="10"/>
  <c r="AF198" i="10"/>
  <c r="AG198" i="10"/>
  <c r="AI198" i="10"/>
  <c r="AK198" i="10"/>
  <c r="AJ198" i="10"/>
  <c r="K199" i="10"/>
  <c r="O199" i="10" s="1"/>
  <c r="L199" i="10"/>
  <c r="M199" i="10"/>
  <c r="Y199" i="10"/>
  <c r="Z199" i="10"/>
  <c r="AA199" i="10"/>
  <c r="AF199" i="10"/>
  <c r="AG199" i="10"/>
  <c r="AI199" i="10"/>
  <c r="AK199" i="10"/>
  <c r="AJ199" i="10"/>
  <c r="K201" i="10"/>
  <c r="O201" i="10" s="1"/>
  <c r="L201" i="10"/>
  <c r="M201" i="10"/>
  <c r="Y201" i="10"/>
  <c r="Z201" i="10"/>
  <c r="AA201" i="10"/>
  <c r="AF201" i="10"/>
  <c r="AG201" i="10"/>
  <c r="AI201" i="10"/>
  <c r="AK201" i="10"/>
  <c r="AJ201" i="10"/>
  <c r="K202" i="10"/>
  <c r="O202" i="10" s="1"/>
  <c r="L202" i="10"/>
  <c r="M202" i="10"/>
  <c r="Y202" i="10"/>
  <c r="Z202" i="10"/>
  <c r="AA202" i="10"/>
  <c r="AF202" i="10"/>
  <c r="AG202" i="10"/>
  <c r="AI202" i="10"/>
  <c r="AK202" i="10"/>
  <c r="AJ202" i="10"/>
  <c r="K203" i="10"/>
  <c r="O203" i="10" s="1"/>
  <c r="L203" i="10"/>
  <c r="M203" i="10"/>
  <c r="Y203" i="10"/>
  <c r="Z203" i="10"/>
  <c r="AA203" i="10"/>
  <c r="AF203" i="10"/>
  <c r="AG203" i="10"/>
  <c r="AI203" i="10"/>
  <c r="AK203" i="10"/>
  <c r="AJ203" i="10"/>
  <c r="K206" i="10"/>
  <c r="V206" i="10" s="1"/>
  <c r="L206" i="10"/>
  <c r="M206" i="10"/>
  <c r="P206" i="10"/>
  <c r="Y206" i="10"/>
  <c r="Z206" i="10"/>
  <c r="AA206" i="10"/>
  <c r="AF206" i="10"/>
  <c r="AG206" i="10"/>
  <c r="AI206" i="10"/>
  <c r="AK206" i="10"/>
  <c r="AJ206" i="10"/>
  <c r="K207" i="10"/>
  <c r="O207" i="10" s="1"/>
  <c r="L207" i="10"/>
  <c r="M207" i="10"/>
  <c r="Y207" i="10"/>
  <c r="Z207" i="10"/>
  <c r="AA207" i="10"/>
  <c r="AF207" i="10"/>
  <c r="AG207" i="10"/>
  <c r="AI207" i="10"/>
  <c r="AK207" i="10"/>
  <c r="AJ207" i="10"/>
  <c r="K208" i="10"/>
  <c r="L208" i="10"/>
  <c r="M208" i="10"/>
  <c r="Y208" i="10"/>
  <c r="Z208" i="10"/>
  <c r="AA208" i="10"/>
  <c r="AF208" i="10"/>
  <c r="AG208" i="10"/>
  <c r="AI208" i="10"/>
  <c r="AK208" i="10"/>
  <c r="AJ208" i="10"/>
  <c r="K209" i="10"/>
  <c r="P209" i="10" s="1"/>
  <c r="L209" i="10"/>
  <c r="M209" i="10"/>
  <c r="Y209" i="10"/>
  <c r="Z209" i="10"/>
  <c r="AA209" i="10"/>
  <c r="AF209" i="10"/>
  <c r="AG209" i="10"/>
  <c r="AI209" i="10"/>
  <c r="AK209" i="10"/>
  <c r="AJ209" i="10"/>
  <c r="K210" i="10"/>
  <c r="V210" i="10" s="1"/>
  <c r="L210" i="10"/>
  <c r="M210" i="10"/>
  <c r="Y210" i="10"/>
  <c r="Z210" i="10"/>
  <c r="AA210" i="10"/>
  <c r="AF210" i="10"/>
  <c r="AG210" i="10"/>
  <c r="AI210" i="10"/>
  <c r="AK210" i="10"/>
  <c r="AJ210" i="10"/>
  <c r="K211" i="10"/>
  <c r="L211" i="10"/>
  <c r="M211" i="10"/>
  <c r="Y211" i="10"/>
  <c r="Z211" i="10"/>
  <c r="AA211" i="10"/>
  <c r="AF211" i="10"/>
  <c r="AG211" i="10"/>
  <c r="AI211" i="10"/>
  <c r="AK211" i="10"/>
  <c r="AJ211" i="10"/>
  <c r="K213" i="10"/>
  <c r="P213" i="10" s="1"/>
  <c r="L213" i="10"/>
  <c r="M213" i="10"/>
  <c r="AD213" i="10" s="1"/>
  <c r="Y213" i="10"/>
  <c r="Z213" i="10"/>
  <c r="AA213" i="10"/>
  <c r="AF213" i="10"/>
  <c r="AG213" i="10"/>
  <c r="AI213" i="10"/>
  <c r="AK213" i="10"/>
  <c r="AJ213" i="10"/>
  <c r="K214" i="10"/>
  <c r="P214" i="10" s="1"/>
  <c r="L214" i="10"/>
  <c r="M214" i="10"/>
  <c r="Y214" i="10"/>
  <c r="Z214" i="10"/>
  <c r="AA214" i="10"/>
  <c r="AF214" i="10"/>
  <c r="AG214" i="10"/>
  <c r="AI214" i="10"/>
  <c r="AK214" i="10"/>
  <c r="AJ214" i="10"/>
  <c r="K215" i="10"/>
  <c r="O215" i="10" s="1"/>
  <c r="L215" i="10"/>
  <c r="M215" i="10"/>
  <c r="Y215" i="10"/>
  <c r="Z215" i="10"/>
  <c r="AA215" i="10"/>
  <c r="AF215" i="10"/>
  <c r="AG215" i="10"/>
  <c r="AI215" i="10"/>
  <c r="AK215" i="10"/>
  <c r="AJ215" i="10"/>
  <c r="K216" i="10"/>
  <c r="L216" i="10"/>
  <c r="M216" i="10"/>
  <c r="Y216" i="10"/>
  <c r="Z216" i="10"/>
  <c r="AA216" i="10"/>
  <c r="AF216" i="10"/>
  <c r="AG216" i="10"/>
  <c r="AI216" i="10"/>
  <c r="AK216" i="10"/>
  <c r="AJ216" i="10"/>
  <c r="K217" i="10"/>
  <c r="V217" i="10" s="1"/>
  <c r="L217" i="10"/>
  <c r="M217" i="10"/>
  <c r="Y217" i="10"/>
  <c r="Z217" i="10"/>
  <c r="AA217" i="10"/>
  <c r="AF217" i="10"/>
  <c r="AG217" i="10"/>
  <c r="AI217" i="10"/>
  <c r="AK217" i="10"/>
  <c r="AJ217" i="10"/>
  <c r="K219" i="10"/>
  <c r="L219" i="10"/>
  <c r="M219" i="10"/>
  <c r="Y219" i="10"/>
  <c r="Z219" i="10"/>
  <c r="AA219" i="10"/>
  <c r="AF219" i="10"/>
  <c r="AG219" i="10"/>
  <c r="AI219" i="10"/>
  <c r="AK219" i="10"/>
  <c r="AJ219" i="10"/>
  <c r="K220" i="10"/>
  <c r="P220" i="10" s="1"/>
  <c r="L220" i="10"/>
  <c r="M220" i="10"/>
  <c r="Y220" i="10"/>
  <c r="Z220" i="10"/>
  <c r="AA220" i="10"/>
  <c r="AF220" i="10"/>
  <c r="AG220" i="10"/>
  <c r="AI220" i="10"/>
  <c r="AK220" i="10"/>
  <c r="AJ220" i="10"/>
  <c r="K222" i="10"/>
  <c r="P222" i="10" s="1"/>
  <c r="L222" i="10"/>
  <c r="M222" i="10"/>
  <c r="Y222" i="10"/>
  <c r="Z222" i="10"/>
  <c r="AA222" i="10"/>
  <c r="AF222" i="10"/>
  <c r="AG222" i="10"/>
  <c r="AI222" i="10"/>
  <c r="AK222" i="10"/>
  <c r="AJ222" i="10"/>
  <c r="K225" i="10"/>
  <c r="V225" i="10" s="1"/>
  <c r="L225" i="10"/>
  <c r="M225" i="10"/>
  <c r="N225" i="10" s="1"/>
  <c r="O225" i="10"/>
  <c r="Y225" i="10"/>
  <c r="Z225" i="10"/>
  <c r="AA225" i="10"/>
  <c r="AF225" i="10"/>
  <c r="AG225" i="10"/>
  <c r="AI225" i="10"/>
  <c r="AK225" i="10"/>
  <c r="AJ225" i="10"/>
  <c r="K226" i="10"/>
  <c r="L226" i="10"/>
  <c r="M226" i="10"/>
  <c r="Y226" i="10"/>
  <c r="Z226" i="10"/>
  <c r="AA226" i="10"/>
  <c r="AF226" i="10"/>
  <c r="AG226" i="10"/>
  <c r="AI226" i="10"/>
  <c r="AK226" i="10"/>
  <c r="AJ226" i="10"/>
  <c r="K227" i="10"/>
  <c r="O227" i="10" s="1"/>
  <c r="L227" i="10"/>
  <c r="M227" i="10"/>
  <c r="Y227" i="10"/>
  <c r="Z227" i="10"/>
  <c r="AA227" i="10"/>
  <c r="AF227" i="10"/>
  <c r="AG227" i="10"/>
  <c r="AI227" i="10"/>
  <c r="AK227" i="10"/>
  <c r="AJ227" i="10"/>
  <c r="K230" i="10"/>
  <c r="P230" i="10" s="1"/>
  <c r="L230" i="10"/>
  <c r="M230" i="10"/>
  <c r="Y230" i="10"/>
  <c r="Z230" i="10"/>
  <c r="AA230" i="10"/>
  <c r="AF230" i="10"/>
  <c r="AG230" i="10"/>
  <c r="AI230" i="10"/>
  <c r="AK230" i="10"/>
  <c r="AJ230" i="10"/>
  <c r="K231" i="10"/>
  <c r="L231" i="10"/>
  <c r="M231" i="10"/>
  <c r="Z231" i="10"/>
  <c r="AA231" i="10"/>
  <c r="AF231" i="10"/>
  <c r="AG231" i="10"/>
  <c r="AI231" i="10"/>
  <c r="AK231" i="10"/>
  <c r="AJ231" i="10"/>
  <c r="K233" i="10"/>
  <c r="P233" i="10" s="1"/>
  <c r="L233" i="10"/>
  <c r="M233" i="10"/>
  <c r="Y233" i="10"/>
  <c r="Z233" i="10"/>
  <c r="AA233" i="10"/>
  <c r="AF233" i="10"/>
  <c r="AG233" i="10"/>
  <c r="AI233" i="10"/>
  <c r="AK233" i="10"/>
  <c r="AJ233" i="10"/>
  <c r="K235" i="10"/>
  <c r="P235" i="10" s="1"/>
  <c r="L235" i="10"/>
  <c r="M235" i="10"/>
  <c r="Y235" i="10"/>
  <c r="Z235" i="10"/>
  <c r="AA235" i="10"/>
  <c r="AF235" i="10"/>
  <c r="AG235" i="10"/>
  <c r="AI235" i="10"/>
  <c r="AK235" i="10"/>
  <c r="AJ235" i="10"/>
  <c r="K238" i="10"/>
  <c r="P238" i="10" s="1"/>
  <c r="L238" i="10"/>
  <c r="M238" i="10"/>
  <c r="Y238" i="10"/>
  <c r="Z238" i="10"/>
  <c r="AA238" i="10"/>
  <c r="AF238" i="10"/>
  <c r="AG238" i="10"/>
  <c r="AI238" i="10"/>
  <c r="AK238" i="10"/>
  <c r="AJ238" i="10"/>
  <c r="K239" i="10"/>
  <c r="P239" i="10" s="1"/>
  <c r="L239" i="10"/>
  <c r="M239" i="10"/>
  <c r="Y239" i="10"/>
  <c r="Z239" i="10"/>
  <c r="AA239" i="10"/>
  <c r="AF239" i="10"/>
  <c r="AG239" i="10"/>
  <c r="AI239" i="10"/>
  <c r="AK239" i="10"/>
  <c r="AJ239" i="10"/>
  <c r="K240" i="10"/>
  <c r="P240" i="10" s="1"/>
  <c r="L240" i="10"/>
  <c r="M240" i="10"/>
  <c r="Y240" i="10"/>
  <c r="Z240" i="10"/>
  <c r="AA240" i="10"/>
  <c r="AF240" i="10"/>
  <c r="AG240" i="10"/>
  <c r="AI240" i="10"/>
  <c r="AK240" i="10"/>
  <c r="AJ240" i="10"/>
  <c r="K242" i="10"/>
  <c r="P242" i="10" s="1"/>
  <c r="L242" i="10"/>
  <c r="M242" i="10"/>
  <c r="Y242" i="10"/>
  <c r="Z242" i="10"/>
  <c r="AA242" i="10"/>
  <c r="AF242" i="10"/>
  <c r="AG242" i="10"/>
  <c r="AI242" i="10"/>
  <c r="AK242" i="10"/>
  <c r="AJ242" i="10"/>
  <c r="K244" i="10"/>
  <c r="P244" i="10" s="1"/>
  <c r="L244" i="10"/>
  <c r="M244" i="10"/>
  <c r="Y244" i="10"/>
  <c r="Z244" i="10"/>
  <c r="AA244" i="10"/>
  <c r="AF244" i="10"/>
  <c r="AG244" i="10"/>
  <c r="AI244" i="10"/>
  <c r="AK244" i="10"/>
  <c r="AJ244" i="10"/>
  <c r="K247" i="10"/>
  <c r="P247" i="10" s="1"/>
  <c r="L247" i="10"/>
  <c r="M247" i="10"/>
  <c r="Y247" i="10"/>
  <c r="Z247" i="10"/>
  <c r="AA247" i="10"/>
  <c r="AF247" i="10"/>
  <c r="AG247" i="10"/>
  <c r="AI247" i="10"/>
  <c r="AK247" i="10"/>
  <c r="AJ247" i="10"/>
  <c r="T56" i="5" l="1"/>
  <c r="R42" i="5"/>
  <c r="AI7" i="5"/>
  <c r="V233" i="10"/>
  <c r="V161" i="10"/>
  <c r="P75" i="10"/>
  <c r="P53" i="10"/>
  <c r="V31" i="10"/>
  <c r="P25" i="10"/>
  <c r="V19" i="10"/>
  <c r="AB17" i="10"/>
  <c r="R91" i="5"/>
  <c r="T91" i="5" s="1"/>
  <c r="AC91" i="5" s="1"/>
  <c r="R90" i="5"/>
  <c r="R8" i="5"/>
  <c r="T8" i="5" s="1"/>
  <c r="Q75" i="10"/>
  <c r="AC148" i="10"/>
  <c r="O121" i="10"/>
  <c r="Q121" i="10" s="1"/>
  <c r="AC20" i="10"/>
  <c r="AI122" i="5"/>
  <c r="V95" i="5"/>
  <c r="X95" i="5" s="1"/>
  <c r="AA95" i="5" s="1"/>
  <c r="V59" i="5"/>
  <c r="V37" i="5"/>
  <c r="T12" i="5"/>
  <c r="AC112" i="10"/>
  <c r="V117" i="5"/>
  <c r="V116" i="5"/>
  <c r="R112" i="5"/>
  <c r="AI112" i="5" s="1"/>
  <c r="V109" i="5"/>
  <c r="AG109" i="5" s="1"/>
  <c r="R100" i="5"/>
  <c r="T95" i="5"/>
  <c r="AH90" i="5"/>
  <c r="T69" i="5"/>
  <c r="AC69" i="5" s="1"/>
  <c r="R64" i="5"/>
  <c r="AG64" i="5" s="1"/>
  <c r="V61" i="5"/>
  <c r="R48" i="5"/>
  <c r="T48" i="5" s="1"/>
  <c r="V43" i="5"/>
  <c r="AH43" i="5" s="1"/>
  <c r="V40" i="5"/>
  <c r="V39" i="5"/>
  <c r="X39" i="5" s="1"/>
  <c r="AH25" i="5"/>
  <c r="R25" i="5"/>
  <c r="AI25" i="5" s="1"/>
  <c r="R21" i="5"/>
  <c r="R4" i="5"/>
  <c r="T4" i="5" s="1"/>
  <c r="V227" i="10"/>
  <c r="AC211" i="10"/>
  <c r="AB199" i="10"/>
  <c r="P165" i="10"/>
  <c r="N104" i="10"/>
  <c r="W104" i="10" s="1"/>
  <c r="P97" i="10"/>
  <c r="AC47" i="10"/>
  <c r="AB208" i="10"/>
  <c r="AC196" i="10"/>
  <c r="AB182" i="10"/>
  <c r="P171" i="10"/>
  <c r="V146" i="10"/>
  <c r="AC131" i="10"/>
  <c r="V128" i="10"/>
  <c r="P122" i="10"/>
  <c r="AB113" i="10"/>
  <c r="P112" i="10"/>
  <c r="Q112" i="10" s="1"/>
  <c r="P74" i="10"/>
  <c r="AD72" i="10"/>
  <c r="AD36" i="10"/>
  <c r="AB30" i="10"/>
  <c r="O11" i="10"/>
  <c r="Q11" i="10" s="1"/>
  <c r="AG117" i="5"/>
  <c r="V101" i="5"/>
  <c r="R67" i="5"/>
  <c r="AF67" i="5" s="1"/>
  <c r="AH47" i="5"/>
  <c r="R47" i="5"/>
  <c r="R24" i="5"/>
  <c r="R17" i="5"/>
  <c r="AI17" i="5" s="1"/>
  <c r="AH5" i="5"/>
  <c r="P158" i="10"/>
  <c r="AC124" i="10"/>
  <c r="Q122" i="10"/>
  <c r="AC95" i="10"/>
  <c r="V55" i="10"/>
  <c r="AC203" i="10"/>
  <c r="AD120" i="10"/>
  <c r="AB7" i="10"/>
  <c r="V122" i="5"/>
  <c r="T63" i="5"/>
  <c r="V57" i="5"/>
  <c r="AH57" i="5" s="1"/>
  <c r="V56" i="5"/>
  <c r="AG56" i="5" s="1"/>
  <c r="V51" i="5"/>
  <c r="V50" i="5"/>
  <c r="AF50" i="5" s="1"/>
  <c r="V31" i="5"/>
  <c r="AH31" i="5" s="1"/>
  <c r="T11" i="5"/>
  <c r="AC11" i="5" s="1"/>
  <c r="V3" i="5"/>
  <c r="T55" i="5"/>
  <c r="X116" i="5"/>
  <c r="AD116" i="5" s="1"/>
  <c r="AF112" i="5"/>
  <c r="T100" i="5"/>
  <c r="T90" i="5"/>
  <c r="R106" i="5"/>
  <c r="AI106" i="5" s="1"/>
  <c r="R104" i="5"/>
  <c r="AI104" i="5" s="1"/>
  <c r="AI94" i="5"/>
  <c r="X71" i="5"/>
  <c r="Y71" i="5" s="1"/>
  <c r="AI55" i="5"/>
  <c r="X50" i="5"/>
  <c r="AD50" i="5" s="1"/>
  <c r="AI31" i="5"/>
  <c r="T101" i="5"/>
  <c r="AC101" i="5" s="1"/>
  <c r="AI88" i="5"/>
  <c r="AI83" i="5"/>
  <c r="AI79" i="5"/>
  <c r="V63" i="5"/>
  <c r="X63" i="5" s="1"/>
  <c r="AD63" i="5" s="1"/>
  <c r="V55" i="5"/>
  <c r="X55" i="5" s="1"/>
  <c r="AA55" i="5" s="1"/>
  <c r="AI42" i="5"/>
  <c r="AH37" i="5"/>
  <c r="V28" i="5"/>
  <c r="X28" i="5" s="1"/>
  <c r="V12" i="5"/>
  <c r="X12" i="5" s="1"/>
  <c r="AA12" i="5" s="1"/>
  <c r="R5" i="5"/>
  <c r="T5" i="5" s="1"/>
  <c r="T108" i="5"/>
  <c r="T116" i="5"/>
  <c r="AC116" i="5" s="1"/>
  <c r="AG116" i="5"/>
  <c r="T109" i="5"/>
  <c r="AC109" i="5" s="1"/>
  <c r="T39" i="5"/>
  <c r="AC39" i="5" s="1"/>
  <c r="AG39" i="5"/>
  <c r="T50" i="5"/>
  <c r="Y50" i="5" s="1"/>
  <c r="AI50" i="5"/>
  <c r="V75" i="5"/>
  <c r="X75" i="5" s="1"/>
  <c r="R75" i="5"/>
  <c r="T75" i="5" s="1"/>
  <c r="AD71" i="5"/>
  <c r="T61" i="5"/>
  <c r="AC61" i="5" s="1"/>
  <c r="AG61" i="5"/>
  <c r="AH42" i="5"/>
  <c r="AF42" i="5"/>
  <c r="R27" i="5"/>
  <c r="T27" i="5" s="1"/>
  <c r="AC27" i="5" s="1"/>
  <c r="V27" i="5"/>
  <c r="AH27" i="5" s="1"/>
  <c r="V20" i="5"/>
  <c r="X20" i="5" s="1"/>
  <c r="R20" i="5"/>
  <c r="T20" i="5" s="1"/>
  <c r="AF117" i="5"/>
  <c r="T117" i="5"/>
  <c r="AC117" i="5" s="1"/>
  <c r="X112" i="5"/>
  <c r="AH92" i="5"/>
  <c r="AI63" i="5"/>
  <c r="AG63" i="5"/>
  <c r="AF61" i="5"/>
  <c r="AH61" i="5"/>
  <c r="X61" i="5"/>
  <c r="T31" i="5"/>
  <c r="R23" i="5"/>
  <c r="AG23" i="5" s="1"/>
  <c r="V23" i="5"/>
  <c r="AH23" i="5" s="1"/>
  <c r="AH3" i="5"/>
  <c r="AF3" i="5"/>
  <c r="R78" i="5"/>
  <c r="T78" i="5" s="1"/>
  <c r="V78" i="5"/>
  <c r="AI61" i="5"/>
  <c r="AD55" i="5"/>
  <c r="V46" i="5"/>
  <c r="AH46" i="5" s="1"/>
  <c r="R46" i="5"/>
  <c r="AF46" i="5" s="1"/>
  <c r="V36" i="5"/>
  <c r="AF36" i="5" s="1"/>
  <c r="R36" i="5"/>
  <c r="V16" i="5"/>
  <c r="AH16" i="5" s="1"/>
  <c r="R16" i="5"/>
  <c r="T16" i="5" s="1"/>
  <c r="AI15" i="5"/>
  <c r="X3" i="5"/>
  <c r="T83" i="5"/>
  <c r="AC83" i="5" s="1"/>
  <c r="AH63" i="5"/>
  <c r="X59" i="5"/>
  <c r="V32" i="5"/>
  <c r="X32" i="5" s="1"/>
  <c r="R32" i="5"/>
  <c r="T32" i="5" s="1"/>
  <c r="AC32" i="5" s="1"/>
  <c r="V9" i="5"/>
  <c r="AH9" i="5" s="1"/>
  <c r="R9" i="5"/>
  <c r="X122" i="5"/>
  <c r="AI116" i="5"/>
  <c r="R84" i="5"/>
  <c r="AF71" i="5"/>
  <c r="R114" i="5"/>
  <c r="AI114" i="5" s="1"/>
  <c r="AF109" i="5"/>
  <c r="V108" i="5"/>
  <c r="X108" i="5" s="1"/>
  <c r="R97" i="5"/>
  <c r="T97" i="5" s="1"/>
  <c r="R92" i="5"/>
  <c r="T92" i="5" s="1"/>
  <c r="T88" i="5"/>
  <c r="AC88" i="5" s="1"/>
  <c r="AH84" i="5"/>
  <c r="R77" i="5"/>
  <c r="AG77" i="5" s="1"/>
  <c r="V73" i="5"/>
  <c r="X73" i="5" s="1"/>
  <c r="R73" i="5"/>
  <c r="AG73" i="5" s="1"/>
  <c r="AG71" i="5"/>
  <c r="T71" i="5"/>
  <c r="T64" i="5"/>
  <c r="AC64" i="5" s="1"/>
  <c r="AH55" i="5"/>
  <c r="R53" i="5"/>
  <c r="V53" i="5"/>
  <c r="X42" i="5"/>
  <c r="T42" i="5"/>
  <c r="T40" i="5"/>
  <c r="AG40" i="5"/>
  <c r="AI36" i="5"/>
  <c r="R35" i="5"/>
  <c r="T35" i="5" s="1"/>
  <c r="AC35" i="5" s="1"/>
  <c r="V35" i="5"/>
  <c r="V29" i="5"/>
  <c r="AH29" i="5" s="1"/>
  <c r="R29" i="5"/>
  <c r="V19" i="5"/>
  <c r="V13" i="5"/>
  <c r="AH13" i="5" s="1"/>
  <c r="R13" i="5"/>
  <c r="T13" i="5" s="1"/>
  <c r="T3" i="5"/>
  <c r="Y3" i="5" s="1"/>
  <c r="AH35" i="5"/>
  <c r="AI28" i="5"/>
  <c r="AI108" i="5"/>
  <c r="AI97" i="5"/>
  <c r="AI69" i="5"/>
  <c r="AI59" i="5"/>
  <c r="AH50" i="5"/>
  <c r="AF40" i="5"/>
  <c r="AI39" i="5"/>
  <c r="AC169" i="10"/>
  <c r="N165" i="10"/>
  <c r="U165" i="10" s="1"/>
  <c r="O142" i="10"/>
  <c r="P132" i="10"/>
  <c r="V116" i="10"/>
  <c r="P81" i="10"/>
  <c r="V80" i="10"/>
  <c r="V79" i="10"/>
  <c r="P70" i="10"/>
  <c r="Q70" i="10" s="1"/>
  <c r="O53" i="10"/>
  <c r="Q53" i="10" s="1"/>
  <c r="P41" i="10"/>
  <c r="V28" i="10"/>
  <c r="AC24" i="10"/>
  <c r="N23" i="10"/>
  <c r="T23" i="10" s="1"/>
  <c r="O19" i="10"/>
  <c r="Q19" i="10" s="1"/>
  <c r="V17" i="10"/>
  <c r="O7" i="10"/>
  <c r="Q7" i="10" s="1"/>
  <c r="AC235" i="10"/>
  <c r="P227" i="10"/>
  <c r="AD225" i="10"/>
  <c r="AC217" i="10"/>
  <c r="O206" i="10"/>
  <c r="Q206" i="10" s="1"/>
  <c r="N247" i="10"/>
  <c r="AC238" i="10"/>
  <c r="AB227" i="10"/>
  <c r="P210" i="10"/>
  <c r="AC209" i="10"/>
  <c r="AB207" i="10"/>
  <c r="V202" i="10"/>
  <c r="N199" i="10"/>
  <c r="X199" i="10" s="1"/>
  <c r="N190" i="10"/>
  <c r="R190" i="10" s="1"/>
  <c r="AC141" i="10"/>
  <c r="V138" i="10"/>
  <c r="AB132" i="10"/>
  <c r="AB131" i="10"/>
  <c r="O125" i="10"/>
  <c r="Q125" i="10" s="1"/>
  <c r="AC121" i="10"/>
  <c r="N116" i="10"/>
  <c r="R116" i="10" s="1"/>
  <c r="AB99" i="10"/>
  <c r="P90" i="10"/>
  <c r="Q90" i="10" s="1"/>
  <c r="P84" i="10"/>
  <c r="AC52" i="10"/>
  <c r="V48" i="10"/>
  <c r="AB40" i="10"/>
  <c r="V36" i="10"/>
  <c r="AB154" i="10"/>
  <c r="AC161" i="10"/>
  <c r="AB146" i="10"/>
  <c r="N119" i="10"/>
  <c r="W119" i="10" s="1"/>
  <c r="AC84" i="10"/>
  <c r="N83" i="10"/>
  <c r="AC73" i="10"/>
  <c r="AB72" i="10"/>
  <c r="AB48" i="10"/>
  <c r="S247" i="10"/>
  <c r="O233" i="10"/>
  <c r="Q233" i="10" s="1"/>
  <c r="P194" i="10"/>
  <c r="Q194" i="10" s="1"/>
  <c r="O158" i="10"/>
  <c r="Q158" i="10" s="1"/>
  <c r="P138" i="10"/>
  <c r="AC136" i="10"/>
  <c r="O132" i="10"/>
  <c r="O128" i="10"/>
  <c r="Q128" i="10" s="1"/>
  <c r="AC127" i="10"/>
  <c r="AC125" i="10"/>
  <c r="AB123" i="10"/>
  <c r="AD121" i="10"/>
  <c r="V120" i="10"/>
  <c r="N114" i="10"/>
  <c r="W114" i="10" s="1"/>
  <c r="N111" i="10"/>
  <c r="W111" i="10" s="1"/>
  <c r="AB108" i="10"/>
  <c r="AD79" i="10"/>
  <c r="AB62" i="10"/>
  <c r="AC30" i="10"/>
  <c r="N7" i="10"/>
  <c r="T7" i="10" s="1"/>
  <c r="O247" i="10"/>
  <c r="Q247" i="10" s="1"/>
  <c r="O244" i="10"/>
  <c r="Q244" i="10" s="1"/>
  <c r="O242" i="10"/>
  <c r="Q242" i="10" s="1"/>
  <c r="AC239" i="10"/>
  <c r="AB233" i="10"/>
  <c r="O213" i="10"/>
  <c r="Q213" i="10" s="1"/>
  <c r="O210" i="10"/>
  <c r="Q210" i="10" s="1"/>
  <c r="V209" i="10"/>
  <c r="AC193" i="10"/>
  <c r="O190" i="10"/>
  <c r="Q190" i="10" s="1"/>
  <c r="N123" i="10"/>
  <c r="W123" i="10" s="1"/>
  <c r="AD55" i="10"/>
  <c r="P47" i="10"/>
  <c r="AD23" i="10"/>
  <c r="AC177" i="10"/>
  <c r="P173" i="10"/>
  <c r="AC172" i="10"/>
  <c r="O171" i="10"/>
  <c r="Q171" i="10" s="1"/>
  <c r="AC154" i="10"/>
  <c r="P146" i="10"/>
  <c r="AB144" i="10"/>
  <c r="AC143" i="10"/>
  <c r="AC140" i="10"/>
  <c r="AC104" i="10"/>
  <c r="V87" i="10"/>
  <c r="AB86" i="10"/>
  <c r="AB76" i="10"/>
  <c r="AB65" i="10"/>
  <c r="V57" i="10"/>
  <c r="AC41" i="10"/>
  <c r="V37" i="10"/>
  <c r="N32" i="10"/>
  <c r="T32" i="10" s="1"/>
  <c r="P202" i="10"/>
  <c r="Q202" i="10" s="1"/>
  <c r="AB190" i="10"/>
  <c r="AC179" i="10"/>
  <c r="AC170" i="10"/>
  <c r="AB78" i="10"/>
  <c r="V13" i="10"/>
  <c r="V235" i="10"/>
  <c r="S225" i="10"/>
  <c r="N144" i="10"/>
  <c r="R144" i="10" s="1"/>
  <c r="AC119" i="10"/>
  <c r="N96" i="10"/>
  <c r="R96" i="10" s="1"/>
  <c r="P93" i="10"/>
  <c r="P88" i="10"/>
  <c r="O84" i="10"/>
  <c r="AC83" i="10"/>
  <c r="AC75" i="10"/>
  <c r="P72" i="10"/>
  <c r="Q72" i="10" s="1"/>
  <c r="AC62" i="10"/>
  <c r="N55" i="10"/>
  <c r="W55" i="10" s="1"/>
  <c r="AC54" i="10"/>
  <c r="P42" i="10"/>
  <c r="Q42" i="10" s="1"/>
  <c r="N36" i="10"/>
  <c r="R36" i="10" s="1"/>
  <c r="AC25" i="10"/>
  <c r="X23" i="10"/>
  <c r="AC16" i="10"/>
  <c r="O186" i="10"/>
  <c r="Q186" i="10" s="1"/>
  <c r="O173" i="10"/>
  <c r="AB167" i="10"/>
  <c r="AB247" i="10"/>
  <c r="AB238" i="10"/>
  <c r="O235" i="10"/>
  <c r="Q235" i="10" s="1"/>
  <c r="O230" i="10"/>
  <c r="Q230" i="10" s="1"/>
  <c r="AC227" i="10"/>
  <c r="AC222" i="10"/>
  <c r="O214" i="10"/>
  <c r="Q214" i="10" s="1"/>
  <c r="AC199" i="10"/>
  <c r="O194" i="10"/>
  <c r="AC187" i="10"/>
  <c r="P184" i="10"/>
  <c r="Q184" i="10" s="1"/>
  <c r="N182" i="10"/>
  <c r="R182" i="10" s="1"/>
  <c r="AC181" i="10"/>
  <c r="AC174" i="10"/>
  <c r="N169" i="10"/>
  <c r="X169" i="10" s="1"/>
  <c r="AC139" i="10"/>
  <c r="AB130" i="10"/>
  <c r="AB120" i="10"/>
  <c r="AB119" i="10"/>
  <c r="AC91" i="10"/>
  <c r="O87" i="10"/>
  <c r="Q87" i="10" s="1"/>
  <c r="AD83" i="10"/>
  <c r="AD247" i="10"/>
  <c r="V215" i="10"/>
  <c r="V214" i="10"/>
  <c r="V184" i="10"/>
  <c r="AC231" i="10"/>
  <c r="AB230" i="10"/>
  <c r="N214" i="10"/>
  <c r="S214" i="10" s="1"/>
  <c r="AB211" i="10"/>
  <c r="AD199" i="10"/>
  <c r="AB193" i="10"/>
  <c r="P105" i="10"/>
  <c r="AD104" i="10"/>
  <c r="AC88" i="10"/>
  <c r="P85" i="10"/>
  <c r="AB82" i="10"/>
  <c r="O79" i="10"/>
  <c r="Q79" i="10" s="1"/>
  <c r="P77" i="10"/>
  <c r="AC68" i="10"/>
  <c r="N65" i="10"/>
  <c r="R65" i="10" s="1"/>
  <c r="P62" i="10"/>
  <c r="N59" i="10"/>
  <c r="X59" i="10" s="1"/>
  <c r="P48" i="10"/>
  <c r="Q48" i="10" s="1"/>
  <c r="P45" i="10"/>
  <c r="AC44" i="10"/>
  <c r="N40" i="10"/>
  <c r="W40" i="10" s="1"/>
  <c r="P39" i="10"/>
  <c r="AC36" i="10"/>
  <c r="AD33" i="10"/>
  <c r="AB32" i="10"/>
  <c r="V15" i="10"/>
  <c r="N14" i="10"/>
  <c r="S14" i="10" s="1"/>
  <c r="P13" i="10"/>
  <c r="Q13" i="10" s="1"/>
  <c r="AC12" i="10"/>
  <c r="P226" i="10"/>
  <c r="O226" i="10"/>
  <c r="P211" i="10"/>
  <c r="O211" i="10"/>
  <c r="V226" i="10"/>
  <c r="V220" i="10"/>
  <c r="O220" i="10"/>
  <c r="Q220" i="10" s="1"/>
  <c r="AB215" i="10"/>
  <c r="V188" i="10"/>
  <c r="O188" i="10"/>
  <c r="Q188" i="10" s="1"/>
  <c r="P178" i="10"/>
  <c r="Q178" i="10" s="1"/>
  <c r="O160" i="10"/>
  <c r="P160" i="10"/>
  <c r="V149" i="10"/>
  <c r="O149" i="10"/>
  <c r="Q149" i="10" s="1"/>
  <c r="P144" i="10"/>
  <c r="Q144" i="10" s="1"/>
  <c r="V144" i="10"/>
  <c r="N140" i="10"/>
  <c r="S140" i="10" s="1"/>
  <c r="AB134" i="10"/>
  <c r="AD128" i="10"/>
  <c r="N128" i="10"/>
  <c r="R128" i="10" s="1"/>
  <c r="AB128" i="10"/>
  <c r="P217" i="10"/>
  <c r="O217" i="10"/>
  <c r="P231" i="10"/>
  <c r="O231" i="10"/>
  <c r="P208" i="10"/>
  <c r="O208" i="10"/>
  <c r="V197" i="10"/>
  <c r="O197" i="10"/>
  <c r="P182" i="10"/>
  <c r="V182" i="10"/>
  <c r="AD136" i="10"/>
  <c r="V238" i="10"/>
  <c r="O238" i="10"/>
  <c r="Q238" i="10" s="1"/>
  <c r="N244" i="10"/>
  <c r="S244" i="10" s="1"/>
  <c r="AB244" i="10"/>
  <c r="AC244" i="10"/>
  <c r="V231" i="10"/>
  <c r="P216" i="10"/>
  <c r="O216" i="10"/>
  <c r="Q216" i="10" s="1"/>
  <c r="V208" i="10"/>
  <c r="P197" i="10"/>
  <c r="O182" i="10"/>
  <c r="V176" i="10"/>
  <c r="O176" i="10"/>
  <c r="Q176" i="10" s="1"/>
  <c r="N136" i="10"/>
  <c r="R136" i="10" s="1"/>
  <c r="O130" i="10"/>
  <c r="P130" i="10"/>
  <c r="AC242" i="10"/>
  <c r="N233" i="10"/>
  <c r="S233" i="10" s="1"/>
  <c r="AB225" i="10"/>
  <c r="AB222" i="10"/>
  <c r="N219" i="10"/>
  <c r="R219" i="10" s="1"/>
  <c r="AB213" i="10"/>
  <c r="AB203" i="10"/>
  <c r="AD190" i="10"/>
  <c r="AB184" i="10"/>
  <c r="AB172" i="10"/>
  <c r="AB163" i="10"/>
  <c r="N154" i="10"/>
  <c r="T154" i="10" s="1"/>
  <c r="AD140" i="10"/>
  <c r="AB136" i="10"/>
  <c r="AC120" i="10"/>
  <c r="AB116" i="10"/>
  <c r="AD116" i="10"/>
  <c r="AC114" i="10"/>
  <c r="AD111" i="10"/>
  <c r="AC110" i="10"/>
  <c r="O105" i="10"/>
  <c r="O101" i="10"/>
  <c r="Q101" i="10" s="1"/>
  <c r="O97" i="10"/>
  <c r="O93" i="10"/>
  <c r="AD92" i="10"/>
  <c r="AC90" i="10"/>
  <c r="O81" i="10"/>
  <c r="O77" i="10"/>
  <c r="O74" i="10"/>
  <c r="V69" i="10"/>
  <c r="AC64" i="10"/>
  <c r="O62" i="10"/>
  <c r="O61" i="10"/>
  <c r="Q61" i="10" s="1"/>
  <c r="AC59" i="10"/>
  <c r="AB57" i="10"/>
  <c r="AB55" i="10"/>
  <c r="AC55" i="10"/>
  <c r="AB46" i="10"/>
  <c r="O45" i="10"/>
  <c r="O41" i="10"/>
  <c r="P38" i="10"/>
  <c r="Q38" i="10" s="1"/>
  <c r="P31" i="10"/>
  <c r="P21" i="10"/>
  <c r="Q21" i="10" s="1"/>
  <c r="P17" i="10"/>
  <c r="Q17" i="10" s="1"/>
  <c r="V16" i="10"/>
  <c r="O8" i="10"/>
  <c r="Q8" i="10" s="1"/>
  <c r="V247" i="10"/>
  <c r="N231" i="10"/>
  <c r="S231" i="10" s="1"/>
  <c r="N216" i="10"/>
  <c r="S216" i="10" s="1"/>
  <c r="AC191" i="10"/>
  <c r="V190" i="10"/>
  <c r="AB188" i="10"/>
  <c r="AD182" i="10"/>
  <c r="AB149" i="10"/>
  <c r="AB148" i="10"/>
  <c r="Q146" i="10"/>
  <c r="AD144" i="10"/>
  <c r="AC135" i="10"/>
  <c r="AC133" i="10"/>
  <c r="AB117" i="10"/>
  <c r="AC111" i="10"/>
  <c r="AB103" i="10"/>
  <c r="AD100" i="10"/>
  <c r="N97" i="10"/>
  <c r="R97" i="10" s="1"/>
  <c r="AC92" i="10"/>
  <c r="O88" i="10"/>
  <c r="N85" i="10"/>
  <c r="T85" i="10" s="1"/>
  <c r="AC82" i="10"/>
  <c r="O80" i="10"/>
  <c r="Q80" i="10" s="1"/>
  <c r="AC78" i="10"/>
  <c r="N77" i="10"/>
  <c r="S77" i="10" s="1"/>
  <c r="AD76" i="10"/>
  <c r="V73" i="10"/>
  <c r="AC65" i="10"/>
  <c r="AC61" i="10"/>
  <c r="AD59" i="10"/>
  <c r="O44" i="10"/>
  <c r="AD41" i="10"/>
  <c r="AD40" i="10"/>
  <c r="P37" i="10"/>
  <c r="Q37" i="10" s="1"/>
  <c r="P35" i="10"/>
  <c r="Q35" i="10" s="1"/>
  <c r="P34" i="10"/>
  <c r="Q34" i="10" s="1"/>
  <c r="P33" i="10"/>
  <c r="P30" i="10"/>
  <c r="Q30" i="10" s="1"/>
  <c r="AD25" i="10"/>
  <c r="AB23" i="10"/>
  <c r="V20" i="10"/>
  <c r="N17" i="10"/>
  <c r="R17" i="10" s="1"/>
  <c r="O15" i="10"/>
  <c r="Q15" i="10" s="1"/>
  <c r="AC9" i="10"/>
  <c r="AD7" i="10"/>
  <c r="V21" i="10"/>
  <c r="N240" i="10"/>
  <c r="T240" i="10" s="1"/>
  <c r="N239" i="10"/>
  <c r="T239" i="10" s="1"/>
  <c r="N230" i="10"/>
  <c r="S230" i="10" s="1"/>
  <c r="N215" i="10"/>
  <c r="X215" i="10" s="1"/>
  <c r="AB202" i="10"/>
  <c r="AC201" i="10"/>
  <c r="AB171" i="10"/>
  <c r="N120" i="10"/>
  <c r="T120" i="10" s="1"/>
  <c r="V101" i="10"/>
  <c r="AC80" i="10"/>
  <c r="AC40" i="10"/>
  <c r="AD37" i="10"/>
  <c r="AB36" i="10"/>
  <c r="AC32" i="10"/>
  <c r="X17" i="10"/>
  <c r="AB14" i="10"/>
  <c r="S10" i="10"/>
  <c r="AB240" i="10"/>
  <c r="AD217" i="10"/>
  <c r="AB164" i="10"/>
  <c r="AC164" i="10"/>
  <c r="P111" i="10"/>
  <c r="AD240" i="10"/>
  <c r="AB239" i="10"/>
  <c r="O239" i="10"/>
  <c r="Q239" i="10" s="1"/>
  <c r="N238" i="10"/>
  <c r="U238" i="10" s="1"/>
  <c r="R233" i="10"/>
  <c r="AC233" i="10"/>
  <c r="AB231" i="10"/>
  <c r="AD231" i="10"/>
  <c r="N226" i="10"/>
  <c r="U226" i="10" s="1"/>
  <c r="AC226" i="10"/>
  <c r="O222" i="10"/>
  <c r="Q222" i="10" s="1"/>
  <c r="AB217" i="10"/>
  <c r="AC216" i="10"/>
  <c r="P215" i="10"/>
  <c r="Q215" i="10" s="1"/>
  <c r="N213" i="10"/>
  <c r="S213" i="10" s="1"/>
  <c r="V192" i="10"/>
  <c r="O192" i="10"/>
  <c r="AC165" i="10"/>
  <c r="AB165" i="10"/>
  <c r="AC153" i="10"/>
  <c r="AC150" i="10"/>
  <c r="V124" i="10"/>
  <c r="O124" i="10"/>
  <c r="P116" i="10"/>
  <c r="Q116" i="10" s="1"/>
  <c r="X116" i="10"/>
  <c r="P83" i="10"/>
  <c r="Q83" i="10" s="1"/>
  <c r="R83" i="10"/>
  <c r="V83" i="10"/>
  <c r="N74" i="10"/>
  <c r="T74" i="10" s="1"/>
  <c r="AC74" i="10"/>
  <c r="P59" i="10"/>
  <c r="Q59" i="10" s="1"/>
  <c r="R59" i="10"/>
  <c r="V59" i="10"/>
  <c r="N210" i="10"/>
  <c r="S210" i="10" s="1"/>
  <c r="AB210" i="10"/>
  <c r="AC186" i="10"/>
  <c r="AB186" i="10"/>
  <c r="AC178" i="10"/>
  <c r="AD178" i="10"/>
  <c r="AC247" i="10"/>
  <c r="AB242" i="10"/>
  <c r="AC230" i="10"/>
  <c r="Q227" i="10"/>
  <c r="P219" i="10"/>
  <c r="O219" i="10"/>
  <c r="AC214" i="10"/>
  <c r="P199" i="10"/>
  <c r="Q199" i="10" s="1"/>
  <c r="R199" i="10"/>
  <c r="V199" i="10"/>
  <c r="P192" i="10"/>
  <c r="N173" i="10"/>
  <c r="R173" i="10" s="1"/>
  <c r="AB173" i="10"/>
  <c r="AD173" i="10"/>
  <c r="P169" i="10"/>
  <c r="Q169" i="10" s="1"/>
  <c r="V169" i="10"/>
  <c r="V167" i="10"/>
  <c r="O167" i="10"/>
  <c r="V163" i="10"/>
  <c r="O163" i="10"/>
  <c r="S114" i="10"/>
  <c r="P106" i="10"/>
  <c r="Q106" i="10" s="1"/>
  <c r="AB105" i="10"/>
  <c r="N105" i="10"/>
  <c r="R105" i="10" s="1"/>
  <c r="AD105" i="10"/>
  <c r="N79" i="10"/>
  <c r="S79" i="10" s="1"/>
  <c r="AB79" i="10"/>
  <c r="AD74" i="10"/>
  <c r="AC69" i="10"/>
  <c r="AB69" i="10"/>
  <c r="AC50" i="10"/>
  <c r="AD50" i="10"/>
  <c r="U154" i="10"/>
  <c r="P154" i="10"/>
  <c r="Q154" i="10" s="1"/>
  <c r="V154" i="10"/>
  <c r="V152" i="10"/>
  <c r="O152" i="10"/>
  <c r="Q152" i="10" s="1"/>
  <c r="N149" i="10"/>
  <c r="S149" i="10" s="1"/>
  <c r="AD149" i="10"/>
  <c r="Q111" i="10"/>
  <c r="R247" i="10"/>
  <c r="AD244" i="10"/>
  <c r="N242" i="10"/>
  <c r="W242" i="10" s="1"/>
  <c r="AC240" i="10"/>
  <c r="AD239" i="10"/>
  <c r="N235" i="10"/>
  <c r="AD233" i="10"/>
  <c r="P225" i="10"/>
  <c r="Q225" i="10" s="1"/>
  <c r="R225" i="10"/>
  <c r="N220" i="10"/>
  <c r="R220" i="10" s="1"/>
  <c r="AB220" i="10"/>
  <c r="AC219" i="10"/>
  <c r="V219" i="10"/>
  <c r="N217" i="10"/>
  <c r="S217" i="10" s="1"/>
  <c r="AB216" i="10"/>
  <c r="AC215" i="10"/>
  <c r="N208" i="10"/>
  <c r="W208" i="10" s="1"/>
  <c r="AD208" i="10"/>
  <c r="V207" i="10"/>
  <c r="AC198" i="10"/>
  <c r="N194" i="10"/>
  <c r="R194" i="10" s="1"/>
  <c r="AB194" i="10"/>
  <c r="AD194" i="10"/>
  <c r="N186" i="10"/>
  <c r="R186" i="10" s="1"/>
  <c r="AB185" i="10"/>
  <c r="AC185" i="10"/>
  <c r="N178" i="10"/>
  <c r="R178" i="10" s="1"/>
  <c r="AC168" i="10"/>
  <c r="P167" i="10"/>
  <c r="P163" i="10"/>
  <c r="P140" i="10"/>
  <c r="Q140" i="10" s="1"/>
  <c r="V140" i="10"/>
  <c r="U136" i="10"/>
  <c r="P136" i="10"/>
  <c r="Q136" i="10" s="1"/>
  <c r="V136" i="10"/>
  <c r="V134" i="10"/>
  <c r="O134" i="10"/>
  <c r="Q134" i="10" s="1"/>
  <c r="N132" i="10"/>
  <c r="AD132" i="10"/>
  <c r="P119" i="10"/>
  <c r="Q119" i="10" s="1"/>
  <c r="V119" i="10"/>
  <c r="V111" i="10"/>
  <c r="N110" i="10"/>
  <c r="U110" i="10" s="1"/>
  <c r="AB101" i="10"/>
  <c r="N101" i="10"/>
  <c r="R101" i="10" s="1"/>
  <c r="AD101" i="10"/>
  <c r="P98" i="10"/>
  <c r="Q98" i="10" s="1"/>
  <c r="P92" i="10"/>
  <c r="Q92" i="10" s="1"/>
  <c r="V92" i="10"/>
  <c r="AC208" i="10"/>
  <c r="AC206" i="10"/>
  <c r="AC194" i="10"/>
  <c r="AB180" i="10"/>
  <c r="AC173" i="10"/>
  <c r="Q165" i="10"/>
  <c r="AC149" i="10"/>
  <c r="AB142" i="10"/>
  <c r="AC132" i="10"/>
  <c r="R114" i="10"/>
  <c r="AB87" i="10"/>
  <c r="N87" i="10"/>
  <c r="R87" i="10" s="1"/>
  <c r="AB75" i="10"/>
  <c r="P65" i="10"/>
  <c r="Q65" i="10" s="1"/>
  <c r="V65" i="10"/>
  <c r="P55" i="10"/>
  <c r="Q55" i="10" s="1"/>
  <c r="V50" i="10"/>
  <c r="AC19" i="10"/>
  <c r="AD19" i="10"/>
  <c r="N19" i="10"/>
  <c r="R19" i="10" s="1"/>
  <c r="N15" i="10"/>
  <c r="R15" i="10" s="1"/>
  <c r="AD15" i="10"/>
  <c r="P12" i="10"/>
  <c r="V12" i="10"/>
  <c r="O12" i="10"/>
  <c r="AC11" i="10"/>
  <c r="AB11" i="10"/>
  <c r="N11" i="10"/>
  <c r="R11" i="10" s="1"/>
  <c r="AD11" i="10"/>
  <c r="N227" i="10"/>
  <c r="T227" i="10" s="1"/>
  <c r="AC225" i="10"/>
  <c r="N222" i="10"/>
  <c r="W222" i="10" s="1"/>
  <c r="AC220" i="10"/>
  <c r="V213" i="10"/>
  <c r="AC213" i="10"/>
  <c r="N211" i="10"/>
  <c r="T211" i="10" s="1"/>
  <c r="AC210" i="10"/>
  <c r="O209" i="10"/>
  <c r="Q209" i="10" s="1"/>
  <c r="N207" i="10"/>
  <c r="W207" i="10" s="1"/>
  <c r="AB197" i="10"/>
  <c r="AC190" i="10"/>
  <c r="AB189" i="10"/>
  <c r="AD186" i="10"/>
  <c r="AC182" i="10"/>
  <c r="AB181" i="10"/>
  <c r="AB178" i="10"/>
  <c r="V178" i="10"/>
  <c r="AB169" i="10"/>
  <c r="AC166" i="10"/>
  <c r="AD165" i="10"/>
  <c r="AD161" i="10"/>
  <c r="AC144" i="10"/>
  <c r="AB143" i="10"/>
  <c r="AB140" i="10"/>
  <c r="AB139" i="10"/>
  <c r="Q138" i="10"/>
  <c r="AC128" i="10"/>
  <c r="AB127" i="10"/>
  <c r="AD125" i="10"/>
  <c r="AD123" i="10"/>
  <c r="AC117" i="10"/>
  <c r="AC116" i="10"/>
  <c r="AD114" i="10"/>
  <c r="AB111" i="10"/>
  <c r="AD110" i="10"/>
  <c r="AB104" i="10"/>
  <c r="P102" i="10"/>
  <c r="Q102" i="10" s="1"/>
  <c r="P94" i="10"/>
  <c r="Q94" i="10" s="1"/>
  <c r="N90" i="10"/>
  <c r="T90" i="10" s="1"/>
  <c r="AB90" i="10"/>
  <c r="AD87" i="10"/>
  <c r="AB85" i="10"/>
  <c r="P71" i="10"/>
  <c r="O71" i="10"/>
  <c r="P69" i="10"/>
  <c r="Q69" i="10" s="1"/>
  <c r="AB64" i="10"/>
  <c r="N58" i="10"/>
  <c r="T58" i="10" s="1"/>
  <c r="AB58" i="10"/>
  <c r="P57" i="10"/>
  <c r="Q57" i="10" s="1"/>
  <c r="O50" i="10"/>
  <c r="Q50" i="10" s="1"/>
  <c r="O47" i="10"/>
  <c r="Q47" i="10" s="1"/>
  <c r="AB28" i="10"/>
  <c r="N28" i="10"/>
  <c r="T28" i="10" s="1"/>
  <c r="AC28" i="10"/>
  <c r="AD28" i="10"/>
  <c r="V24" i="10"/>
  <c r="AB19" i="10"/>
  <c r="N209" i="10"/>
  <c r="W209" i="10" s="1"/>
  <c r="AB198" i="10"/>
  <c r="AC183" i="10"/>
  <c r="AB177" i="10"/>
  <c r="AB168" i="10"/>
  <c r="V165" i="10"/>
  <c r="AB153" i="10"/>
  <c r="AB135" i="10"/>
  <c r="AB114" i="10"/>
  <c r="AB110" i="10"/>
  <c r="AB100" i="10"/>
  <c r="N100" i="10"/>
  <c r="X100" i="10" s="1"/>
  <c r="AC100" i="10"/>
  <c r="AB97" i="10"/>
  <c r="AD97" i="10"/>
  <c r="AD96" i="10"/>
  <c r="AC87" i="10"/>
  <c r="P68" i="10"/>
  <c r="Q68" i="10" s="1"/>
  <c r="V68" i="10"/>
  <c r="AC56" i="10"/>
  <c r="N50" i="10"/>
  <c r="R50" i="10" s="1"/>
  <c r="AB49" i="10"/>
  <c r="AC49" i="10"/>
  <c r="AC43" i="10"/>
  <c r="AB43" i="10"/>
  <c r="N43" i="10"/>
  <c r="X43" i="10" s="1"/>
  <c r="AD43" i="10"/>
  <c r="V40" i="10"/>
  <c r="AC39" i="10"/>
  <c r="N39" i="10"/>
  <c r="X39" i="10" s="1"/>
  <c r="AB39" i="10"/>
  <c r="V29" i="10"/>
  <c r="O29" i="10"/>
  <c r="Q29" i="10" s="1"/>
  <c r="N18" i="10"/>
  <c r="T18" i="10" s="1"/>
  <c r="AB18" i="10"/>
  <c r="AB15" i="10"/>
  <c r="AC18" i="10"/>
  <c r="AC17" i="10"/>
  <c r="AC15" i="10"/>
  <c r="Q9" i="10"/>
  <c r="AB96" i="10"/>
  <c r="AB95" i="10"/>
  <c r="AB92" i="10"/>
  <c r="AB91" i="10"/>
  <c r="AC86" i="10"/>
  <c r="AC85" i="10"/>
  <c r="AB83" i="10"/>
  <c r="AC79" i="10"/>
  <c r="AC77" i="10"/>
  <c r="AC76" i="10"/>
  <c r="AD65" i="10"/>
  <c r="V61" i="10"/>
  <c r="AB59" i="10"/>
  <c r="AC58" i="10"/>
  <c r="AB54" i="10"/>
  <c r="AB50" i="10"/>
  <c r="V39" i="10"/>
  <c r="O33" i="10"/>
  <c r="Q25" i="10"/>
  <c r="O20" i="10"/>
  <c r="Q20" i="10" s="1"/>
  <c r="O16" i="10"/>
  <c r="Q16" i="10" s="1"/>
  <c r="AC14" i="10"/>
  <c r="AC10" i="10"/>
  <c r="AC7" i="10"/>
  <c r="Q85" i="10"/>
  <c r="N82" i="10"/>
  <c r="W82" i="10" s="1"/>
  <c r="N78" i="10"/>
  <c r="W78" i="10" s="1"/>
  <c r="AB73" i="10"/>
  <c r="AD71" i="10"/>
  <c r="N69" i="10"/>
  <c r="S69" i="10" s="1"/>
  <c r="N64" i="10"/>
  <c r="S64" i="10" s="1"/>
  <c r="AD32" i="10"/>
  <c r="AC23" i="10"/>
  <c r="V11" i="10"/>
  <c r="AB10" i="10"/>
  <c r="N9" i="10"/>
  <c r="W9" i="10" s="1"/>
  <c r="X114" i="5"/>
  <c r="Y108" i="5"/>
  <c r="Z108" i="5"/>
  <c r="AB108" i="5"/>
  <c r="AF106" i="5"/>
  <c r="X106" i="5"/>
  <c r="X100" i="5"/>
  <c r="AA100" i="5" s="1"/>
  <c r="AF100" i="5"/>
  <c r="AG100" i="5"/>
  <c r="T99" i="5"/>
  <c r="T84" i="5"/>
  <c r="AG84" i="5"/>
  <c r="T57" i="5"/>
  <c r="AI57" i="5"/>
  <c r="AH51" i="5"/>
  <c r="AF51" i="5"/>
  <c r="AI47" i="5"/>
  <c r="AF47" i="5"/>
  <c r="AG47" i="5"/>
  <c r="R118" i="5"/>
  <c r="V118" i="5"/>
  <c r="AH117" i="5"/>
  <c r="AH116" i="5"/>
  <c r="AF116" i="5"/>
  <c r="X104" i="5"/>
  <c r="AF104" i="5"/>
  <c r="T94" i="5"/>
  <c r="AI67" i="5"/>
  <c r="X91" i="5"/>
  <c r="AF91" i="5"/>
  <c r="AF90" i="5"/>
  <c r="V81" i="5"/>
  <c r="R81" i="5"/>
  <c r="V65" i="5"/>
  <c r="R65" i="5"/>
  <c r="R62" i="5"/>
  <c r="V62" i="5"/>
  <c r="V52" i="5"/>
  <c r="R52" i="5"/>
  <c r="T9" i="5"/>
  <c r="AI9" i="5"/>
  <c r="AG9" i="5"/>
  <c r="AF122" i="5"/>
  <c r="AB116" i="5"/>
  <c r="R115" i="5"/>
  <c r="AG115" i="5" s="1"/>
  <c r="V115" i="5"/>
  <c r="R107" i="5"/>
  <c r="V107" i="5"/>
  <c r="V105" i="5"/>
  <c r="R105" i="5"/>
  <c r="T105" i="5" s="1"/>
  <c r="AF97" i="5"/>
  <c r="X97" i="5"/>
  <c r="AA97" i="5" s="1"/>
  <c r="R93" i="5"/>
  <c r="V93" i="5"/>
  <c r="T51" i="5"/>
  <c r="AG51" i="5"/>
  <c r="R45" i="5"/>
  <c r="AG45" i="5" s="1"/>
  <c r="V45" i="5"/>
  <c r="X117" i="5"/>
  <c r="V113" i="5"/>
  <c r="R113" i="5"/>
  <c r="T113" i="5" s="1"/>
  <c r="R110" i="5"/>
  <c r="V110" i="5"/>
  <c r="AH108" i="5"/>
  <c r="AF108" i="5"/>
  <c r="R102" i="5"/>
  <c r="V102" i="5"/>
  <c r="AF101" i="5"/>
  <c r="AH101" i="5"/>
  <c r="AH97" i="5"/>
  <c r="AF95" i="5"/>
  <c r="X92" i="5"/>
  <c r="V86" i="5"/>
  <c r="R86" i="5"/>
  <c r="Y63" i="5"/>
  <c r="AB63" i="5"/>
  <c r="AC63" i="5"/>
  <c r="R60" i="5"/>
  <c r="T60" i="5" s="1"/>
  <c r="V60" i="5"/>
  <c r="AG122" i="5"/>
  <c r="T122" i="5"/>
  <c r="AB117" i="5"/>
  <c r="AH114" i="5"/>
  <c r="AC108" i="5"/>
  <c r="AH106" i="5"/>
  <c r="AG101" i="5"/>
  <c r="R98" i="5"/>
  <c r="V98" i="5"/>
  <c r="AF84" i="5"/>
  <c r="AH77" i="5"/>
  <c r="AF77" i="5"/>
  <c r="T77" i="5"/>
  <c r="AI77" i="5"/>
  <c r="AH75" i="5"/>
  <c r="AF57" i="5"/>
  <c r="AC56" i="5"/>
  <c r="AF43" i="5"/>
  <c r="AG25" i="5"/>
  <c r="X101" i="5"/>
  <c r="AC97" i="5"/>
  <c r="X90" i="5"/>
  <c r="R87" i="5"/>
  <c r="V87" i="5"/>
  <c r="X84" i="5"/>
  <c r="R82" i="5"/>
  <c r="V82" i="5"/>
  <c r="R80" i="5"/>
  <c r="V80" i="5"/>
  <c r="AH80" i="5" s="1"/>
  <c r="X77" i="5"/>
  <c r="AH67" i="5"/>
  <c r="AB55" i="5"/>
  <c r="AE55" i="5" s="1"/>
  <c r="AC55" i="5"/>
  <c r="R54" i="5"/>
  <c r="V54" i="5"/>
  <c r="X54" i="5" s="1"/>
  <c r="X51" i="5"/>
  <c r="AI48" i="5"/>
  <c r="R33" i="5"/>
  <c r="V33" i="5"/>
  <c r="AI24" i="5"/>
  <c r="AG24" i="5"/>
  <c r="R18" i="5"/>
  <c r="V18" i="5"/>
  <c r="R119" i="5"/>
  <c r="T119" i="5" s="1"/>
  <c r="V119" i="5"/>
  <c r="R111" i="5"/>
  <c r="T111" i="5" s="1"/>
  <c r="V111" i="5"/>
  <c r="AG105" i="5"/>
  <c r="R103" i="5"/>
  <c r="T103" i="5" s="1"/>
  <c r="V103" i="5"/>
  <c r="AI100" i="5"/>
  <c r="AG95" i="5"/>
  <c r="AI95" i="5"/>
  <c r="AI91" i="5"/>
  <c r="T79" i="5"/>
  <c r="AC71" i="5"/>
  <c r="R70" i="5"/>
  <c r="V70" i="5"/>
  <c r="V68" i="5"/>
  <c r="X67" i="5"/>
  <c r="AI64" i="5"/>
  <c r="AG59" i="5"/>
  <c r="AH59" i="5"/>
  <c r="AF59" i="5"/>
  <c r="T59" i="5"/>
  <c r="X48" i="5"/>
  <c r="AH48" i="5"/>
  <c r="T37" i="5"/>
  <c r="AI37" i="5"/>
  <c r="AG37" i="5"/>
  <c r="R30" i="5"/>
  <c r="V30" i="5"/>
  <c r="X8" i="5"/>
  <c r="AA8" i="5" s="1"/>
  <c r="AF8" i="5"/>
  <c r="AH122" i="5"/>
  <c r="AI117" i="5"/>
  <c r="AH112" i="5"/>
  <c r="AI109" i="5"/>
  <c r="AH104" i="5"/>
  <c r="AI101" i="5"/>
  <c r="AH100" i="5"/>
  <c r="AC100" i="5"/>
  <c r="AG97" i="5"/>
  <c r="AH95" i="5"/>
  <c r="AC95" i="5"/>
  <c r="AH91" i="5"/>
  <c r="AI90" i="5"/>
  <c r="AI84" i="5"/>
  <c r="T68" i="5"/>
  <c r="AF64" i="5"/>
  <c r="AH64" i="5"/>
  <c r="AF62" i="5"/>
  <c r="AI56" i="5"/>
  <c r="V44" i="5"/>
  <c r="R44" i="5"/>
  <c r="T43" i="5"/>
  <c r="AC42" i="5"/>
  <c r="V99" i="5"/>
  <c r="AH99" i="5" s="1"/>
  <c r="V94" i="5"/>
  <c r="AH94" i="5" s="1"/>
  <c r="V88" i="5"/>
  <c r="AG88" i="5" s="1"/>
  <c r="V83" i="5"/>
  <c r="AG83" i="5" s="1"/>
  <c r="V79" i="5"/>
  <c r="AH71" i="5"/>
  <c r="V69" i="5"/>
  <c r="AI68" i="5"/>
  <c r="X64" i="5"/>
  <c r="AG50" i="5"/>
  <c r="T47" i="5"/>
  <c r="AG42" i="5"/>
  <c r="AC40" i="5"/>
  <c r="R38" i="5"/>
  <c r="V38" i="5"/>
  <c r="AH24" i="5"/>
  <c r="AF24" i="5"/>
  <c r="T24" i="5"/>
  <c r="AG19" i="5"/>
  <c r="AI19" i="5"/>
  <c r="X17" i="5"/>
  <c r="AB3" i="5"/>
  <c r="AC3" i="5"/>
  <c r="R76" i="5"/>
  <c r="T76" i="5" s="1"/>
  <c r="V76" i="5"/>
  <c r="R66" i="5"/>
  <c r="T66" i="5" s="1"/>
  <c r="V66" i="5"/>
  <c r="R58" i="5"/>
  <c r="T58" i="5" s="1"/>
  <c r="V58" i="5"/>
  <c r="AI51" i="5"/>
  <c r="R49" i="5"/>
  <c r="V49" i="5"/>
  <c r="X47" i="5"/>
  <c r="AI43" i="5"/>
  <c r="R41" i="5"/>
  <c r="V41" i="5"/>
  <c r="AH40" i="5"/>
  <c r="X40" i="5"/>
  <c r="Z40" i="5" s="1"/>
  <c r="AH39" i="5"/>
  <c r="AF39" i="5"/>
  <c r="T29" i="5"/>
  <c r="AI29" i="5"/>
  <c r="AG28" i="5"/>
  <c r="AH19" i="5"/>
  <c r="X19" i="5"/>
  <c r="AF19" i="5"/>
  <c r="AH17" i="5"/>
  <c r="R14" i="5"/>
  <c r="V14" i="5"/>
  <c r="T7" i="5"/>
  <c r="X5" i="5"/>
  <c r="AF37" i="5"/>
  <c r="X37" i="5"/>
  <c r="R34" i="5"/>
  <c r="V34" i="5"/>
  <c r="R26" i="5"/>
  <c r="V26" i="5"/>
  <c r="X25" i="5"/>
  <c r="T23" i="5"/>
  <c r="AI23" i="5"/>
  <c r="T21" i="5"/>
  <c r="AI21" i="5"/>
  <c r="AG21" i="5"/>
  <c r="T17" i="5"/>
  <c r="AF9" i="5"/>
  <c r="X9" i="5"/>
  <c r="R6" i="5"/>
  <c r="V6" i="5"/>
  <c r="AG3" i="5"/>
  <c r="R2" i="5"/>
  <c r="V2" i="5"/>
  <c r="AI40" i="5"/>
  <c r="AH28" i="5"/>
  <c r="T28" i="5"/>
  <c r="AF21" i="5"/>
  <c r="X21" i="5"/>
  <c r="AH21" i="5"/>
  <c r="T19" i="5"/>
  <c r="T15" i="5"/>
  <c r="R10" i="5"/>
  <c r="V10" i="5"/>
  <c r="X4" i="5"/>
  <c r="AA4" i="5" s="1"/>
  <c r="AF4" i="5"/>
  <c r="AI3" i="5"/>
  <c r="X24" i="5"/>
  <c r="X23" i="5"/>
  <c r="AI12" i="5"/>
  <c r="AG8" i="5"/>
  <c r="AI8" i="5"/>
  <c r="AG4" i="5"/>
  <c r="AI4" i="5"/>
  <c r="R22" i="5"/>
  <c r="V22" i="5"/>
  <c r="AC12" i="5"/>
  <c r="AH8" i="5"/>
  <c r="AC8" i="5"/>
  <c r="AH4" i="5"/>
  <c r="AC4" i="5"/>
  <c r="V15" i="5"/>
  <c r="X15" i="5" s="1"/>
  <c r="V11" i="5"/>
  <c r="X11" i="5" s="1"/>
  <c r="V7" i="5"/>
  <c r="T242" i="10"/>
  <c r="R235" i="10"/>
  <c r="S235" i="10"/>
  <c r="W235" i="10"/>
  <c r="T235" i="10"/>
  <c r="U235" i="10"/>
  <c r="S220" i="10"/>
  <c r="W220" i="10"/>
  <c r="R214" i="10"/>
  <c r="W214" i="10"/>
  <c r="T214" i="10"/>
  <c r="U214" i="10"/>
  <c r="U210" i="10"/>
  <c r="R210" i="10"/>
  <c r="T210" i="10"/>
  <c r="X210" i="10"/>
  <c r="S227" i="10"/>
  <c r="S207" i="10"/>
  <c r="X238" i="10"/>
  <c r="R238" i="10"/>
  <c r="T230" i="10"/>
  <c r="W219" i="10"/>
  <c r="T219" i="10"/>
  <c r="T215" i="10"/>
  <c r="W215" i="10"/>
  <c r="S209" i="10"/>
  <c r="S240" i="10"/>
  <c r="O240" i="10"/>
  <c r="Q240" i="10" s="1"/>
  <c r="R213" i="10"/>
  <c r="AB206" i="10"/>
  <c r="AC192" i="10"/>
  <c r="N192" i="10"/>
  <c r="AD192" i="10"/>
  <c r="AC176" i="10"/>
  <c r="N176" i="10"/>
  <c r="AD176" i="10"/>
  <c r="AC160" i="10"/>
  <c r="AD160" i="10"/>
  <c r="N160" i="10"/>
  <c r="U160" i="10" s="1"/>
  <c r="P139" i="10"/>
  <c r="V139" i="10"/>
  <c r="O139" i="10"/>
  <c r="V117" i="10"/>
  <c r="O117" i="10"/>
  <c r="P117" i="10"/>
  <c r="N21" i="10"/>
  <c r="AD21" i="10"/>
  <c r="AB21" i="10"/>
  <c r="AC21" i="10"/>
  <c r="S7" i="10"/>
  <c r="W7" i="10"/>
  <c r="U247" i="10"/>
  <c r="V244" i="10"/>
  <c r="AD242" i="10"/>
  <c r="V242" i="10"/>
  <c r="V240" i="10"/>
  <c r="V239" i="10"/>
  <c r="AB235" i="10"/>
  <c r="X235" i="10"/>
  <c r="AD230" i="10"/>
  <c r="V230" i="10"/>
  <c r="AB226" i="10"/>
  <c r="U225" i="10"/>
  <c r="AD222" i="10"/>
  <c r="V222" i="10"/>
  <c r="AB219" i="10"/>
  <c r="U217" i="10"/>
  <c r="AD216" i="10"/>
  <c r="V216" i="10"/>
  <c r="AB214" i="10"/>
  <c r="U213" i="10"/>
  <c r="AD211" i="10"/>
  <c r="V211" i="10"/>
  <c r="AB209" i="10"/>
  <c r="AD207" i="10"/>
  <c r="P207" i="10"/>
  <c r="Q207" i="10" s="1"/>
  <c r="W199" i="10"/>
  <c r="T199" i="10"/>
  <c r="N196" i="10"/>
  <c r="AD196" i="10"/>
  <c r="AB196" i="10"/>
  <c r="P189" i="10"/>
  <c r="Q189" i="10" s="1"/>
  <c r="V189" i="10"/>
  <c r="AC188" i="10"/>
  <c r="N188" i="10"/>
  <c r="AD188" i="10"/>
  <c r="S182" i="10"/>
  <c r="W182" i="10"/>
  <c r="U182" i="10"/>
  <c r="Q180" i="10"/>
  <c r="N179" i="10"/>
  <c r="R179" i="10" s="1"/>
  <c r="AD179" i="10"/>
  <c r="AB179" i="10"/>
  <c r="P172" i="10"/>
  <c r="Q172" i="10" s="1"/>
  <c r="V172" i="10"/>
  <c r="AC171" i="10"/>
  <c r="N171" i="10"/>
  <c r="AD171" i="10"/>
  <c r="W165" i="10"/>
  <c r="T165" i="10"/>
  <c r="W149" i="10"/>
  <c r="T149" i="10"/>
  <c r="X149" i="10"/>
  <c r="S101" i="10"/>
  <c r="W101" i="10"/>
  <c r="T101" i="10"/>
  <c r="X101" i="10"/>
  <c r="U101" i="10"/>
  <c r="P82" i="10"/>
  <c r="V82" i="10"/>
  <c r="O82" i="10"/>
  <c r="P193" i="10"/>
  <c r="Q193" i="10" s="1"/>
  <c r="V193" i="10"/>
  <c r="N183" i="10"/>
  <c r="R183" i="10" s="1"/>
  <c r="AD183" i="10"/>
  <c r="AB183" i="10"/>
  <c r="P177" i="10"/>
  <c r="Q177" i="10" s="1"/>
  <c r="V177" i="10"/>
  <c r="N166" i="10"/>
  <c r="R166" i="10" s="1"/>
  <c r="AD166" i="10"/>
  <c r="AB166" i="10"/>
  <c r="N129" i="10"/>
  <c r="R129" i="10" s="1"/>
  <c r="AD129" i="10"/>
  <c r="AB129" i="10"/>
  <c r="AC129" i="10"/>
  <c r="AC94" i="10"/>
  <c r="AB94" i="10"/>
  <c r="AC27" i="10"/>
  <c r="N27" i="10"/>
  <c r="X27" i="10" s="1"/>
  <c r="AB27" i="10"/>
  <c r="AD27" i="10"/>
  <c r="X247" i="10"/>
  <c r="T247" i="10"/>
  <c r="U242" i="10"/>
  <c r="U239" i="10"/>
  <c r="AD238" i="10"/>
  <c r="AD227" i="10"/>
  <c r="X225" i="10"/>
  <c r="T225" i="10"/>
  <c r="AD220" i="10"/>
  <c r="X217" i="10"/>
  <c r="AD215" i="10"/>
  <c r="X213" i="10"/>
  <c r="T213" i="10"/>
  <c r="AD210" i="10"/>
  <c r="AC207" i="10"/>
  <c r="N206" i="10"/>
  <c r="P203" i="10"/>
  <c r="Q203" i="10" s="1"/>
  <c r="V203" i="10"/>
  <c r="AC202" i="10"/>
  <c r="N202" i="10"/>
  <c r="AD202" i="10"/>
  <c r="AB192" i="10"/>
  <c r="N191" i="10"/>
  <c r="AD191" i="10"/>
  <c r="AB191" i="10"/>
  <c r="P185" i="10"/>
  <c r="Q185" i="10" s="1"/>
  <c r="V185" i="10"/>
  <c r="AC184" i="10"/>
  <c r="N184" i="10"/>
  <c r="AD184" i="10"/>
  <c r="S178" i="10"/>
  <c r="AB176" i="10"/>
  <c r="N174" i="10"/>
  <c r="X174" i="10" s="1"/>
  <c r="AD174" i="10"/>
  <c r="AB174" i="10"/>
  <c r="P168" i="10"/>
  <c r="Q168" i="10" s="1"/>
  <c r="V168" i="10"/>
  <c r="AC167" i="10"/>
  <c r="N167" i="10"/>
  <c r="AD167" i="10"/>
  <c r="R165" i="10"/>
  <c r="N145" i="10"/>
  <c r="X145" i="10" s="1"/>
  <c r="AD145" i="10"/>
  <c r="AB145" i="10"/>
  <c r="AC145" i="10"/>
  <c r="AC138" i="10"/>
  <c r="N138" i="10"/>
  <c r="AD138" i="10"/>
  <c r="AB138" i="10"/>
  <c r="R217" i="10"/>
  <c r="N201" i="10"/>
  <c r="AD201" i="10"/>
  <c r="AB201" i="10"/>
  <c r="AC158" i="10"/>
  <c r="N158" i="10"/>
  <c r="AB158" i="10"/>
  <c r="W247" i="10"/>
  <c r="X242" i="10"/>
  <c r="AD235" i="10"/>
  <c r="AD226" i="10"/>
  <c r="W225" i="10"/>
  <c r="AD219" i="10"/>
  <c r="AD214" i="10"/>
  <c r="W213" i="10"/>
  <c r="AD209" i="10"/>
  <c r="AD206" i="10"/>
  <c r="P198" i="10"/>
  <c r="Q198" i="10" s="1"/>
  <c r="V198" i="10"/>
  <c r="AC197" i="10"/>
  <c r="N197" i="10"/>
  <c r="AD197" i="10"/>
  <c r="S190" i="10"/>
  <c r="W190" i="10"/>
  <c r="T190" i="10"/>
  <c r="X190" i="10"/>
  <c r="U190" i="10"/>
  <c r="N187" i="10"/>
  <c r="R187" i="10" s="1"/>
  <c r="AD187" i="10"/>
  <c r="AB187" i="10"/>
  <c r="P181" i="10"/>
  <c r="Q181" i="10" s="1"/>
  <c r="V181" i="10"/>
  <c r="AC180" i="10"/>
  <c r="N180" i="10"/>
  <c r="AD180" i="10"/>
  <c r="N170" i="10"/>
  <c r="X170" i="10" s="1"/>
  <c r="AD170" i="10"/>
  <c r="AB170" i="10"/>
  <c r="P164" i="10"/>
  <c r="Q164" i="10" s="1"/>
  <c r="V164" i="10"/>
  <c r="AC163" i="10"/>
  <c r="N163" i="10"/>
  <c r="AD163" i="10"/>
  <c r="AB160" i="10"/>
  <c r="AB159" i="10"/>
  <c r="N159" i="10"/>
  <c r="X159" i="10" s="1"/>
  <c r="AD159" i="10"/>
  <c r="AC159" i="10"/>
  <c r="AD158" i="10"/>
  <c r="S132" i="10"/>
  <c r="W132" i="10"/>
  <c r="T132" i="10"/>
  <c r="X132" i="10"/>
  <c r="R132" i="10"/>
  <c r="N126" i="10"/>
  <c r="R126" i="10" s="1"/>
  <c r="AC126" i="10"/>
  <c r="AD126" i="10"/>
  <c r="AB126" i="10"/>
  <c r="AB122" i="10"/>
  <c r="AC122" i="10"/>
  <c r="AD203" i="10"/>
  <c r="N203" i="10"/>
  <c r="P201" i="10"/>
  <c r="Q201" i="10" s="1"/>
  <c r="AD198" i="10"/>
  <c r="N198" i="10"/>
  <c r="X198" i="10" s="1"/>
  <c r="P196" i="10"/>
  <c r="Q196" i="10" s="1"/>
  <c r="AD193" i="10"/>
  <c r="N193" i="10"/>
  <c r="P191" i="10"/>
  <c r="Q191" i="10" s="1"/>
  <c r="AD189" i="10"/>
  <c r="N189" i="10"/>
  <c r="R189" i="10" s="1"/>
  <c r="P187" i="10"/>
  <c r="Q187" i="10" s="1"/>
  <c r="AD185" i="10"/>
  <c r="N185" i="10"/>
  <c r="P183" i="10"/>
  <c r="Q183" i="10" s="1"/>
  <c r="AD181" i="10"/>
  <c r="N181" i="10"/>
  <c r="R181" i="10" s="1"/>
  <c r="P179" i="10"/>
  <c r="Q179" i="10" s="1"/>
  <c r="AD177" i="10"/>
  <c r="N177" i="10"/>
  <c r="P174" i="10"/>
  <c r="Q174" i="10" s="1"/>
  <c r="AD172" i="10"/>
  <c r="N172" i="10"/>
  <c r="U172" i="10" s="1"/>
  <c r="P170" i="10"/>
  <c r="Q170" i="10" s="1"/>
  <c r="AD168" i="10"/>
  <c r="N168" i="10"/>
  <c r="X168" i="10" s="1"/>
  <c r="P166" i="10"/>
  <c r="Q166" i="10" s="1"/>
  <c r="AD164" i="10"/>
  <c r="N164" i="10"/>
  <c r="P161" i="10"/>
  <c r="Q161" i="10" s="1"/>
  <c r="P153" i="10"/>
  <c r="Q153" i="10" s="1"/>
  <c r="V153" i="10"/>
  <c r="AC152" i="10"/>
  <c r="N152" i="10"/>
  <c r="AD152" i="10"/>
  <c r="S144" i="10"/>
  <c r="W144" i="10"/>
  <c r="X144" i="10"/>
  <c r="U144" i="10"/>
  <c r="Q142" i="10"/>
  <c r="N141" i="10"/>
  <c r="X141" i="10" s="1"/>
  <c r="AD141" i="10"/>
  <c r="AB141" i="10"/>
  <c r="P135" i="10"/>
  <c r="Q135" i="10" s="1"/>
  <c r="V135" i="10"/>
  <c r="AC134" i="10"/>
  <c r="N134" i="10"/>
  <c r="AD134" i="10"/>
  <c r="N125" i="10"/>
  <c r="AB125" i="10"/>
  <c r="T116" i="10"/>
  <c r="U116" i="10"/>
  <c r="V108" i="10"/>
  <c r="O108" i="10"/>
  <c r="Q108" i="10" s="1"/>
  <c r="S97" i="10"/>
  <c r="W97" i="10"/>
  <c r="U97" i="10"/>
  <c r="R69" i="10"/>
  <c r="T64" i="10"/>
  <c r="P159" i="10"/>
  <c r="V159" i="10"/>
  <c r="N157" i="10"/>
  <c r="X157" i="10" s="1"/>
  <c r="AD157" i="10"/>
  <c r="AB157" i="10"/>
  <c r="P148" i="10"/>
  <c r="V148" i="10"/>
  <c r="AC146" i="10"/>
  <c r="N146" i="10"/>
  <c r="AD146" i="10"/>
  <c r="T140" i="10"/>
  <c r="X140" i="10"/>
  <c r="N137" i="10"/>
  <c r="AD137" i="10"/>
  <c r="AB137" i="10"/>
  <c r="P131" i="10"/>
  <c r="V131" i="10"/>
  <c r="AC130" i="10"/>
  <c r="N130" i="10"/>
  <c r="AD130" i="10"/>
  <c r="P123" i="10"/>
  <c r="Q123" i="10" s="1"/>
  <c r="V123" i="10"/>
  <c r="X123" i="10"/>
  <c r="V103" i="10"/>
  <c r="O103" i="10"/>
  <c r="S92" i="10"/>
  <c r="W92" i="10"/>
  <c r="T92" i="10"/>
  <c r="R92" i="10"/>
  <c r="S90" i="10"/>
  <c r="W90" i="10"/>
  <c r="AC81" i="10"/>
  <c r="AB81" i="10"/>
  <c r="R77" i="10"/>
  <c r="V201" i="10"/>
  <c r="V196" i="10"/>
  <c r="V191" i="10"/>
  <c r="V187" i="10"/>
  <c r="V183" i="10"/>
  <c r="V179" i="10"/>
  <c r="V174" i="10"/>
  <c r="V170" i="10"/>
  <c r="V166" i="10"/>
  <c r="N161" i="10"/>
  <c r="AB161" i="10"/>
  <c r="O159" i="10"/>
  <c r="AC157" i="10"/>
  <c r="N150" i="10"/>
  <c r="AD150" i="10"/>
  <c r="AB150" i="10"/>
  <c r="U149" i="10"/>
  <c r="O148" i="10"/>
  <c r="P143" i="10"/>
  <c r="Q143" i="10" s="1"/>
  <c r="V143" i="10"/>
  <c r="AC142" i="10"/>
  <c r="N142" i="10"/>
  <c r="AD142" i="10"/>
  <c r="AC137" i="10"/>
  <c r="W136" i="10"/>
  <c r="T136" i="10"/>
  <c r="N133" i="10"/>
  <c r="AD133" i="10"/>
  <c r="AB133" i="10"/>
  <c r="U132" i="10"/>
  <c r="O131" i="10"/>
  <c r="P127" i="10"/>
  <c r="Q127" i="10" s="1"/>
  <c r="V127" i="10"/>
  <c r="AB124" i="10"/>
  <c r="N124" i="10"/>
  <c r="S124" i="10" s="1"/>
  <c r="AD124" i="10"/>
  <c r="T119" i="10"/>
  <c r="V113" i="10"/>
  <c r="O113" i="10"/>
  <c r="Q113" i="10" s="1"/>
  <c r="S111" i="10"/>
  <c r="U111" i="10"/>
  <c r="T105" i="10"/>
  <c r="P103" i="10"/>
  <c r="V99" i="10"/>
  <c r="O99" i="10"/>
  <c r="Q99" i="10" s="1"/>
  <c r="N93" i="10"/>
  <c r="AD93" i="10"/>
  <c r="AB93" i="10"/>
  <c r="AC93" i="10"/>
  <c r="X90" i="10"/>
  <c r="P157" i="10"/>
  <c r="Q157" i="10" s="1"/>
  <c r="AD153" i="10"/>
  <c r="N153" i="10"/>
  <c r="R153" i="10" s="1"/>
  <c r="P150" i="10"/>
  <c r="Q150" i="10" s="1"/>
  <c r="AD148" i="10"/>
  <c r="N148" i="10"/>
  <c r="R148" i="10" s="1"/>
  <c r="P145" i="10"/>
  <c r="Q145" i="10" s="1"/>
  <c r="AD143" i="10"/>
  <c r="N143" i="10"/>
  <c r="U143" i="10" s="1"/>
  <c r="P141" i="10"/>
  <c r="Q141" i="10" s="1"/>
  <c r="AD139" i="10"/>
  <c r="N139" i="10"/>
  <c r="U139" i="10" s="1"/>
  <c r="X137" i="10"/>
  <c r="P137" i="10"/>
  <c r="Q137" i="10" s="1"/>
  <c r="AD135" i="10"/>
  <c r="N135" i="10"/>
  <c r="R135" i="10" s="1"/>
  <c r="P133" i="10"/>
  <c r="Q133" i="10" s="1"/>
  <c r="AD131" i="10"/>
  <c r="N131" i="10"/>
  <c r="R131" i="10" s="1"/>
  <c r="P129" i="10"/>
  <c r="Q129" i="10" s="1"/>
  <c r="AD127" i="10"/>
  <c r="N127" i="10"/>
  <c r="R127" i="10" s="1"/>
  <c r="V122" i="10"/>
  <c r="AB121" i="10"/>
  <c r="N121" i="10"/>
  <c r="U120" i="10"/>
  <c r="P120" i="10"/>
  <c r="Q120" i="10" s="1"/>
  <c r="N112" i="10"/>
  <c r="R112" i="10" s="1"/>
  <c r="AD112" i="10"/>
  <c r="N106" i="10"/>
  <c r="R106" i="10" s="1"/>
  <c r="AD106" i="10"/>
  <c r="N102" i="10"/>
  <c r="R102" i="10" s="1"/>
  <c r="AD102" i="10"/>
  <c r="N98" i="10"/>
  <c r="AD98" i="10"/>
  <c r="P95" i="10"/>
  <c r="V95" i="10"/>
  <c r="N88" i="10"/>
  <c r="AD88" i="10"/>
  <c r="AB88" i="10"/>
  <c r="T87" i="10"/>
  <c r="P78" i="10"/>
  <c r="R78" i="10"/>
  <c r="V78" i="10"/>
  <c r="V76" i="10"/>
  <c r="AC53" i="10"/>
  <c r="N53" i="10"/>
  <c r="U53" i="10" s="1"/>
  <c r="AD53" i="10"/>
  <c r="AB53" i="10"/>
  <c r="N29" i="10"/>
  <c r="AB29" i="10"/>
  <c r="AC29" i="10"/>
  <c r="AD29" i="10"/>
  <c r="V126" i="10"/>
  <c r="P124" i="10"/>
  <c r="Q124" i="10" s="1"/>
  <c r="N117" i="10"/>
  <c r="R117" i="10" s="1"/>
  <c r="AD117" i="10"/>
  <c r="P114" i="10"/>
  <c r="Q114" i="10" s="1"/>
  <c r="U114" i="10"/>
  <c r="P110" i="10"/>
  <c r="Q110" i="10" s="1"/>
  <c r="AC106" i="10"/>
  <c r="AC105" i="10"/>
  <c r="P104" i="10"/>
  <c r="Q104" i="10" s="1"/>
  <c r="U104" i="10"/>
  <c r="AC102" i="10"/>
  <c r="AC101" i="10"/>
  <c r="P100" i="10"/>
  <c r="Q100" i="10" s="1"/>
  <c r="U100" i="10"/>
  <c r="AC98" i="10"/>
  <c r="AC97" i="10"/>
  <c r="P96" i="10"/>
  <c r="Q96" i="10" s="1"/>
  <c r="X96" i="10"/>
  <c r="U96" i="10"/>
  <c r="O95" i="10"/>
  <c r="P91" i="10"/>
  <c r="V91" i="10"/>
  <c r="R90" i="10"/>
  <c r="N84" i="10"/>
  <c r="AD84" i="10"/>
  <c r="AB84" i="10"/>
  <c r="S83" i="10"/>
  <c r="W83" i="10"/>
  <c r="T83" i="10"/>
  <c r="T82" i="10"/>
  <c r="O78" i="10"/>
  <c r="AB70" i="10"/>
  <c r="AD70" i="10"/>
  <c r="S65" i="10"/>
  <c r="W65" i="10"/>
  <c r="T65" i="10"/>
  <c r="N45" i="10"/>
  <c r="AB45" i="10"/>
  <c r="AD45" i="10"/>
  <c r="S32" i="10"/>
  <c r="U32" i="10"/>
  <c r="V157" i="10"/>
  <c r="V150" i="10"/>
  <c r="V145" i="10"/>
  <c r="V141" i="10"/>
  <c r="V137" i="10"/>
  <c r="V133" i="10"/>
  <c r="V129" i="10"/>
  <c r="O126" i="10"/>
  <c r="Q126" i="10" s="1"/>
  <c r="N122" i="10"/>
  <c r="AD122" i="10"/>
  <c r="W120" i="10"/>
  <c r="R120" i="10"/>
  <c r="AD119" i="10"/>
  <c r="U119" i="10"/>
  <c r="V114" i="10"/>
  <c r="AC113" i="10"/>
  <c r="N113" i="10"/>
  <c r="U113" i="10" s="1"/>
  <c r="AD113" i="10"/>
  <c r="AB112" i="10"/>
  <c r="V110" i="10"/>
  <c r="AC108" i="10"/>
  <c r="N108" i="10"/>
  <c r="AD108" i="10"/>
  <c r="AB106" i="10"/>
  <c r="V104" i="10"/>
  <c r="T104" i="10"/>
  <c r="AC103" i="10"/>
  <c r="N103" i="10"/>
  <c r="U103" i="10" s="1"/>
  <c r="AD103" i="10"/>
  <c r="AB102" i="10"/>
  <c r="V100" i="10"/>
  <c r="AC99" i="10"/>
  <c r="N99" i="10"/>
  <c r="S99" i="10" s="1"/>
  <c r="AD99" i="10"/>
  <c r="AB98" i="10"/>
  <c r="V96" i="10"/>
  <c r="T96" i="10"/>
  <c r="N94" i="10"/>
  <c r="O91" i="10"/>
  <c r="P86" i="10"/>
  <c r="Q86" i="10" s="1"/>
  <c r="V86" i="10"/>
  <c r="N81" i="10"/>
  <c r="N80" i="10"/>
  <c r="X80" i="10" s="1"/>
  <c r="AD80" i="10"/>
  <c r="AB80" i="10"/>
  <c r="AB77" i="10"/>
  <c r="S74" i="10"/>
  <c r="N68" i="10"/>
  <c r="X68" i="10" s="1"/>
  <c r="AD68" i="10"/>
  <c r="AB68" i="10"/>
  <c r="P54" i="10"/>
  <c r="V54" i="10"/>
  <c r="O54" i="10"/>
  <c r="N26" i="10"/>
  <c r="R26" i="10" s="1"/>
  <c r="AD26" i="10"/>
  <c r="AC26" i="10"/>
  <c r="AB26" i="10"/>
  <c r="AD95" i="10"/>
  <c r="N95" i="10"/>
  <c r="R95" i="10" s="1"/>
  <c r="U92" i="10"/>
  <c r="AD91" i="10"/>
  <c r="N91" i="10"/>
  <c r="U91" i="10" s="1"/>
  <c r="AD86" i="10"/>
  <c r="N86" i="10"/>
  <c r="U83" i="10"/>
  <c r="AD82" i="10"/>
  <c r="AD78" i="10"/>
  <c r="N76" i="10"/>
  <c r="S76" i="10" s="1"/>
  <c r="V75" i="10"/>
  <c r="AB74" i="10"/>
  <c r="P73" i="10"/>
  <c r="Q73" i="10" s="1"/>
  <c r="N72" i="10"/>
  <c r="AC71" i="10"/>
  <c r="N62" i="10"/>
  <c r="N61" i="10"/>
  <c r="X61" i="10" s="1"/>
  <c r="AD61" i="10"/>
  <c r="AB61" i="10"/>
  <c r="T59" i="10"/>
  <c r="N56" i="10"/>
  <c r="R56" i="10" s="1"/>
  <c r="AD56" i="10"/>
  <c r="AB56" i="10"/>
  <c r="P49" i="10"/>
  <c r="Q49" i="10" s="1"/>
  <c r="V49" i="10"/>
  <c r="AC48" i="10"/>
  <c r="N48" i="10"/>
  <c r="AD48" i="10"/>
  <c r="AD47" i="10"/>
  <c r="N47" i="10"/>
  <c r="AB47" i="10"/>
  <c r="P43" i="10"/>
  <c r="Q43" i="10" s="1"/>
  <c r="V43" i="10"/>
  <c r="N38" i="10"/>
  <c r="R38" i="10" s="1"/>
  <c r="AD38" i="10"/>
  <c r="AB38" i="10"/>
  <c r="AC38" i="10"/>
  <c r="AB37" i="10"/>
  <c r="N37" i="10"/>
  <c r="AC37" i="10"/>
  <c r="V112" i="10"/>
  <c r="V106" i="10"/>
  <c r="V102" i="10"/>
  <c r="V98" i="10"/>
  <c r="AD94" i="10"/>
  <c r="V94" i="10"/>
  <c r="X92" i="10"/>
  <c r="AD90" i="10"/>
  <c r="V90" i="10"/>
  <c r="AD85" i="10"/>
  <c r="V85" i="10"/>
  <c r="X83" i="10"/>
  <c r="AD81" i="10"/>
  <c r="AD77" i="10"/>
  <c r="AD73" i="10"/>
  <c r="N73" i="10"/>
  <c r="X73" i="10" s="1"/>
  <c r="AB71" i="10"/>
  <c r="N71" i="10"/>
  <c r="P64" i="10"/>
  <c r="Q64" i="10" s="1"/>
  <c r="V64" i="10"/>
  <c r="X55" i="10"/>
  <c r="U55" i="10"/>
  <c r="N52" i="10"/>
  <c r="R52" i="10" s="1"/>
  <c r="AD52" i="10"/>
  <c r="AB52" i="10"/>
  <c r="AB44" i="10"/>
  <c r="N44" i="10"/>
  <c r="X44" i="10" s="1"/>
  <c r="AD44" i="10"/>
  <c r="W39" i="10"/>
  <c r="N34" i="10"/>
  <c r="AD34" i="10"/>
  <c r="AB34" i="10"/>
  <c r="AC34" i="10"/>
  <c r="AB33" i="10"/>
  <c r="N33" i="10"/>
  <c r="AC33" i="10"/>
  <c r="W23" i="10"/>
  <c r="S23" i="10"/>
  <c r="N75" i="10"/>
  <c r="AD75" i="10"/>
  <c r="N70" i="10"/>
  <c r="R70" i="10" s="1"/>
  <c r="P58" i="10"/>
  <c r="Q58" i="10" s="1"/>
  <c r="V58" i="10"/>
  <c r="AC57" i="10"/>
  <c r="N57" i="10"/>
  <c r="AD57" i="10"/>
  <c r="N46" i="10"/>
  <c r="R46" i="10" s="1"/>
  <c r="AD46" i="10"/>
  <c r="AC46" i="10"/>
  <c r="AC45" i="10"/>
  <c r="AB42" i="10"/>
  <c r="AC42" i="10"/>
  <c r="P14" i="10"/>
  <c r="X14" i="10"/>
  <c r="U14" i="10"/>
  <c r="R14" i="10"/>
  <c r="V14" i="10"/>
  <c r="O14" i="10"/>
  <c r="AC72" i="10"/>
  <c r="AC70" i="10"/>
  <c r="U65" i="10"/>
  <c r="AD64" i="10"/>
  <c r="AD58" i="10"/>
  <c r="P56" i="10"/>
  <c r="Q56" i="10" s="1"/>
  <c r="AD54" i="10"/>
  <c r="N54" i="10"/>
  <c r="R54" i="10" s="1"/>
  <c r="P52" i="10"/>
  <c r="Q52" i="10" s="1"/>
  <c r="AD49" i="10"/>
  <c r="N49" i="10"/>
  <c r="X49" i="10" s="1"/>
  <c r="V42" i="10"/>
  <c r="AB41" i="10"/>
  <c r="N41" i="10"/>
  <c r="P40" i="10"/>
  <c r="Q40" i="10" s="1"/>
  <c r="P36" i="10"/>
  <c r="Q36" i="10" s="1"/>
  <c r="U36" i="10"/>
  <c r="R27" i="10"/>
  <c r="S27" i="10"/>
  <c r="AB22" i="10"/>
  <c r="AC22" i="10"/>
  <c r="N8" i="10"/>
  <c r="X8" i="10" s="1"/>
  <c r="AD8" i="10"/>
  <c r="AB8" i="10"/>
  <c r="AD69" i="10"/>
  <c r="X65" i="10"/>
  <c r="AD62" i="10"/>
  <c r="V46" i="10"/>
  <c r="P44" i="10"/>
  <c r="Q44" i="10" s="1"/>
  <c r="AC35" i="10"/>
  <c r="N35" i="10"/>
  <c r="R35" i="10" s="1"/>
  <c r="AD35" i="10"/>
  <c r="R34" i="10"/>
  <c r="AC31" i="10"/>
  <c r="N31" i="10"/>
  <c r="U31" i="10" s="1"/>
  <c r="AB31" i="10"/>
  <c r="AD31" i="10"/>
  <c r="O27" i="10"/>
  <c r="Q27" i="10" s="1"/>
  <c r="V22" i="10"/>
  <c r="O22" i="10"/>
  <c r="W19" i="10"/>
  <c r="T19" i="10"/>
  <c r="AC13" i="10"/>
  <c r="AB13" i="10"/>
  <c r="R9" i="10"/>
  <c r="AC8" i="10"/>
  <c r="V56" i="10"/>
  <c r="V52" i="10"/>
  <c r="O46" i="10"/>
  <c r="Q46" i="10" s="1"/>
  <c r="N42" i="10"/>
  <c r="R42" i="10" s="1"/>
  <c r="AD42" i="10"/>
  <c r="AD39" i="10"/>
  <c r="Q39" i="10"/>
  <c r="AB35" i="10"/>
  <c r="V35" i="10"/>
  <c r="P32" i="10"/>
  <c r="Q32" i="10" s="1"/>
  <c r="X32" i="10"/>
  <c r="V32" i="10"/>
  <c r="N30" i="10"/>
  <c r="AD30" i="10"/>
  <c r="V27" i="10"/>
  <c r="N25" i="10"/>
  <c r="AB25" i="10"/>
  <c r="AB24" i="10"/>
  <c r="N24" i="10"/>
  <c r="X24" i="10" s="1"/>
  <c r="AD24" i="10"/>
  <c r="U23" i="10"/>
  <c r="P23" i="10"/>
  <c r="Q23" i="10" s="1"/>
  <c r="V23" i="10"/>
  <c r="R23" i="10"/>
  <c r="P22" i="10"/>
  <c r="N20" i="10"/>
  <c r="AD20" i="10"/>
  <c r="AB20" i="10"/>
  <c r="P10" i="10"/>
  <c r="X10" i="10"/>
  <c r="U10" i="10"/>
  <c r="R10" i="10"/>
  <c r="V10" i="10"/>
  <c r="Q31" i="10"/>
  <c r="V26" i="10"/>
  <c r="P24" i="10"/>
  <c r="Q24" i="10" s="1"/>
  <c r="U17" i="10"/>
  <c r="W17" i="10"/>
  <c r="N16" i="10"/>
  <c r="X16" i="10" s="1"/>
  <c r="AD16" i="10"/>
  <c r="AB16" i="10"/>
  <c r="T14" i="10"/>
  <c r="O10" i="10"/>
  <c r="V38" i="10"/>
  <c r="V34" i="10"/>
  <c r="V30" i="10"/>
  <c r="P28" i="10"/>
  <c r="Q28" i="10" s="1"/>
  <c r="O26" i="10"/>
  <c r="Q26" i="10" s="1"/>
  <c r="N22" i="10"/>
  <c r="X22" i="10" s="1"/>
  <c r="AD22" i="10"/>
  <c r="P18" i="10"/>
  <c r="Q18" i="10" s="1"/>
  <c r="V18" i="10"/>
  <c r="T17" i="10"/>
  <c r="W14" i="10"/>
  <c r="N13" i="10"/>
  <c r="N12" i="10"/>
  <c r="X12" i="10" s="1"/>
  <c r="AD12" i="10"/>
  <c r="AB12" i="10"/>
  <c r="W11" i="10"/>
  <c r="T11" i="10"/>
  <c r="T10" i="10"/>
  <c r="AB9" i="10"/>
  <c r="U19" i="10"/>
  <c r="AD18" i="10"/>
  <c r="AD14" i="10"/>
  <c r="AD10" i="10"/>
  <c r="U7" i="10"/>
  <c r="AD17" i="10"/>
  <c r="AD13" i="10"/>
  <c r="X11" i="10"/>
  <c r="AD9" i="10"/>
  <c r="AR10" i="6"/>
  <c r="AR14" i="6"/>
  <c r="AR17" i="4"/>
  <c r="AR21" i="4"/>
  <c r="AR39" i="4"/>
  <c r="AR49" i="4"/>
  <c r="AR58" i="4"/>
  <c r="AF30" i="3"/>
  <c r="AF35" i="3"/>
  <c r="AF39" i="3"/>
  <c r="AF40" i="3"/>
  <c r="AF57" i="3"/>
  <c r="AF63" i="3"/>
  <c r="AF25" i="2"/>
  <c r="AF47" i="2"/>
  <c r="AF54" i="2"/>
  <c r="AF68" i="2"/>
  <c r="AE10" i="1"/>
  <c r="AE18" i="1"/>
  <c r="AE25" i="1"/>
  <c r="AE27" i="1"/>
  <c r="AE32" i="1"/>
  <c r="AE53" i="1"/>
  <c r="AE55" i="1"/>
  <c r="AE73" i="1"/>
  <c r="AE81" i="1"/>
  <c r="AE82" i="1"/>
  <c r="AE86" i="1"/>
  <c r="AE87" i="1"/>
  <c r="S215" i="10" l="1"/>
  <c r="U215" i="10"/>
  <c r="U128" i="10"/>
  <c r="Q81" i="10"/>
  <c r="Q173" i="10"/>
  <c r="Y42" i="5"/>
  <c r="AB92" i="5"/>
  <c r="X7" i="10"/>
  <c r="U11" i="10"/>
  <c r="S11" i="10"/>
  <c r="X18" i="10"/>
  <c r="S17" i="10"/>
  <c r="R32" i="10"/>
  <c r="S19" i="10"/>
  <c r="U28" i="10"/>
  <c r="X40" i="10"/>
  <c r="T50" i="10"/>
  <c r="S55" i="10"/>
  <c r="X74" i="10"/>
  <c r="W32" i="10"/>
  <c r="X104" i="10"/>
  <c r="X111" i="10"/>
  <c r="R119" i="10"/>
  <c r="X97" i="10"/>
  <c r="W116" i="10"/>
  <c r="X128" i="10"/>
  <c r="T144" i="10"/>
  <c r="W231" i="10"/>
  <c r="X231" i="10"/>
  <c r="T186" i="10"/>
  <c r="R149" i="10"/>
  <c r="S165" i="10"/>
  <c r="X182" i="10"/>
  <c r="U199" i="10"/>
  <c r="S199" i="10"/>
  <c r="X214" i="10"/>
  <c r="R242" i="10"/>
  <c r="T216" i="10"/>
  <c r="R215" i="10"/>
  <c r="W238" i="10"/>
  <c r="T238" i="10"/>
  <c r="AF16" i="5"/>
  <c r="AF28" i="5"/>
  <c r="AG35" i="5"/>
  <c r="Z3" i="5"/>
  <c r="AB71" i="5"/>
  <c r="AG91" i="5"/>
  <c r="Y55" i="5"/>
  <c r="AG106" i="5"/>
  <c r="T112" i="5"/>
  <c r="AB112" i="5" s="1"/>
  <c r="Z63" i="5"/>
  <c r="X46" i="5"/>
  <c r="Q71" i="10"/>
  <c r="Q88" i="10"/>
  <c r="AF31" i="5"/>
  <c r="Z71" i="5"/>
  <c r="Z55" i="5"/>
  <c r="AA63" i="5"/>
  <c r="X19" i="10"/>
  <c r="X28" i="10"/>
  <c r="S28" i="10"/>
  <c r="T100" i="10"/>
  <c r="X120" i="10"/>
  <c r="U105" i="10"/>
  <c r="W154" i="10"/>
  <c r="T97" i="10"/>
  <c r="S116" i="10"/>
  <c r="U178" i="10"/>
  <c r="W186" i="10"/>
  <c r="X165" i="10"/>
  <c r="R169" i="10"/>
  <c r="T182" i="10"/>
  <c r="R7" i="10"/>
  <c r="T169" i="10"/>
  <c r="S238" i="10"/>
  <c r="S242" i="10"/>
  <c r="X16" i="5"/>
  <c r="Y16" i="5" s="1"/>
  <c r="AG48" i="5"/>
  <c r="T67" i="5"/>
  <c r="AA67" i="5" s="1"/>
  <c r="AH56" i="5"/>
  <c r="T106" i="5"/>
  <c r="AG112" i="5"/>
  <c r="AG67" i="5"/>
  <c r="Q33" i="10"/>
  <c r="S119" i="10"/>
  <c r="R244" i="10"/>
  <c r="Q74" i="10"/>
  <c r="AF63" i="5"/>
  <c r="AB39" i="5"/>
  <c r="AD39" i="5"/>
  <c r="AA39" i="5"/>
  <c r="Y90" i="5"/>
  <c r="W169" i="10"/>
  <c r="U227" i="10"/>
  <c r="Z8" i="5"/>
  <c r="X56" i="5"/>
  <c r="AB56" i="5" s="1"/>
  <c r="AG43" i="5"/>
  <c r="AE71" i="5"/>
  <c r="T25" i="5"/>
  <c r="AB25" i="5" s="1"/>
  <c r="X43" i="5"/>
  <c r="Y43" i="5" s="1"/>
  <c r="AF56" i="5"/>
  <c r="AH109" i="5"/>
  <c r="Q84" i="10"/>
  <c r="Q132" i="10"/>
  <c r="S15" i="10"/>
  <c r="U27" i="10"/>
  <c r="U58" i="10"/>
  <c r="T55" i="10"/>
  <c r="X110" i="10"/>
  <c r="W105" i="10"/>
  <c r="T111" i="10"/>
  <c r="U90" i="10"/>
  <c r="S123" i="10"/>
  <c r="U123" i="10"/>
  <c r="W140" i="10"/>
  <c r="U169" i="10"/>
  <c r="X173" i="10"/>
  <c r="W233" i="10"/>
  <c r="U240" i="10"/>
  <c r="R216" i="10"/>
  <c r="X219" i="10"/>
  <c r="S169" i="10"/>
  <c r="S219" i="10"/>
  <c r="Y8" i="5"/>
  <c r="AC16" i="5"/>
  <c r="AG17" i="5"/>
  <c r="AF17" i="5"/>
  <c r="AI46" i="5"/>
  <c r="AG20" i="5"/>
  <c r="AF48" i="5"/>
  <c r="AF32" i="5"/>
  <c r="AB50" i="5"/>
  <c r="X57" i="5"/>
  <c r="Z100" i="5"/>
  <c r="T114" i="5"/>
  <c r="AA114" i="5" s="1"/>
  <c r="X109" i="5"/>
  <c r="AD109" i="5" s="1"/>
  <c r="AG57" i="5"/>
  <c r="T104" i="5"/>
  <c r="AA104" i="5" s="1"/>
  <c r="T36" i="10"/>
  <c r="R55" i="10"/>
  <c r="X119" i="10"/>
  <c r="S104" i="10"/>
  <c r="R111" i="10"/>
  <c r="X31" i="5"/>
  <c r="Z31" i="5" s="1"/>
  <c r="T78" i="10"/>
  <c r="S105" i="10"/>
  <c r="R140" i="10"/>
  <c r="R123" i="10"/>
  <c r="U140" i="10"/>
  <c r="T69" i="10"/>
  <c r="S173" i="10"/>
  <c r="T233" i="10"/>
  <c r="U219" i="10"/>
  <c r="AG31" i="5"/>
  <c r="AF25" i="5"/>
  <c r="Y95" i="5"/>
  <c r="AH73" i="5"/>
  <c r="X36" i="5"/>
  <c r="AH32" i="5"/>
  <c r="AC90" i="5"/>
  <c r="AG104" i="5"/>
  <c r="S96" i="10"/>
  <c r="R104" i="10"/>
  <c r="W96" i="10"/>
  <c r="Q97" i="10"/>
  <c r="Q182" i="10"/>
  <c r="AF55" i="5"/>
  <c r="AE50" i="5"/>
  <c r="AF5" i="5"/>
  <c r="AI27" i="5"/>
  <c r="AG32" i="5"/>
  <c r="Z61" i="5"/>
  <c r="AG70" i="5"/>
  <c r="AC50" i="5"/>
  <c r="AE116" i="5"/>
  <c r="AA50" i="5"/>
  <c r="AH12" i="5"/>
  <c r="AG12" i="5"/>
  <c r="AI5" i="5"/>
  <c r="AF23" i="5"/>
  <c r="AF12" i="5"/>
  <c r="AI78" i="5"/>
  <c r="T46" i="5"/>
  <c r="AA46" i="5" s="1"/>
  <c r="Y61" i="5"/>
  <c r="AG30" i="5"/>
  <c r="AG78" i="5"/>
  <c r="AA92" i="5"/>
  <c r="AG107" i="5"/>
  <c r="Z116" i="5"/>
  <c r="AI73" i="5"/>
  <c r="AG55" i="5"/>
  <c r="AG5" i="5"/>
  <c r="AA16" i="5"/>
  <c r="Y4" i="5"/>
  <c r="AI16" i="5"/>
  <c r="AF13" i="5"/>
  <c r="AF29" i="5"/>
  <c r="AG27" i="5"/>
  <c r="AG46" i="5"/>
  <c r="AB61" i="5"/>
  <c r="Z97" i="5"/>
  <c r="AB97" i="5"/>
  <c r="AG114" i="5"/>
  <c r="AF92" i="5"/>
  <c r="AG113" i="5"/>
  <c r="AG36" i="5"/>
  <c r="AI35" i="5"/>
  <c r="AD20" i="5"/>
  <c r="AA20" i="5"/>
  <c r="AD32" i="5"/>
  <c r="AA32" i="5"/>
  <c r="AD75" i="5"/>
  <c r="AA75" i="5"/>
  <c r="AD23" i="5"/>
  <c r="AA23" i="5"/>
  <c r="AD5" i="5"/>
  <c r="AA5" i="5"/>
  <c r="AD28" i="5"/>
  <c r="AA28" i="5"/>
  <c r="AD77" i="5"/>
  <c r="AA77" i="5"/>
  <c r="AD117" i="5"/>
  <c r="AE117" i="5" s="1"/>
  <c r="AA117" i="5"/>
  <c r="AC31" i="5"/>
  <c r="AD24" i="5"/>
  <c r="AA24" i="5"/>
  <c r="AD21" i="5"/>
  <c r="AA21" i="5"/>
  <c r="AD47" i="5"/>
  <c r="AA47" i="5"/>
  <c r="AD56" i="5"/>
  <c r="Y100" i="5"/>
  <c r="AG13" i="5"/>
  <c r="AF20" i="5"/>
  <c r="AD90" i="5"/>
  <c r="AA90" i="5"/>
  <c r="AD46" i="5"/>
  <c r="AD114" i="5"/>
  <c r="AF53" i="5"/>
  <c r="X53" i="5"/>
  <c r="AI75" i="5"/>
  <c r="AH53" i="5"/>
  <c r="AD11" i="5"/>
  <c r="AA11" i="5"/>
  <c r="AG16" i="5"/>
  <c r="AG15" i="5"/>
  <c r="T36" i="5"/>
  <c r="AC36" i="5" s="1"/>
  <c r="AD9" i="5"/>
  <c r="AA9" i="5"/>
  <c r="AD37" i="5"/>
  <c r="AA37" i="5"/>
  <c r="Z39" i="5"/>
  <c r="AD64" i="5"/>
  <c r="AA64" i="5"/>
  <c r="Z92" i="5"/>
  <c r="AI13" i="5"/>
  <c r="AI20" i="5"/>
  <c r="AG75" i="5"/>
  <c r="AD84" i="5"/>
  <c r="AA84" i="5"/>
  <c r="AC92" i="5"/>
  <c r="Z50" i="5"/>
  <c r="AG76" i="5"/>
  <c r="Y116" i="5"/>
  <c r="Z91" i="5"/>
  <c r="AA91" i="5"/>
  <c r="AF114" i="5"/>
  <c r="AH20" i="5"/>
  <c r="X35" i="5"/>
  <c r="AF35" i="5"/>
  <c r="AG53" i="5"/>
  <c r="T53" i="5"/>
  <c r="AI53" i="5"/>
  <c r="AD59" i="5"/>
  <c r="AA59" i="5"/>
  <c r="X78" i="5"/>
  <c r="Z78" i="5" s="1"/>
  <c r="AF78" i="5"/>
  <c r="AA61" i="5"/>
  <c r="AD61" i="5"/>
  <c r="AF27" i="5"/>
  <c r="X27" i="5"/>
  <c r="AA71" i="5"/>
  <c r="AA116" i="5"/>
  <c r="AH78" i="5"/>
  <c r="AG108" i="5"/>
  <c r="AD36" i="5"/>
  <c r="AD51" i="5"/>
  <c r="AA51" i="5"/>
  <c r="AD57" i="5"/>
  <c r="AA57" i="5"/>
  <c r="AD42" i="5"/>
  <c r="AA42" i="5"/>
  <c r="AD112" i="5"/>
  <c r="AA112" i="5"/>
  <c r="AG29" i="5"/>
  <c r="AI32" i="5"/>
  <c r="AD48" i="5"/>
  <c r="AA48" i="5"/>
  <c r="AD67" i="5"/>
  <c r="AF73" i="5"/>
  <c r="AH88" i="5"/>
  <c r="AD54" i="5"/>
  <c r="T73" i="5"/>
  <c r="Z73" i="5" s="1"/>
  <c r="AF75" i="5"/>
  <c r="AF111" i="5"/>
  <c r="AI103" i="5"/>
  <c r="AD73" i="5"/>
  <c r="AD122" i="5"/>
  <c r="AA122" i="5"/>
  <c r="AD15" i="5"/>
  <c r="AA15" i="5"/>
  <c r="X13" i="5"/>
  <c r="AH36" i="5"/>
  <c r="AD25" i="5"/>
  <c r="X29" i="5"/>
  <c r="AD19" i="5"/>
  <c r="AA19" i="5"/>
  <c r="Y40" i="5"/>
  <c r="AA40" i="5"/>
  <c r="AG60" i="5"/>
  <c r="AD17" i="5"/>
  <c r="AA17" i="5"/>
  <c r="Y39" i="5"/>
  <c r="Z42" i="5"/>
  <c r="AG92" i="5"/>
  <c r="AI58" i="5"/>
  <c r="AD101" i="5"/>
  <c r="AA101" i="5"/>
  <c r="AA43" i="5"/>
  <c r="AE63" i="5"/>
  <c r="AG62" i="5"/>
  <c r="AB101" i="5"/>
  <c r="AE101" i="5" s="1"/>
  <c r="AD104" i="5"/>
  <c r="AD106" i="5"/>
  <c r="AA106" i="5"/>
  <c r="AI92" i="5"/>
  <c r="AB42" i="5"/>
  <c r="AD108" i="5"/>
  <c r="AE108" i="5" s="1"/>
  <c r="AA108" i="5"/>
  <c r="AD3" i="5"/>
  <c r="AE3" i="5" s="1"/>
  <c r="AA3" i="5"/>
  <c r="X36" i="10"/>
  <c r="U59" i="10"/>
  <c r="W50" i="10"/>
  <c r="W59" i="10"/>
  <c r="T226" i="10"/>
  <c r="U209" i="10"/>
  <c r="R209" i="10"/>
  <c r="T40" i="10"/>
  <c r="S40" i="10"/>
  <c r="W18" i="10"/>
  <c r="R40" i="10"/>
  <c r="T9" i="10"/>
  <c r="U40" i="10"/>
  <c r="U50" i="10"/>
  <c r="S59" i="10"/>
  <c r="T114" i="10"/>
  <c r="T173" i="10"/>
  <c r="U173" i="10"/>
  <c r="W194" i="10"/>
  <c r="S18" i="10"/>
  <c r="U186" i="10"/>
  <c r="S186" i="10"/>
  <c r="X209" i="10"/>
  <c r="X226" i="10"/>
  <c r="W216" i="10"/>
  <c r="W226" i="10"/>
  <c r="T209" i="10"/>
  <c r="W211" i="10"/>
  <c r="X114" i="10"/>
  <c r="R18" i="10"/>
  <c r="S50" i="10"/>
  <c r="U18" i="10"/>
  <c r="S36" i="10"/>
  <c r="S9" i="10"/>
  <c r="W36" i="10"/>
  <c r="X50" i="10"/>
  <c r="R64" i="10"/>
  <c r="Q95" i="10"/>
  <c r="X105" i="10"/>
  <c r="Q159" i="10"/>
  <c r="W173" i="10"/>
  <c r="X216" i="10"/>
  <c r="X244" i="10"/>
  <c r="U211" i="10"/>
  <c r="U216" i="10"/>
  <c r="X186" i="10"/>
  <c r="X207" i="10"/>
  <c r="R226" i="10"/>
  <c r="S222" i="10"/>
  <c r="R79" i="10"/>
  <c r="Q163" i="10"/>
  <c r="Q41" i="10"/>
  <c r="Q62" i="10"/>
  <c r="Q77" i="10"/>
  <c r="Q93" i="10"/>
  <c r="Q226" i="10"/>
  <c r="U15" i="10"/>
  <c r="U64" i="10"/>
  <c r="S43" i="10"/>
  <c r="U43" i="10"/>
  <c r="R74" i="10"/>
  <c r="X124" i="10"/>
  <c r="S154" i="10"/>
  <c r="T128" i="10"/>
  <c r="X211" i="10"/>
  <c r="X230" i="10"/>
  <c r="U194" i="10"/>
  <c r="S194" i="10"/>
  <c r="T208" i="10"/>
  <c r="R211" i="10"/>
  <c r="R222" i="10"/>
  <c r="S211" i="10"/>
  <c r="T222" i="10"/>
  <c r="Q45" i="10"/>
  <c r="Q130" i="10"/>
  <c r="Q208" i="10"/>
  <c r="Q160" i="10"/>
  <c r="T123" i="10"/>
  <c r="X15" i="10"/>
  <c r="T15" i="10"/>
  <c r="X64" i="10"/>
  <c r="R43" i="10"/>
  <c r="U74" i="10"/>
  <c r="X154" i="10"/>
  <c r="W64" i="10"/>
  <c r="W128" i="10"/>
  <c r="X222" i="10"/>
  <c r="X194" i="10"/>
  <c r="X208" i="10"/>
  <c r="R82" i="10"/>
  <c r="U208" i="10"/>
  <c r="W230" i="10"/>
  <c r="W227" i="10"/>
  <c r="R154" i="10"/>
  <c r="Q197" i="10"/>
  <c r="W15" i="10"/>
  <c r="W74" i="10"/>
  <c r="R85" i="10"/>
  <c r="T77" i="10"/>
  <c r="S128" i="10"/>
  <c r="T194" i="10"/>
  <c r="U222" i="10"/>
  <c r="U230" i="10"/>
  <c r="R230" i="10"/>
  <c r="Q105" i="10"/>
  <c r="Q231" i="10"/>
  <c r="Q217" i="10"/>
  <c r="Q211" i="10"/>
  <c r="X129" i="10"/>
  <c r="X183" i="10"/>
  <c r="S120" i="10"/>
  <c r="U49" i="10"/>
  <c r="Q54" i="10"/>
  <c r="X52" i="10"/>
  <c r="X56" i="10"/>
  <c r="Q148" i="10"/>
  <c r="Q22" i="10"/>
  <c r="R39" i="10"/>
  <c r="X79" i="10"/>
  <c r="T79" i="10"/>
  <c r="W87" i="10"/>
  <c r="U231" i="10"/>
  <c r="W239" i="10"/>
  <c r="X58" i="10"/>
  <c r="X54" i="10"/>
  <c r="X77" i="10"/>
  <c r="U77" i="10"/>
  <c r="X69" i="10"/>
  <c r="Q10" i="10"/>
  <c r="U39" i="10"/>
  <c r="X9" i="10"/>
  <c r="U9" i="10"/>
  <c r="T39" i="10"/>
  <c r="X87" i="10"/>
  <c r="W79" i="10"/>
  <c r="T110" i="10"/>
  <c r="U78" i="10"/>
  <c r="S85" i="10"/>
  <c r="S87" i="10"/>
  <c r="Q131" i="10"/>
  <c r="S136" i="10"/>
  <c r="W77" i="10"/>
  <c r="W69" i="10"/>
  <c r="W217" i="10"/>
  <c r="T178" i="10"/>
  <c r="X233" i="10"/>
  <c r="U233" i="10"/>
  <c r="S226" i="10"/>
  <c r="S239" i="10"/>
  <c r="R227" i="10"/>
  <c r="W240" i="10"/>
  <c r="W210" i="10"/>
  <c r="U220" i="10"/>
  <c r="X85" i="10"/>
  <c r="Q12" i="10"/>
  <c r="R110" i="10"/>
  <c r="Q167" i="10"/>
  <c r="Q219" i="10"/>
  <c r="W244" i="10"/>
  <c r="R231" i="10"/>
  <c r="U87" i="10"/>
  <c r="W85" i="10"/>
  <c r="U69" i="10"/>
  <c r="X178" i="10"/>
  <c r="R239" i="10"/>
  <c r="X31" i="10"/>
  <c r="R58" i="10"/>
  <c r="U79" i="10"/>
  <c r="X78" i="10"/>
  <c r="U85" i="10"/>
  <c r="X136" i="10"/>
  <c r="W178" i="10"/>
  <c r="T217" i="10"/>
  <c r="T231" i="10"/>
  <c r="T244" i="10"/>
  <c r="R240" i="10"/>
  <c r="X227" i="10"/>
  <c r="T220" i="10"/>
  <c r="S78" i="10"/>
  <c r="S24" i="10"/>
  <c r="U35" i="10"/>
  <c r="R22" i="10"/>
  <c r="X91" i="10"/>
  <c r="U95" i="10"/>
  <c r="U99" i="10"/>
  <c r="U127" i="10"/>
  <c r="X143" i="10"/>
  <c r="Q103" i="10"/>
  <c r="X131" i="10"/>
  <c r="U148" i="10"/>
  <c r="X135" i="10"/>
  <c r="U153" i="10"/>
  <c r="X82" i="10"/>
  <c r="R207" i="10"/>
  <c r="X220" i="10"/>
  <c r="W43" i="10"/>
  <c r="T43" i="10"/>
  <c r="W100" i="10"/>
  <c r="R100" i="10"/>
  <c r="S100" i="10"/>
  <c r="W28" i="10"/>
  <c r="R28" i="10"/>
  <c r="W110" i="10"/>
  <c r="S110" i="10"/>
  <c r="S39" i="10"/>
  <c r="S31" i="10"/>
  <c r="R49" i="10"/>
  <c r="S113" i="10"/>
  <c r="X127" i="10"/>
  <c r="X148" i="10"/>
  <c r="X153" i="10"/>
  <c r="U207" i="10"/>
  <c r="T207" i="10"/>
  <c r="R143" i="10"/>
  <c r="S117" i="10"/>
  <c r="R139" i="10"/>
  <c r="S208" i="10"/>
  <c r="R208" i="10"/>
  <c r="Q192" i="10"/>
  <c r="U76" i="10"/>
  <c r="S82" i="10"/>
  <c r="U82" i="10"/>
  <c r="U117" i="10"/>
  <c r="S58" i="10"/>
  <c r="W58" i="10"/>
  <c r="AC20" i="5"/>
  <c r="Y20" i="5"/>
  <c r="AB20" i="5"/>
  <c r="Z20" i="5"/>
  <c r="AB5" i="5"/>
  <c r="AC5" i="5"/>
  <c r="Z5" i="5"/>
  <c r="Y5" i="5"/>
  <c r="AG2" i="5"/>
  <c r="AI2" i="5"/>
  <c r="T2" i="5"/>
  <c r="AC7" i="5"/>
  <c r="T38" i="5"/>
  <c r="AI38" i="5"/>
  <c r="AF44" i="5"/>
  <c r="X44" i="5"/>
  <c r="AH44" i="5"/>
  <c r="X68" i="5"/>
  <c r="Y68" i="5" s="1"/>
  <c r="AF68" i="5"/>
  <c r="AH68" i="5"/>
  <c r="T33" i="5"/>
  <c r="AI33" i="5"/>
  <c r="AG33" i="5"/>
  <c r="AI80" i="5"/>
  <c r="T80" i="5"/>
  <c r="AG80" i="5"/>
  <c r="Y32" i="5"/>
  <c r="AC112" i="5"/>
  <c r="Z112" i="5"/>
  <c r="AC60" i="5"/>
  <c r="AF45" i="5"/>
  <c r="X45" i="5"/>
  <c r="AH45" i="5"/>
  <c r="AF93" i="5"/>
  <c r="X93" i="5"/>
  <c r="AH93" i="5"/>
  <c r="T52" i="5"/>
  <c r="AI52" i="5"/>
  <c r="AG52" i="5"/>
  <c r="T81" i="5"/>
  <c r="AG81" i="5"/>
  <c r="AC99" i="5"/>
  <c r="X7" i="5"/>
  <c r="AF7" i="5"/>
  <c r="AF22" i="5"/>
  <c r="X22" i="5"/>
  <c r="AH22" i="5"/>
  <c r="AD4" i="5"/>
  <c r="AB4" i="5"/>
  <c r="AH7" i="5"/>
  <c r="Y19" i="5"/>
  <c r="Z19" i="5"/>
  <c r="AB19" i="5"/>
  <c r="AC19" i="5"/>
  <c r="AC28" i="5"/>
  <c r="Y28" i="5"/>
  <c r="Z28" i="5"/>
  <c r="AB28" i="5"/>
  <c r="AD16" i="5"/>
  <c r="AB16" i="5"/>
  <c r="Y23" i="5"/>
  <c r="Z23" i="5"/>
  <c r="AB23" i="5"/>
  <c r="AC23" i="5"/>
  <c r="AF26" i="5"/>
  <c r="AH26" i="5"/>
  <c r="X26" i="5"/>
  <c r="AF34" i="5"/>
  <c r="AH34" i="5"/>
  <c r="X34" i="5"/>
  <c r="AG38" i="5"/>
  <c r="AF11" i="5"/>
  <c r="AF41" i="5"/>
  <c r="AH41" i="5"/>
  <c r="X41" i="5"/>
  <c r="AG54" i="5"/>
  <c r="AH76" i="5"/>
  <c r="AF76" i="5"/>
  <c r="X76" i="5"/>
  <c r="Y76" i="5" s="1"/>
  <c r="Z16" i="5"/>
  <c r="AF79" i="5"/>
  <c r="X79" i="5"/>
  <c r="AB79" i="5" s="1"/>
  <c r="AH79" i="5"/>
  <c r="AF99" i="5"/>
  <c r="X99" i="5"/>
  <c r="AC43" i="5"/>
  <c r="AB64" i="5"/>
  <c r="AG7" i="5"/>
  <c r="AB11" i="5"/>
  <c r="AG58" i="5"/>
  <c r="X70" i="5"/>
  <c r="AH70" i="5"/>
  <c r="AC78" i="5"/>
  <c r="X119" i="5"/>
  <c r="Y119" i="5" s="1"/>
  <c r="AH119" i="5"/>
  <c r="T54" i="5"/>
  <c r="AA54" i="5" s="1"/>
  <c r="AI54" i="5"/>
  <c r="AI66" i="5"/>
  <c r="AB75" i="5"/>
  <c r="AC75" i="5"/>
  <c r="Z75" i="5"/>
  <c r="Y75" i="5"/>
  <c r="AI81" i="5"/>
  <c r="Y25" i="5"/>
  <c r="AF15" i="5"/>
  <c r="AF86" i="5"/>
  <c r="X86" i="5"/>
  <c r="AH86" i="5"/>
  <c r="AC113" i="5"/>
  <c r="AI45" i="5"/>
  <c r="T45" i="5"/>
  <c r="AG93" i="5"/>
  <c r="AI93" i="5"/>
  <c r="T93" i="5"/>
  <c r="X105" i="5"/>
  <c r="AH105" i="5"/>
  <c r="AF105" i="5"/>
  <c r="AH115" i="5"/>
  <c r="X115" i="5"/>
  <c r="AF115" i="5"/>
  <c r="X52" i="5"/>
  <c r="AH52" i="5"/>
  <c r="AF52" i="5"/>
  <c r="Y64" i="5"/>
  <c r="AF81" i="5"/>
  <c r="X81" i="5"/>
  <c r="AH81" i="5"/>
  <c r="AI113" i="5"/>
  <c r="Z101" i="5"/>
  <c r="AG103" i="5"/>
  <c r="AI118" i="5"/>
  <c r="AG118" i="5"/>
  <c r="T118" i="5"/>
  <c r="AB57" i="5"/>
  <c r="AE57" i="5" s="1"/>
  <c r="AC57" i="5"/>
  <c r="Y57" i="5"/>
  <c r="Z57" i="5"/>
  <c r="AG99" i="5"/>
  <c r="Z104" i="5"/>
  <c r="AB104" i="5"/>
  <c r="AE104" i="5" s="1"/>
  <c r="AF119" i="5"/>
  <c r="AG10" i="5"/>
  <c r="AI10" i="5"/>
  <c r="T10" i="5"/>
  <c r="AG6" i="5"/>
  <c r="AI6" i="5"/>
  <c r="T6" i="5"/>
  <c r="AB17" i="5"/>
  <c r="AC17" i="5"/>
  <c r="Z17" i="5"/>
  <c r="Y17" i="5"/>
  <c r="AG14" i="5"/>
  <c r="AI14" i="5"/>
  <c r="T14" i="5"/>
  <c r="AD12" i="5"/>
  <c r="AB12" i="5"/>
  <c r="AC47" i="5"/>
  <c r="Y47" i="5"/>
  <c r="AB47" i="5"/>
  <c r="AE47" i="5" s="1"/>
  <c r="Z47" i="5"/>
  <c r="AF94" i="5"/>
  <c r="X94" i="5"/>
  <c r="Y94" i="5" s="1"/>
  <c r="AI30" i="5"/>
  <c r="T30" i="5"/>
  <c r="AG18" i="5"/>
  <c r="AI18" i="5"/>
  <c r="T18" i="5"/>
  <c r="AG87" i="5"/>
  <c r="AI87" i="5"/>
  <c r="T87" i="5"/>
  <c r="AB106" i="5"/>
  <c r="AE106" i="5" s="1"/>
  <c r="Y106" i="5"/>
  <c r="AC106" i="5"/>
  <c r="Z106" i="5"/>
  <c r="T86" i="5"/>
  <c r="AG86" i="5"/>
  <c r="AI110" i="5"/>
  <c r="AG110" i="5"/>
  <c r="T110" i="5"/>
  <c r="AC105" i="5"/>
  <c r="AB9" i="5"/>
  <c r="AE9" i="5" s="1"/>
  <c r="AC9" i="5"/>
  <c r="Z9" i="5"/>
  <c r="Y9" i="5"/>
  <c r="T62" i="5"/>
  <c r="AI62" i="5"/>
  <c r="AD91" i="5"/>
  <c r="AB91" i="5"/>
  <c r="AF118" i="5"/>
  <c r="AH118" i="5"/>
  <c r="X118" i="5"/>
  <c r="AD100" i="5"/>
  <c r="AB100" i="5"/>
  <c r="Z109" i="5"/>
  <c r="Y12" i="5"/>
  <c r="AG22" i="5"/>
  <c r="T22" i="5"/>
  <c r="AI22" i="5"/>
  <c r="Z4" i="5"/>
  <c r="T26" i="5"/>
  <c r="AI26" i="5"/>
  <c r="T34" i="5"/>
  <c r="AI34" i="5"/>
  <c r="AH11" i="5"/>
  <c r="AG41" i="5"/>
  <c r="AI41" i="5"/>
  <c r="T41" i="5"/>
  <c r="AF49" i="5"/>
  <c r="AH49" i="5"/>
  <c r="X49" i="5"/>
  <c r="AH58" i="5"/>
  <c r="AF58" i="5"/>
  <c r="X58" i="5"/>
  <c r="AH66" i="5"/>
  <c r="AF66" i="5"/>
  <c r="X66" i="5"/>
  <c r="AC76" i="5"/>
  <c r="AC24" i="5"/>
  <c r="Y24" i="5"/>
  <c r="AB24" i="5"/>
  <c r="Z24" i="5"/>
  <c r="AG34" i="5"/>
  <c r="AF69" i="5"/>
  <c r="AH69" i="5"/>
  <c r="X69" i="5"/>
  <c r="AA69" i="5" s="1"/>
  <c r="AG69" i="5"/>
  <c r="AF83" i="5"/>
  <c r="X83" i="5"/>
  <c r="AA83" i="5" s="1"/>
  <c r="Z12" i="5"/>
  <c r="Z46" i="5"/>
  <c r="Z64" i="5"/>
  <c r="AG68" i="5"/>
  <c r="Y91" i="5"/>
  <c r="Z11" i="5"/>
  <c r="AB13" i="5"/>
  <c r="AC13" i="5"/>
  <c r="Z13" i="5"/>
  <c r="Y13" i="5"/>
  <c r="AG26" i="5"/>
  <c r="Y59" i="5"/>
  <c r="Z59" i="5"/>
  <c r="AB59" i="5"/>
  <c r="AE59" i="5" s="1"/>
  <c r="AC59" i="5"/>
  <c r="T70" i="5"/>
  <c r="AI70" i="5"/>
  <c r="AC79" i="5"/>
  <c r="AH103" i="5"/>
  <c r="X103" i="5"/>
  <c r="X111" i="5"/>
  <c r="Z111" i="5" s="1"/>
  <c r="AH111" i="5"/>
  <c r="AC119" i="5"/>
  <c r="AB48" i="5"/>
  <c r="AE48" i="5" s="1"/>
  <c r="AC48" i="5"/>
  <c r="Y48" i="5"/>
  <c r="Z48" i="5"/>
  <c r="AG66" i="5"/>
  <c r="AF70" i="5"/>
  <c r="AF82" i="5"/>
  <c r="X82" i="5"/>
  <c r="AH82" i="5"/>
  <c r="AI86" i="5"/>
  <c r="AI105" i="5"/>
  <c r="Z32" i="5"/>
  <c r="AF54" i="5"/>
  <c r="Y77" i="5"/>
  <c r="Z77" i="5"/>
  <c r="AB77" i="5"/>
  <c r="AE77" i="5" s="1"/>
  <c r="AC77" i="5"/>
  <c r="AB90" i="5"/>
  <c r="AF98" i="5"/>
  <c r="X98" i="5"/>
  <c r="AH98" i="5"/>
  <c r="AF103" i="5"/>
  <c r="AH15" i="5"/>
  <c r="AD95" i="5"/>
  <c r="AB95" i="5"/>
  <c r="AF102" i="5"/>
  <c r="AH102" i="5"/>
  <c r="X102" i="5"/>
  <c r="X113" i="5"/>
  <c r="AH113" i="5"/>
  <c r="AF113" i="5"/>
  <c r="AD97" i="5"/>
  <c r="Y97" i="5"/>
  <c r="AH107" i="5"/>
  <c r="X107" i="5"/>
  <c r="AF107" i="5"/>
  <c r="AI115" i="5"/>
  <c r="T115" i="5"/>
  <c r="Z117" i="5"/>
  <c r="T65" i="5"/>
  <c r="AG65" i="5"/>
  <c r="AI65" i="5"/>
  <c r="AI111" i="5"/>
  <c r="AI119" i="5"/>
  <c r="AC94" i="5"/>
  <c r="Y101" i="5"/>
  <c r="AH54" i="5"/>
  <c r="AF10" i="5"/>
  <c r="X10" i="5"/>
  <c r="AH10" i="5"/>
  <c r="Y15" i="5"/>
  <c r="Z15" i="5"/>
  <c r="AB15" i="5"/>
  <c r="AC15" i="5"/>
  <c r="AF2" i="5"/>
  <c r="X2" i="5"/>
  <c r="AH2" i="5"/>
  <c r="AF6" i="5"/>
  <c r="X6" i="5"/>
  <c r="AH6" i="5"/>
  <c r="AG11" i="5"/>
  <c r="AB21" i="5"/>
  <c r="AC21" i="5"/>
  <c r="Y21" i="5"/>
  <c r="Z21" i="5"/>
  <c r="AF14" i="5"/>
  <c r="X14" i="5"/>
  <c r="AH14" i="5"/>
  <c r="AB29" i="5"/>
  <c r="AC29" i="5"/>
  <c r="Z29" i="5"/>
  <c r="Y29" i="5"/>
  <c r="AD40" i="5"/>
  <c r="AB40" i="5"/>
  <c r="T49" i="5"/>
  <c r="AI49" i="5"/>
  <c r="AC58" i="5"/>
  <c r="AC66" i="5"/>
  <c r="Y66" i="5"/>
  <c r="AH38" i="5"/>
  <c r="X38" i="5"/>
  <c r="AF38" i="5"/>
  <c r="AI60" i="5"/>
  <c r="AF88" i="5"/>
  <c r="X88" i="5"/>
  <c r="AA88" i="5" s="1"/>
  <c r="T44" i="5"/>
  <c r="AI44" i="5"/>
  <c r="AG44" i="5"/>
  <c r="AC68" i="5"/>
  <c r="AG79" i="5"/>
  <c r="AD8" i="5"/>
  <c r="AB8" i="5"/>
  <c r="Y11" i="5"/>
  <c r="AF30" i="5"/>
  <c r="X30" i="5"/>
  <c r="AH30" i="5"/>
  <c r="AB37" i="5"/>
  <c r="AC37" i="5"/>
  <c r="Z37" i="5"/>
  <c r="Y37" i="5"/>
  <c r="AG49" i="5"/>
  <c r="AH83" i="5"/>
  <c r="AC103" i="5"/>
  <c r="AB111" i="5"/>
  <c r="AC111" i="5"/>
  <c r="AF18" i="5"/>
  <c r="X18" i="5"/>
  <c r="AH18" i="5"/>
  <c r="AF33" i="5"/>
  <c r="X33" i="5"/>
  <c r="AH33" i="5"/>
  <c r="Z67" i="5"/>
  <c r="X80" i="5"/>
  <c r="AF80" i="5"/>
  <c r="AG82" i="5"/>
  <c r="AI82" i="5"/>
  <c r="T82" i="5"/>
  <c r="AF87" i="5"/>
  <c r="X87" i="5"/>
  <c r="AH87" i="5"/>
  <c r="AB32" i="5"/>
  <c r="AE32" i="5" s="1"/>
  <c r="AI76" i="5"/>
  <c r="Z90" i="5"/>
  <c r="AG98" i="5"/>
  <c r="AI98" i="5"/>
  <c r="T98" i="5"/>
  <c r="Y122" i="5"/>
  <c r="AC122" i="5"/>
  <c r="Z122" i="5"/>
  <c r="AB122" i="5"/>
  <c r="AE122" i="5" s="1"/>
  <c r="X60" i="5"/>
  <c r="AF60" i="5"/>
  <c r="AH60" i="5"/>
  <c r="AD92" i="5"/>
  <c r="Y92" i="5"/>
  <c r="AI102" i="5"/>
  <c r="T102" i="5"/>
  <c r="AG102" i="5"/>
  <c r="AF110" i="5"/>
  <c r="AH110" i="5"/>
  <c r="X110" i="5"/>
  <c r="AC51" i="5"/>
  <c r="Y51" i="5"/>
  <c r="Z51" i="5"/>
  <c r="AB51" i="5"/>
  <c r="AI107" i="5"/>
  <c r="T107" i="5"/>
  <c r="Y117" i="5"/>
  <c r="X62" i="5"/>
  <c r="AH62" i="5"/>
  <c r="AF65" i="5"/>
  <c r="AH65" i="5"/>
  <c r="X65" i="5"/>
  <c r="AG111" i="5"/>
  <c r="AG119" i="5"/>
  <c r="AG94" i="5"/>
  <c r="AC84" i="5"/>
  <c r="Y84" i="5"/>
  <c r="Z84" i="5"/>
  <c r="AB84" i="5"/>
  <c r="Z95" i="5"/>
  <c r="U62" i="10"/>
  <c r="R62" i="10"/>
  <c r="S62" i="10"/>
  <c r="W62" i="10"/>
  <c r="T62" i="10"/>
  <c r="X62" i="10"/>
  <c r="T72" i="10"/>
  <c r="X72" i="10"/>
  <c r="U94" i="10"/>
  <c r="S94" i="10"/>
  <c r="W94" i="10"/>
  <c r="X94" i="10"/>
  <c r="T94" i="10"/>
  <c r="T108" i="10"/>
  <c r="W108" i="10"/>
  <c r="X108" i="10"/>
  <c r="S133" i="10"/>
  <c r="W133" i="10"/>
  <c r="T133" i="10"/>
  <c r="U133" i="10"/>
  <c r="S150" i="10"/>
  <c r="W150" i="10"/>
  <c r="T150" i="10"/>
  <c r="U150" i="10"/>
  <c r="T161" i="10"/>
  <c r="S161" i="10"/>
  <c r="U161" i="10"/>
  <c r="W161" i="10"/>
  <c r="R161" i="10"/>
  <c r="S125" i="10"/>
  <c r="W125" i="10"/>
  <c r="R125" i="10"/>
  <c r="X125" i="10"/>
  <c r="T125" i="10"/>
  <c r="U125" i="10"/>
  <c r="T164" i="10"/>
  <c r="S164" i="10"/>
  <c r="W164" i="10"/>
  <c r="T177" i="10"/>
  <c r="W177" i="10"/>
  <c r="T185" i="10"/>
  <c r="S185" i="10"/>
  <c r="W185" i="10"/>
  <c r="T193" i="10"/>
  <c r="W193" i="10"/>
  <c r="T203" i="10"/>
  <c r="W203" i="10"/>
  <c r="U203" i="10"/>
  <c r="U163" i="10"/>
  <c r="R163" i="10"/>
  <c r="S163" i="10"/>
  <c r="W163" i="10"/>
  <c r="T163" i="10"/>
  <c r="X163" i="10"/>
  <c r="U197" i="10"/>
  <c r="R197" i="10"/>
  <c r="S197" i="10"/>
  <c r="W197" i="10"/>
  <c r="T197" i="10"/>
  <c r="X197" i="10"/>
  <c r="U198" i="10"/>
  <c r="S201" i="10"/>
  <c r="W201" i="10"/>
  <c r="T201" i="10"/>
  <c r="U201" i="10"/>
  <c r="U184" i="10"/>
  <c r="R184" i="10"/>
  <c r="S184" i="10"/>
  <c r="W184" i="10"/>
  <c r="T184" i="10"/>
  <c r="X184" i="10"/>
  <c r="X189" i="10"/>
  <c r="S196" i="10"/>
  <c r="W196" i="10"/>
  <c r="T196" i="10"/>
  <c r="U196" i="10"/>
  <c r="U192" i="10"/>
  <c r="R192" i="10"/>
  <c r="S192" i="10"/>
  <c r="W192" i="10"/>
  <c r="T192" i="10"/>
  <c r="X192" i="10"/>
  <c r="U30" i="10"/>
  <c r="W30" i="10"/>
  <c r="T30" i="10"/>
  <c r="X30" i="10"/>
  <c r="S30" i="10"/>
  <c r="S75" i="10"/>
  <c r="X75" i="10"/>
  <c r="T75" i="10"/>
  <c r="U75" i="10"/>
  <c r="W75" i="10"/>
  <c r="R48" i="10"/>
  <c r="S48" i="10"/>
  <c r="W48" i="10"/>
  <c r="X48" i="10"/>
  <c r="T48" i="10"/>
  <c r="R68" i="10"/>
  <c r="S68" i="10"/>
  <c r="W68" i="10"/>
  <c r="T68" i="10"/>
  <c r="U68" i="10"/>
  <c r="T103" i="10"/>
  <c r="W103" i="10"/>
  <c r="X103" i="10"/>
  <c r="S122" i="10"/>
  <c r="X122" i="10"/>
  <c r="T122" i="10"/>
  <c r="U122" i="10"/>
  <c r="W122" i="10"/>
  <c r="S45" i="10"/>
  <c r="W45" i="10"/>
  <c r="R45" i="10"/>
  <c r="X45" i="10"/>
  <c r="T45" i="10"/>
  <c r="U45" i="10"/>
  <c r="Q78" i="10"/>
  <c r="R88" i="10"/>
  <c r="S88" i="10"/>
  <c r="W88" i="10"/>
  <c r="T88" i="10"/>
  <c r="X88" i="10"/>
  <c r="U88" i="10"/>
  <c r="S98" i="10"/>
  <c r="W98" i="10"/>
  <c r="X98" i="10"/>
  <c r="T98" i="10"/>
  <c r="U98" i="10"/>
  <c r="S106" i="10"/>
  <c r="W106" i="10"/>
  <c r="X106" i="10"/>
  <c r="T106" i="10"/>
  <c r="U106" i="10"/>
  <c r="T124" i="10"/>
  <c r="U124" i="10"/>
  <c r="R124" i="10"/>
  <c r="W124" i="10"/>
  <c r="U142" i="10"/>
  <c r="R142" i="10"/>
  <c r="S142" i="10"/>
  <c r="W142" i="10"/>
  <c r="T142" i="10"/>
  <c r="X142" i="10"/>
  <c r="S103" i="10"/>
  <c r="S137" i="10"/>
  <c r="W137" i="10"/>
  <c r="T137" i="10"/>
  <c r="U137" i="10"/>
  <c r="U146" i="10"/>
  <c r="R146" i="10"/>
  <c r="S146" i="10"/>
  <c r="W146" i="10"/>
  <c r="T146" i="10"/>
  <c r="X146" i="10"/>
  <c r="R159" i="10"/>
  <c r="R108" i="10"/>
  <c r="R133" i="10"/>
  <c r="U152" i="10"/>
  <c r="R152" i="10"/>
  <c r="S152" i="10"/>
  <c r="W152" i="10"/>
  <c r="X152" i="10"/>
  <c r="T152" i="10"/>
  <c r="X164" i="10"/>
  <c r="U138" i="10"/>
  <c r="R138" i="10"/>
  <c r="S138" i="10"/>
  <c r="W138" i="10"/>
  <c r="X138" i="10"/>
  <c r="T138" i="10"/>
  <c r="X185" i="10"/>
  <c r="R201" i="10"/>
  <c r="S206" i="10"/>
  <c r="W206" i="10"/>
  <c r="U206" i="10"/>
  <c r="R206" i="10"/>
  <c r="T206" i="10"/>
  <c r="X206" i="10"/>
  <c r="R177" i="10"/>
  <c r="S159" i="10"/>
  <c r="U171" i="10"/>
  <c r="R171" i="10"/>
  <c r="S171" i="10"/>
  <c r="W171" i="10"/>
  <c r="X171" i="10"/>
  <c r="T171" i="10"/>
  <c r="S177" i="10"/>
  <c r="S203" i="10"/>
  <c r="T86" i="10"/>
  <c r="S86" i="10"/>
  <c r="W86" i="10"/>
  <c r="X86" i="10"/>
  <c r="R84" i="10"/>
  <c r="S84" i="10"/>
  <c r="W84" i="10"/>
  <c r="T84" i="10"/>
  <c r="X84" i="10"/>
  <c r="U84" i="10"/>
  <c r="T172" i="10"/>
  <c r="S172" i="10"/>
  <c r="W172" i="10"/>
  <c r="T181" i="10"/>
  <c r="S181" i="10"/>
  <c r="W181" i="10"/>
  <c r="T198" i="10"/>
  <c r="S198" i="10"/>
  <c r="W198" i="10"/>
  <c r="U164" i="10"/>
  <c r="U167" i="10"/>
  <c r="R167" i="10"/>
  <c r="S167" i="10"/>
  <c r="W167" i="10"/>
  <c r="T167" i="10"/>
  <c r="X167" i="10"/>
  <c r="X193" i="10"/>
  <c r="T22" i="10"/>
  <c r="W22" i="10"/>
  <c r="T31" i="10"/>
  <c r="R31" i="10"/>
  <c r="W31" i="10"/>
  <c r="X35" i="10"/>
  <c r="S35" i="10"/>
  <c r="T35" i="10"/>
  <c r="W35" i="10"/>
  <c r="S41" i="10"/>
  <c r="W41" i="10"/>
  <c r="U41" i="10"/>
  <c r="R41" i="10"/>
  <c r="X41" i="10"/>
  <c r="T41" i="10"/>
  <c r="T46" i="10"/>
  <c r="U46" i="10"/>
  <c r="W46" i="10"/>
  <c r="S46" i="10"/>
  <c r="X46" i="10"/>
  <c r="U48" i="10"/>
  <c r="R47" i="10"/>
  <c r="S47" i="10"/>
  <c r="W47" i="10"/>
  <c r="T47" i="10"/>
  <c r="X47" i="10"/>
  <c r="U47" i="10"/>
  <c r="T95" i="10"/>
  <c r="S95" i="10"/>
  <c r="W95" i="10"/>
  <c r="R80" i="10"/>
  <c r="S80" i="10"/>
  <c r="W80" i="10"/>
  <c r="T80" i="10"/>
  <c r="U80" i="10"/>
  <c r="R53" i="10"/>
  <c r="S53" i="10"/>
  <c r="W53" i="10"/>
  <c r="X53" i="10"/>
  <c r="T53" i="10"/>
  <c r="R94" i="10"/>
  <c r="X95" i="10"/>
  <c r="X150" i="10"/>
  <c r="S72" i="10"/>
  <c r="U180" i="10"/>
  <c r="R180" i="10"/>
  <c r="S180" i="10"/>
  <c r="W180" i="10"/>
  <c r="T180" i="10"/>
  <c r="X180" i="10"/>
  <c r="U181" i="10"/>
  <c r="R196" i="10"/>
  <c r="S145" i="10"/>
  <c r="W145" i="10"/>
  <c r="T145" i="10"/>
  <c r="U145" i="10"/>
  <c r="S191" i="10"/>
  <c r="W191" i="10"/>
  <c r="T191" i="10"/>
  <c r="U191" i="10"/>
  <c r="R203" i="10"/>
  <c r="S129" i="10"/>
  <c r="W129" i="10"/>
  <c r="T129" i="10"/>
  <c r="U129" i="10"/>
  <c r="S166" i="10"/>
  <c r="W166" i="10"/>
  <c r="T166" i="10"/>
  <c r="U166" i="10"/>
  <c r="U177" i="10"/>
  <c r="R193" i="10"/>
  <c r="X172" i="10"/>
  <c r="S179" i="10"/>
  <c r="W179" i="10"/>
  <c r="T179" i="10"/>
  <c r="U179" i="10"/>
  <c r="Q117" i="10"/>
  <c r="S160" i="10"/>
  <c r="W160" i="10"/>
  <c r="R160" i="10"/>
  <c r="T160" i="10"/>
  <c r="X160" i="10"/>
  <c r="R191" i="10"/>
  <c r="S193" i="10"/>
  <c r="U13" i="10"/>
  <c r="R13" i="10"/>
  <c r="S13" i="10"/>
  <c r="W13" i="10"/>
  <c r="X13" i="10"/>
  <c r="T13" i="10"/>
  <c r="T44" i="10"/>
  <c r="U44" i="10"/>
  <c r="W44" i="10"/>
  <c r="R44" i="10"/>
  <c r="S38" i="10"/>
  <c r="W38" i="10"/>
  <c r="U38" i="10"/>
  <c r="X38" i="10"/>
  <c r="T38" i="10"/>
  <c r="S141" i="10"/>
  <c r="W141" i="10"/>
  <c r="T141" i="10"/>
  <c r="U141" i="10"/>
  <c r="T168" i="10"/>
  <c r="S168" i="10"/>
  <c r="W168" i="10"/>
  <c r="T189" i="10"/>
  <c r="W189" i="10"/>
  <c r="S189" i="10"/>
  <c r="T159" i="10"/>
  <c r="W159" i="10"/>
  <c r="U159" i="10"/>
  <c r="S187" i="10"/>
  <c r="W187" i="10"/>
  <c r="T187" i="10"/>
  <c r="U187" i="10"/>
  <c r="U168" i="10"/>
  <c r="U185" i="10"/>
  <c r="R172" i="10"/>
  <c r="S25" i="10"/>
  <c r="W25" i="10"/>
  <c r="R25" i="10"/>
  <c r="X25" i="10"/>
  <c r="T25" i="10"/>
  <c r="U25" i="10"/>
  <c r="S71" i="10"/>
  <c r="T71" i="10"/>
  <c r="R71" i="10"/>
  <c r="X71" i="10"/>
  <c r="U22" i="10"/>
  <c r="R75" i="10"/>
  <c r="R20" i="10"/>
  <c r="S20" i="10"/>
  <c r="W20" i="10"/>
  <c r="T20" i="10"/>
  <c r="U20" i="10"/>
  <c r="T24" i="10"/>
  <c r="U24" i="10"/>
  <c r="W24" i="10"/>
  <c r="R24" i="10"/>
  <c r="S42" i="10"/>
  <c r="X42" i="10"/>
  <c r="T42" i="10"/>
  <c r="U42" i="10"/>
  <c r="W42" i="10"/>
  <c r="S22" i="10"/>
  <c r="R57" i="10"/>
  <c r="S57" i="10"/>
  <c r="W57" i="10"/>
  <c r="T57" i="10"/>
  <c r="X57" i="10"/>
  <c r="T70" i="10"/>
  <c r="S70" i="10"/>
  <c r="S33" i="10"/>
  <c r="W33" i="10"/>
  <c r="T33" i="10"/>
  <c r="X33" i="10"/>
  <c r="R33" i="10"/>
  <c r="U33" i="10"/>
  <c r="S52" i="10"/>
  <c r="W52" i="10"/>
  <c r="T52" i="10"/>
  <c r="U52" i="10"/>
  <c r="X70" i="10"/>
  <c r="T76" i="10"/>
  <c r="R76" i="10"/>
  <c r="W76" i="10"/>
  <c r="U57" i="10"/>
  <c r="R86" i="10"/>
  <c r="T99" i="10"/>
  <c r="W99" i="10"/>
  <c r="X99" i="10"/>
  <c r="R122" i="10"/>
  <c r="X133" i="10"/>
  <c r="U108" i="10"/>
  <c r="X161" i="10"/>
  <c r="X20" i="10"/>
  <c r="R12" i="10"/>
  <c r="S12" i="10"/>
  <c r="W12" i="10"/>
  <c r="T12" i="10"/>
  <c r="U12" i="10"/>
  <c r="R30" i="10"/>
  <c r="R16" i="10"/>
  <c r="S16" i="10"/>
  <c r="W16" i="10"/>
  <c r="T16" i="10"/>
  <c r="U16" i="10"/>
  <c r="S44" i="10"/>
  <c r="R8" i="10"/>
  <c r="S8" i="10"/>
  <c r="W8" i="10"/>
  <c r="T8" i="10"/>
  <c r="U8" i="10"/>
  <c r="T49" i="10"/>
  <c r="S49" i="10"/>
  <c r="W49" i="10"/>
  <c r="T54" i="10"/>
  <c r="W54" i="10"/>
  <c r="S54" i="10"/>
  <c r="Q14" i="10"/>
  <c r="R72" i="10"/>
  <c r="S34" i="10"/>
  <c r="W34" i="10"/>
  <c r="U34" i="10"/>
  <c r="X34" i="10"/>
  <c r="T34" i="10"/>
  <c r="T73" i="10"/>
  <c r="R73" i="10"/>
  <c r="W73" i="10"/>
  <c r="S73" i="10"/>
  <c r="U73" i="10"/>
  <c r="S37" i="10"/>
  <c r="W37" i="10"/>
  <c r="T37" i="10"/>
  <c r="X37" i="10"/>
  <c r="R37" i="10"/>
  <c r="U37" i="10"/>
  <c r="S56" i="10"/>
  <c r="W56" i="10"/>
  <c r="T56" i="10"/>
  <c r="U56" i="10"/>
  <c r="R61" i="10"/>
  <c r="S61" i="10"/>
  <c r="W61" i="10"/>
  <c r="T61" i="10"/>
  <c r="U61" i="10"/>
  <c r="T91" i="10"/>
  <c r="S91" i="10"/>
  <c r="W91" i="10"/>
  <c r="T26" i="10"/>
  <c r="U26" i="10"/>
  <c r="X26" i="10"/>
  <c r="S26" i="10"/>
  <c r="W26" i="10"/>
  <c r="U54" i="10"/>
  <c r="U81" i="10"/>
  <c r="R81" i="10"/>
  <c r="S81" i="10"/>
  <c r="W81" i="10"/>
  <c r="X81" i="10"/>
  <c r="T81" i="10"/>
  <c r="U86" i="10"/>
  <c r="Q91" i="10"/>
  <c r="R98" i="10"/>
  <c r="T113" i="10"/>
  <c r="W113" i="10"/>
  <c r="X113" i="10"/>
  <c r="R91" i="10"/>
  <c r="W117" i="10"/>
  <c r="T117" i="10"/>
  <c r="S29" i="10"/>
  <c r="W29" i="10"/>
  <c r="R29" i="10"/>
  <c r="X29" i="10"/>
  <c r="T29" i="10"/>
  <c r="U29" i="10"/>
  <c r="X76" i="10"/>
  <c r="S102" i="10"/>
  <c r="W102" i="10"/>
  <c r="X102" i="10"/>
  <c r="T102" i="10"/>
  <c r="U102" i="10"/>
  <c r="S112" i="10"/>
  <c r="W112" i="10"/>
  <c r="X112" i="10"/>
  <c r="T112" i="10"/>
  <c r="U112" i="10"/>
  <c r="S121" i="10"/>
  <c r="W121" i="10"/>
  <c r="U121" i="10"/>
  <c r="R121" i="10"/>
  <c r="X121" i="10"/>
  <c r="T121" i="10"/>
  <c r="T127" i="10"/>
  <c r="S127" i="10"/>
  <c r="W127" i="10"/>
  <c r="T131" i="10"/>
  <c r="S131" i="10"/>
  <c r="W131" i="10"/>
  <c r="T135" i="10"/>
  <c r="S135" i="10"/>
  <c r="W135" i="10"/>
  <c r="T139" i="10"/>
  <c r="W139" i="10"/>
  <c r="T143" i="10"/>
  <c r="S143" i="10"/>
  <c r="W143" i="10"/>
  <c r="T148" i="10"/>
  <c r="S148" i="10"/>
  <c r="W148" i="10"/>
  <c r="T153" i="10"/>
  <c r="S153" i="10"/>
  <c r="W153" i="10"/>
  <c r="R93" i="10"/>
  <c r="S93" i="10"/>
  <c r="W93" i="10"/>
  <c r="T93" i="10"/>
  <c r="X93" i="10"/>
  <c r="U93" i="10"/>
  <c r="R99" i="10"/>
  <c r="R113" i="10"/>
  <c r="R141" i="10"/>
  <c r="R103" i="10"/>
  <c r="U130" i="10"/>
  <c r="R130" i="10"/>
  <c r="S130" i="10"/>
  <c r="W130" i="10"/>
  <c r="T130" i="10"/>
  <c r="X130" i="10"/>
  <c r="U131" i="10"/>
  <c r="R145" i="10"/>
  <c r="S157" i="10"/>
  <c r="W157" i="10"/>
  <c r="T157" i="10"/>
  <c r="U157" i="10"/>
  <c r="S108" i="10"/>
  <c r="U134" i="10"/>
  <c r="R134" i="10"/>
  <c r="S134" i="10"/>
  <c r="W134" i="10"/>
  <c r="X134" i="10"/>
  <c r="T134" i="10"/>
  <c r="U135" i="10"/>
  <c r="R150" i="10"/>
  <c r="X166" i="10"/>
  <c r="X179" i="10"/>
  <c r="X187" i="10"/>
  <c r="X191" i="10"/>
  <c r="X196" i="10"/>
  <c r="X201" i="10"/>
  <c r="T126" i="10"/>
  <c r="U126" i="10"/>
  <c r="W126" i="10"/>
  <c r="S126" i="10"/>
  <c r="X126" i="10"/>
  <c r="R164" i="10"/>
  <c r="S170" i="10"/>
  <c r="W170" i="10"/>
  <c r="T170" i="10"/>
  <c r="U170" i="10"/>
  <c r="X181" i="10"/>
  <c r="R198" i="10"/>
  <c r="U158" i="10"/>
  <c r="S158" i="10"/>
  <c r="W158" i="10"/>
  <c r="T158" i="10"/>
  <c r="X158" i="10"/>
  <c r="R158" i="10"/>
  <c r="R157" i="10"/>
  <c r="R168" i="10"/>
  <c r="S174" i="10"/>
  <c r="W174" i="10"/>
  <c r="T174" i="10"/>
  <c r="U174" i="10"/>
  <c r="R185" i="10"/>
  <c r="U202" i="10"/>
  <c r="R202" i="10"/>
  <c r="S202" i="10"/>
  <c r="W202" i="10"/>
  <c r="T202" i="10"/>
  <c r="X202" i="10"/>
  <c r="X203" i="10"/>
  <c r="W27" i="10"/>
  <c r="T27" i="10"/>
  <c r="R137" i="10"/>
  <c r="R174" i="10"/>
  <c r="X177" i="10"/>
  <c r="S183" i="10"/>
  <c r="W183" i="10"/>
  <c r="T183" i="10"/>
  <c r="U183" i="10"/>
  <c r="U193" i="10"/>
  <c r="Q82" i="10"/>
  <c r="S139" i="10"/>
  <c r="R170" i="10"/>
  <c r="U188" i="10"/>
  <c r="R188" i="10"/>
  <c r="S188" i="10"/>
  <c r="W188" i="10"/>
  <c r="X188" i="10"/>
  <c r="T188" i="10"/>
  <c r="U189" i="10"/>
  <c r="S21" i="10"/>
  <c r="W21" i="10"/>
  <c r="U21" i="10"/>
  <c r="T21" i="10"/>
  <c r="X21" i="10"/>
  <c r="R21" i="10"/>
  <c r="X117" i="10"/>
  <c r="Q139" i="10"/>
  <c r="X139" i="10"/>
  <c r="U176" i="10"/>
  <c r="R176" i="10"/>
  <c r="S176" i="10"/>
  <c r="W176" i="10"/>
  <c r="T176" i="10"/>
  <c r="X176" i="10"/>
  <c r="AC85" i="1"/>
  <c r="AB85" i="1"/>
  <c r="R85" i="1"/>
  <c r="P85" i="1"/>
  <c r="O85" i="1"/>
  <c r="N85" i="1"/>
  <c r="AC84" i="1"/>
  <c r="AB84" i="1"/>
  <c r="R84" i="1"/>
  <c r="P84" i="1"/>
  <c r="O84" i="1"/>
  <c r="N84" i="1"/>
  <c r="AC83" i="1"/>
  <c r="AB83" i="1"/>
  <c r="R83" i="1"/>
  <c r="P83" i="1"/>
  <c r="O83" i="1"/>
  <c r="N83" i="1"/>
  <c r="AE92" i="5" l="1"/>
  <c r="Z114" i="5"/>
  <c r="AB68" i="5"/>
  <c r="AC114" i="5"/>
  <c r="AB67" i="5"/>
  <c r="AE67" i="5" s="1"/>
  <c r="Y111" i="5"/>
  <c r="Z76" i="5"/>
  <c r="AC104" i="5"/>
  <c r="Z25" i="5"/>
  <c r="Y112" i="5"/>
  <c r="Y67" i="5"/>
  <c r="Y114" i="5"/>
  <c r="AC67" i="5"/>
  <c r="AB36" i="5"/>
  <c r="AE36" i="5" s="1"/>
  <c r="Y104" i="5"/>
  <c r="AC25" i="5"/>
  <c r="AE19" i="5"/>
  <c r="AA25" i="5"/>
  <c r="AE56" i="5"/>
  <c r="Y56" i="5"/>
  <c r="AB94" i="5"/>
  <c r="Y78" i="5"/>
  <c r="AB43" i="5"/>
  <c r="AE43" i="5" s="1"/>
  <c r="AE20" i="5"/>
  <c r="AA31" i="5"/>
  <c r="AD43" i="5"/>
  <c r="AE61" i="5"/>
  <c r="AB31" i="5"/>
  <c r="AB114" i="5"/>
  <c r="AE114" i="5" s="1"/>
  <c r="Z94" i="5"/>
  <c r="Y79" i="5"/>
  <c r="AE12" i="5"/>
  <c r="Z56" i="5"/>
  <c r="Z43" i="5"/>
  <c r="AD31" i="5"/>
  <c r="AA109" i="5"/>
  <c r="AB109" i="5"/>
  <c r="AC73" i="5"/>
  <c r="Y109" i="5"/>
  <c r="AE75" i="5"/>
  <c r="AE5" i="5"/>
  <c r="Y31" i="5"/>
  <c r="AA56" i="5"/>
  <c r="AE39" i="5"/>
  <c r="AG84" i="1"/>
  <c r="AA73" i="5"/>
  <c r="Y73" i="5"/>
  <c r="Z36" i="5"/>
  <c r="AE11" i="5"/>
  <c r="AE51" i="5"/>
  <c r="AB73" i="5"/>
  <c r="AE73" i="5" s="1"/>
  <c r="AE15" i="5"/>
  <c r="AE97" i="5"/>
  <c r="AC46" i="5"/>
  <c r="Y36" i="5"/>
  <c r="AB78" i="5"/>
  <c r="AE23" i="5"/>
  <c r="AE42" i="5"/>
  <c r="AA36" i="5"/>
  <c r="AE37" i="5"/>
  <c r="AE21" i="5"/>
  <c r="Y46" i="5"/>
  <c r="AB46" i="5"/>
  <c r="AE46" i="5" s="1"/>
  <c r="AE100" i="5"/>
  <c r="AE64" i="5"/>
  <c r="AE28" i="5"/>
  <c r="AD10" i="5"/>
  <c r="AA10" i="5"/>
  <c r="AD102" i="5"/>
  <c r="AA102" i="5"/>
  <c r="AD98" i="5"/>
  <c r="AA98" i="5"/>
  <c r="AD82" i="5"/>
  <c r="AA82" i="5"/>
  <c r="AD103" i="5"/>
  <c r="AA103" i="5"/>
  <c r="AD58" i="5"/>
  <c r="AA58" i="5"/>
  <c r="AD7" i="5"/>
  <c r="AA7" i="5"/>
  <c r="AD80" i="5"/>
  <c r="AA80" i="5"/>
  <c r="AD66" i="5"/>
  <c r="AA66" i="5"/>
  <c r="AE17" i="5"/>
  <c r="AD115" i="5"/>
  <c r="AA115" i="5"/>
  <c r="AD105" i="5"/>
  <c r="AA105" i="5"/>
  <c r="AE25" i="5"/>
  <c r="AD70" i="5"/>
  <c r="AA70" i="5"/>
  <c r="AD79" i="5"/>
  <c r="AE79" i="5" s="1"/>
  <c r="AA79" i="5"/>
  <c r="AD34" i="5"/>
  <c r="AA34" i="5"/>
  <c r="AD22" i="5"/>
  <c r="AA22" i="5"/>
  <c r="AD93" i="5"/>
  <c r="AA93" i="5"/>
  <c r="AD53" i="5"/>
  <c r="AA53" i="5"/>
  <c r="AD45" i="5"/>
  <c r="AA45" i="5"/>
  <c r="AD2" i="5"/>
  <c r="AA2" i="5"/>
  <c r="AD18" i="5"/>
  <c r="AA18" i="5"/>
  <c r="AD38" i="5"/>
  <c r="AA38" i="5"/>
  <c r="AB66" i="5"/>
  <c r="AE66" i="5" s="1"/>
  <c r="AD14" i="5"/>
  <c r="AA14" i="5"/>
  <c r="AD6" i="5"/>
  <c r="AA6" i="5"/>
  <c r="AE90" i="5"/>
  <c r="AE24" i="5"/>
  <c r="AD118" i="5"/>
  <c r="AA118" i="5"/>
  <c r="AD81" i="5"/>
  <c r="AA81" i="5"/>
  <c r="AD86" i="5"/>
  <c r="AA86" i="5"/>
  <c r="AD99" i="5"/>
  <c r="AA99" i="5"/>
  <c r="Z99" i="5"/>
  <c r="AD44" i="5"/>
  <c r="AA44" i="5"/>
  <c r="AD29" i="5"/>
  <c r="AA29" i="5"/>
  <c r="AD13" i="5"/>
  <c r="AE13" i="5" s="1"/>
  <c r="AA13" i="5"/>
  <c r="AD27" i="5"/>
  <c r="AA27" i="5"/>
  <c r="Y27" i="5"/>
  <c r="AB27" i="5"/>
  <c r="Z27" i="5"/>
  <c r="AD35" i="5"/>
  <c r="AA35" i="5"/>
  <c r="AB35" i="5"/>
  <c r="Y35" i="5"/>
  <c r="Z35" i="5"/>
  <c r="AD60" i="5"/>
  <c r="AA60" i="5"/>
  <c r="AE29" i="5"/>
  <c r="AD76" i="5"/>
  <c r="AA76" i="5"/>
  <c r="AD41" i="5"/>
  <c r="AA41" i="5"/>
  <c r="AD26" i="5"/>
  <c r="AA26" i="5"/>
  <c r="AD68" i="5"/>
  <c r="AE68" i="5" s="1"/>
  <c r="AA68" i="5"/>
  <c r="AE109" i="5"/>
  <c r="Z103" i="5"/>
  <c r="AD30" i="5"/>
  <c r="AA30" i="5"/>
  <c r="AD107" i="5"/>
  <c r="AA107" i="5"/>
  <c r="AD65" i="5"/>
  <c r="AA65" i="5"/>
  <c r="AD62" i="5"/>
  <c r="AA62" i="5"/>
  <c r="AD110" i="5"/>
  <c r="AA110" i="5"/>
  <c r="AE84" i="5"/>
  <c r="AD87" i="5"/>
  <c r="AA87" i="5"/>
  <c r="AD33" i="5"/>
  <c r="AA33" i="5"/>
  <c r="Z68" i="5"/>
  <c r="Z66" i="5"/>
  <c r="AD113" i="5"/>
  <c r="AA113" i="5"/>
  <c r="AD111" i="5"/>
  <c r="AE111" i="5" s="1"/>
  <c r="AA111" i="5"/>
  <c r="Z79" i="5"/>
  <c r="AB76" i="5"/>
  <c r="AE76" i="5" s="1"/>
  <c r="AD49" i="5"/>
  <c r="AA49" i="5"/>
  <c r="AD94" i="5"/>
  <c r="AE94" i="5" s="1"/>
  <c r="AA94" i="5"/>
  <c r="AD52" i="5"/>
  <c r="AA52" i="5"/>
  <c r="AB113" i="5"/>
  <c r="AE113" i="5" s="1"/>
  <c r="AD119" i="5"/>
  <c r="AA119" i="5"/>
  <c r="AE16" i="5"/>
  <c r="AE112" i="5"/>
  <c r="Y7" i="5"/>
  <c r="AD78" i="5"/>
  <c r="AA78" i="5"/>
  <c r="AC53" i="5"/>
  <c r="AB53" i="5"/>
  <c r="AE53" i="5" s="1"/>
  <c r="Y53" i="5"/>
  <c r="Z53" i="5"/>
  <c r="Q83" i="1"/>
  <c r="AE83" i="1" s="1"/>
  <c r="S83" i="1"/>
  <c r="Y83" i="1" s="1"/>
  <c r="S85" i="1"/>
  <c r="Y85" i="1" s="1"/>
  <c r="AB44" i="5"/>
  <c r="AC44" i="5"/>
  <c r="Y44" i="5"/>
  <c r="Z44" i="5"/>
  <c r="Z22" i="5"/>
  <c r="AB22" i="5"/>
  <c r="AE22" i="5" s="1"/>
  <c r="AC22" i="5"/>
  <c r="Y22" i="5"/>
  <c r="Z62" i="5"/>
  <c r="Y62" i="5"/>
  <c r="AB62" i="5"/>
  <c r="AE62" i="5" s="1"/>
  <c r="AC62" i="5"/>
  <c r="Z45" i="5"/>
  <c r="AB45" i="5"/>
  <c r="AE45" i="5" s="1"/>
  <c r="Y45" i="5"/>
  <c r="AC45" i="5"/>
  <c r="AC80" i="5"/>
  <c r="Y80" i="5"/>
  <c r="Z80" i="5"/>
  <c r="AB80" i="5"/>
  <c r="Z107" i="5"/>
  <c r="AC107" i="5"/>
  <c r="AB107" i="5"/>
  <c r="AE107" i="5" s="1"/>
  <c r="Y107" i="5"/>
  <c r="AD88" i="5"/>
  <c r="Y88" i="5"/>
  <c r="AB88" i="5"/>
  <c r="Z88" i="5"/>
  <c r="AB58" i="5"/>
  <c r="AE40" i="5"/>
  <c r="AE95" i="5"/>
  <c r="Z119" i="5"/>
  <c r="AD69" i="5"/>
  <c r="AB69" i="5"/>
  <c r="Y69" i="5"/>
  <c r="Z69" i="5"/>
  <c r="Z26" i="5"/>
  <c r="AB26" i="5"/>
  <c r="Y26" i="5"/>
  <c r="AC26" i="5"/>
  <c r="AE91" i="5"/>
  <c r="Z105" i="5"/>
  <c r="AB110" i="5"/>
  <c r="Z110" i="5"/>
  <c r="AC110" i="5"/>
  <c r="Y110" i="5"/>
  <c r="AB86" i="5"/>
  <c r="AC86" i="5"/>
  <c r="Y86" i="5"/>
  <c r="Z86" i="5"/>
  <c r="Z18" i="5"/>
  <c r="AB18" i="5"/>
  <c r="Y18" i="5"/>
  <c r="AC18" i="5"/>
  <c r="Z6" i="5"/>
  <c r="AB6" i="5"/>
  <c r="AC6" i="5"/>
  <c r="Y6" i="5"/>
  <c r="Z93" i="5"/>
  <c r="AB93" i="5"/>
  <c r="Y93" i="5"/>
  <c r="AC93" i="5"/>
  <c r="Y99" i="5"/>
  <c r="AB60" i="5"/>
  <c r="AE60" i="5" s="1"/>
  <c r="Z2" i="5"/>
  <c r="AB2" i="5"/>
  <c r="Y2" i="5"/>
  <c r="AC2" i="5"/>
  <c r="Z49" i="5"/>
  <c r="AB49" i="5"/>
  <c r="AE49" i="5" s="1"/>
  <c r="AC49" i="5"/>
  <c r="Y49" i="5"/>
  <c r="Z115" i="5"/>
  <c r="AC115" i="5"/>
  <c r="Y115" i="5"/>
  <c r="AB115" i="5"/>
  <c r="Z82" i="5"/>
  <c r="AB82" i="5"/>
  <c r="Y82" i="5"/>
  <c r="AC82" i="5"/>
  <c r="AB103" i="5"/>
  <c r="Z58" i="5"/>
  <c r="AB65" i="5"/>
  <c r="AC65" i="5"/>
  <c r="Y65" i="5"/>
  <c r="Z65" i="5"/>
  <c r="AD83" i="5"/>
  <c r="AB83" i="5"/>
  <c r="Y83" i="5"/>
  <c r="Z83" i="5"/>
  <c r="Z41" i="5"/>
  <c r="AB41" i="5"/>
  <c r="AC41" i="5"/>
  <c r="Y41" i="5"/>
  <c r="Y105" i="5"/>
  <c r="Z87" i="5"/>
  <c r="AB87" i="5"/>
  <c r="AE87" i="5" s="1"/>
  <c r="Y87" i="5"/>
  <c r="AC87" i="5"/>
  <c r="Z14" i="5"/>
  <c r="AB14" i="5"/>
  <c r="Y14" i="5"/>
  <c r="AC14" i="5"/>
  <c r="AB118" i="5"/>
  <c r="Z118" i="5"/>
  <c r="AC118" i="5"/>
  <c r="Y118" i="5"/>
  <c r="Z113" i="5"/>
  <c r="Z54" i="5"/>
  <c r="Y54" i="5"/>
  <c r="AB54" i="5"/>
  <c r="AE54" i="5" s="1"/>
  <c r="AC54" i="5"/>
  <c r="AB52" i="5"/>
  <c r="AE52" i="5" s="1"/>
  <c r="AC52" i="5"/>
  <c r="Y52" i="5"/>
  <c r="Z52" i="5"/>
  <c r="Z60" i="5"/>
  <c r="AB7" i="5"/>
  <c r="AE7" i="5" s="1"/>
  <c r="Z30" i="5"/>
  <c r="AB30" i="5"/>
  <c r="Y30" i="5"/>
  <c r="AC30" i="5"/>
  <c r="Z10" i="5"/>
  <c r="AB10" i="5"/>
  <c r="Y10" i="5"/>
  <c r="AC10" i="5"/>
  <c r="AB33" i="5"/>
  <c r="AC33" i="5"/>
  <c r="Y33" i="5"/>
  <c r="Z33" i="5"/>
  <c r="Z38" i="5"/>
  <c r="AC38" i="5"/>
  <c r="AB38" i="5"/>
  <c r="AE38" i="5" s="1"/>
  <c r="Y38" i="5"/>
  <c r="AB102" i="5"/>
  <c r="AE102" i="5" s="1"/>
  <c r="Z102" i="5"/>
  <c r="AC102" i="5"/>
  <c r="Y102" i="5"/>
  <c r="Z98" i="5"/>
  <c r="AB98" i="5"/>
  <c r="Y98" i="5"/>
  <c r="AC98" i="5"/>
  <c r="Y103" i="5"/>
  <c r="AE8" i="5"/>
  <c r="Y58" i="5"/>
  <c r="AB119" i="5"/>
  <c r="Z70" i="5"/>
  <c r="Y70" i="5"/>
  <c r="AC70" i="5"/>
  <c r="AB70" i="5"/>
  <c r="AE70" i="5" s="1"/>
  <c r="Z34" i="5"/>
  <c r="AB34" i="5"/>
  <c r="Y34" i="5"/>
  <c r="AC34" i="5"/>
  <c r="AB105" i="5"/>
  <c r="Y113" i="5"/>
  <c r="AE4" i="5"/>
  <c r="AB99" i="5"/>
  <c r="AB81" i="5"/>
  <c r="AC81" i="5"/>
  <c r="Y81" i="5"/>
  <c r="Z81" i="5"/>
  <c r="Y60" i="5"/>
  <c r="Z7" i="5"/>
  <c r="Q84" i="1"/>
  <c r="AE84" i="1" s="1"/>
  <c r="AG85" i="1"/>
  <c r="Q85" i="1"/>
  <c r="T85" i="1" s="1"/>
  <c r="AG83" i="1"/>
  <c r="S84" i="1"/>
  <c r="AH6" i="6"/>
  <c r="AT6" i="6" s="1"/>
  <c r="AE7" i="6"/>
  <c r="AH7" i="6"/>
  <c r="N41" i="1"/>
  <c r="O41" i="1"/>
  <c r="P41" i="1"/>
  <c r="R41" i="1"/>
  <c r="AC41" i="1"/>
  <c r="AB41" i="1"/>
  <c r="N40" i="1"/>
  <c r="O40" i="1"/>
  <c r="P40" i="1"/>
  <c r="R40" i="1"/>
  <c r="AC40" i="1"/>
  <c r="AB40" i="1"/>
  <c r="P29" i="3"/>
  <c r="Q29" i="3"/>
  <c r="S29" i="3"/>
  <c r="U29" i="3"/>
  <c r="N31" i="1"/>
  <c r="O31" i="1"/>
  <c r="P31" i="1"/>
  <c r="R31" i="1"/>
  <c r="AC31" i="1"/>
  <c r="AB31" i="1"/>
  <c r="N30" i="1"/>
  <c r="O30" i="1"/>
  <c r="P30" i="1"/>
  <c r="R30" i="1"/>
  <c r="AB30" i="1"/>
  <c r="AC30" i="1"/>
  <c r="P28" i="3"/>
  <c r="Q28" i="3"/>
  <c r="S28" i="3"/>
  <c r="U28" i="3"/>
  <c r="AC33" i="1"/>
  <c r="N33" i="1"/>
  <c r="O33" i="1"/>
  <c r="P33" i="1"/>
  <c r="R33" i="1"/>
  <c r="AB33" i="1"/>
  <c r="N34" i="1"/>
  <c r="O34" i="1"/>
  <c r="P34" i="1"/>
  <c r="R34" i="1"/>
  <c r="AB34" i="1"/>
  <c r="N29" i="1"/>
  <c r="O29" i="1"/>
  <c r="P29" i="1"/>
  <c r="R29" i="1"/>
  <c r="AB29" i="1"/>
  <c r="AC29" i="1"/>
  <c r="N45" i="1"/>
  <c r="O45" i="1"/>
  <c r="P45" i="1"/>
  <c r="R45" i="1"/>
  <c r="AC45" i="1"/>
  <c r="AB45" i="1"/>
  <c r="N46" i="1"/>
  <c r="O46" i="1"/>
  <c r="P46" i="1"/>
  <c r="R46" i="1"/>
  <c r="AB46" i="1"/>
  <c r="AC46" i="1"/>
  <c r="N8" i="1"/>
  <c r="O8" i="1"/>
  <c r="P8" i="1"/>
  <c r="R8" i="1"/>
  <c r="AC8" i="1"/>
  <c r="AB8" i="1"/>
  <c r="N5" i="1"/>
  <c r="O5" i="1"/>
  <c r="P5" i="1"/>
  <c r="R5" i="1"/>
  <c r="AC5" i="1"/>
  <c r="AB5" i="1"/>
  <c r="U36" i="3"/>
  <c r="Q36" i="3"/>
  <c r="S36" i="3"/>
  <c r="T36" i="3"/>
  <c r="P36" i="3"/>
  <c r="U19" i="3"/>
  <c r="Q19" i="3"/>
  <c r="S19" i="3"/>
  <c r="U20" i="3"/>
  <c r="Q20" i="3"/>
  <c r="S20" i="3"/>
  <c r="U21" i="3"/>
  <c r="Q21" i="3"/>
  <c r="S21" i="3"/>
  <c r="U22" i="3"/>
  <c r="Q22" i="3"/>
  <c r="S22" i="3"/>
  <c r="U23" i="3"/>
  <c r="Q23" i="3"/>
  <c r="S23" i="3"/>
  <c r="U24" i="3"/>
  <c r="Q24" i="3"/>
  <c r="S24" i="3"/>
  <c r="U25" i="3"/>
  <c r="Q25" i="3"/>
  <c r="S25" i="3"/>
  <c r="U26" i="3"/>
  <c r="Q26" i="3"/>
  <c r="S26" i="3"/>
  <c r="U27" i="3"/>
  <c r="Q27" i="3"/>
  <c r="S27" i="3"/>
  <c r="AC30" i="3"/>
  <c r="U31" i="3"/>
  <c r="Q31" i="3"/>
  <c r="S31" i="3"/>
  <c r="T31" i="3"/>
  <c r="U32" i="3"/>
  <c r="Q32" i="3"/>
  <c r="S32" i="3"/>
  <c r="T32" i="3"/>
  <c r="U33" i="3"/>
  <c r="Q33" i="3"/>
  <c r="S33" i="3"/>
  <c r="T33" i="3"/>
  <c r="T34" i="3"/>
  <c r="Q34" i="3"/>
  <c r="S34" i="3"/>
  <c r="U34" i="3"/>
  <c r="U37" i="3"/>
  <c r="Q37" i="3"/>
  <c r="S37" i="3"/>
  <c r="T37" i="3"/>
  <c r="U38" i="3"/>
  <c r="Q38" i="3"/>
  <c r="S38" i="3"/>
  <c r="T38" i="3"/>
  <c r="AC40" i="3"/>
  <c r="U41" i="3"/>
  <c r="Q41" i="3"/>
  <c r="S41" i="3"/>
  <c r="U42" i="3"/>
  <c r="Q42" i="3"/>
  <c r="S42" i="3"/>
  <c r="U43" i="3"/>
  <c r="Q43" i="3"/>
  <c r="S43" i="3"/>
  <c r="U44" i="3"/>
  <c r="Q44" i="3"/>
  <c r="S44" i="3"/>
  <c r="U45" i="3"/>
  <c r="Q45" i="3"/>
  <c r="S45" i="3"/>
  <c r="U46" i="3"/>
  <c r="Q46" i="3"/>
  <c r="S46" i="3"/>
  <c r="U47" i="3"/>
  <c r="Q47" i="3"/>
  <c r="S47" i="3"/>
  <c r="U48" i="3"/>
  <c r="Q48" i="3"/>
  <c r="S48" i="3"/>
  <c r="U49" i="3"/>
  <c r="Q49" i="3"/>
  <c r="S49" i="3"/>
  <c r="U50" i="3"/>
  <c r="Q50" i="3"/>
  <c r="S50" i="3"/>
  <c r="U51" i="3"/>
  <c r="Q51" i="3"/>
  <c r="S51" i="3"/>
  <c r="U52" i="3"/>
  <c r="Q52" i="3"/>
  <c r="S52" i="3"/>
  <c r="U53" i="3"/>
  <c r="Q53" i="3"/>
  <c r="S53" i="3"/>
  <c r="U54" i="3"/>
  <c r="Q54" i="3"/>
  <c r="S54" i="3"/>
  <c r="U55" i="3"/>
  <c r="Q55" i="3"/>
  <c r="S55" i="3"/>
  <c r="U56" i="3"/>
  <c r="Q56" i="3"/>
  <c r="S56" i="3"/>
  <c r="AC57" i="3"/>
  <c r="U58" i="3"/>
  <c r="Q58" i="3"/>
  <c r="S58" i="3"/>
  <c r="U59" i="3"/>
  <c r="Q59" i="3"/>
  <c r="S59" i="3"/>
  <c r="U60" i="3"/>
  <c r="Q60" i="3"/>
  <c r="S60" i="3"/>
  <c r="U61" i="3"/>
  <c r="Q61" i="3"/>
  <c r="V61" i="3" s="1"/>
  <c r="S61" i="3"/>
  <c r="U62" i="3"/>
  <c r="Q62" i="3"/>
  <c r="S62" i="3"/>
  <c r="AC63" i="3"/>
  <c r="U64" i="3"/>
  <c r="Q64" i="3"/>
  <c r="S64" i="3"/>
  <c r="U65" i="3"/>
  <c r="Q65" i="3"/>
  <c r="S65" i="3"/>
  <c r="U66" i="3"/>
  <c r="Q66" i="3"/>
  <c r="S66" i="3"/>
  <c r="V66" i="3" s="1"/>
  <c r="U67" i="3"/>
  <c r="Q67" i="3"/>
  <c r="S67" i="3"/>
  <c r="U4" i="3"/>
  <c r="Q4" i="3"/>
  <c r="S4" i="3"/>
  <c r="U5" i="3"/>
  <c r="Q5" i="3"/>
  <c r="R5" i="3" s="1"/>
  <c r="AB5" i="3" s="1"/>
  <c r="S5" i="3"/>
  <c r="U6" i="3"/>
  <c r="Q6" i="3"/>
  <c r="S6" i="3"/>
  <c r="U7" i="3"/>
  <c r="Q7" i="3"/>
  <c r="S7" i="3"/>
  <c r="U8" i="3"/>
  <c r="Q8" i="3"/>
  <c r="S8" i="3"/>
  <c r="U9" i="3"/>
  <c r="Q9" i="3"/>
  <c r="S9" i="3"/>
  <c r="U10" i="3"/>
  <c r="Q10" i="3"/>
  <c r="S10" i="3"/>
  <c r="U11" i="3"/>
  <c r="Q11" i="3"/>
  <c r="S11" i="3"/>
  <c r="U12" i="3"/>
  <c r="Q12" i="3"/>
  <c r="S12" i="3"/>
  <c r="U13" i="3"/>
  <c r="Q13" i="3"/>
  <c r="S13" i="3"/>
  <c r="U14" i="3"/>
  <c r="Q14" i="3"/>
  <c r="S14" i="3"/>
  <c r="U15" i="3"/>
  <c r="Q15" i="3"/>
  <c r="S15" i="3"/>
  <c r="U16" i="3"/>
  <c r="Q16" i="3"/>
  <c r="S16" i="3"/>
  <c r="U17" i="3"/>
  <c r="Q17" i="3"/>
  <c r="S17" i="3"/>
  <c r="U18" i="3"/>
  <c r="Q18" i="3"/>
  <c r="S18" i="3"/>
  <c r="U3" i="3"/>
  <c r="Q3" i="3"/>
  <c r="S3" i="3"/>
  <c r="V18" i="4"/>
  <c r="W18" i="4"/>
  <c r="X18" i="4"/>
  <c r="Y18" i="4"/>
  <c r="Z18" i="4"/>
  <c r="AA18" i="4"/>
  <c r="AB18" i="4"/>
  <c r="AC18" i="4" s="1"/>
  <c r="AH18" i="4"/>
  <c r="AE18" i="4"/>
  <c r="V19" i="4"/>
  <c r="W19" i="4"/>
  <c r="X19" i="4"/>
  <c r="Y19" i="4"/>
  <c r="Z19" i="4"/>
  <c r="AA19" i="4"/>
  <c r="AB19" i="4"/>
  <c r="AC19" i="4" s="1"/>
  <c r="AH19" i="4"/>
  <c r="AE19" i="4"/>
  <c r="V20" i="4"/>
  <c r="W20" i="4"/>
  <c r="X20" i="4"/>
  <c r="Y20" i="4"/>
  <c r="Z20" i="4"/>
  <c r="AA20" i="4"/>
  <c r="AB20" i="4"/>
  <c r="AC20" i="4" s="1"/>
  <c r="AH20" i="4"/>
  <c r="AE20" i="4"/>
  <c r="S78" i="2"/>
  <c r="T78" i="2"/>
  <c r="P79" i="2"/>
  <c r="Q79" i="2"/>
  <c r="S79" i="2"/>
  <c r="T79" i="2"/>
  <c r="U79" i="2"/>
  <c r="P80" i="2"/>
  <c r="Q80" i="2"/>
  <c r="S80" i="2"/>
  <c r="T80" i="2"/>
  <c r="U80" i="2"/>
  <c r="P81" i="2"/>
  <c r="Q81" i="2"/>
  <c r="S81" i="2"/>
  <c r="T81" i="2"/>
  <c r="U81" i="2"/>
  <c r="P82" i="2"/>
  <c r="Q82" i="2"/>
  <c r="S82" i="2"/>
  <c r="T82" i="2"/>
  <c r="U82" i="2"/>
  <c r="P83" i="2"/>
  <c r="Q83" i="2"/>
  <c r="S83" i="2"/>
  <c r="T83" i="2"/>
  <c r="U83" i="2"/>
  <c r="AC3" i="1"/>
  <c r="AC4" i="1"/>
  <c r="AC6" i="1"/>
  <c r="AC7" i="1"/>
  <c r="AC9" i="1"/>
  <c r="AC11" i="1"/>
  <c r="AC12" i="1"/>
  <c r="AC13" i="1"/>
  <c r="AC14" i="1"/>
  <c r="AC15" i="1"/>
  <c r="AC16" i="1"/>
  <c r="AC17" i="1"/>
  <c r="AC19" i="1"/>
  <c r="AC20" i="1"/>
  <c r="AC21" i="1"/>
  <c r="AC22" i="1"/>
  <c r="AC23" i="1"/>
  <c r="AC24" i="1"/>
  <c r="AC34" i="1"/>
  <c r="AC26" i="1"/>
  <c r="AC28" i="1"/>
  <c r="AC35" i="1"/>
  <c r="AC89" i="1"/>
  <c r="AC88" i="1"/>
  <c r="AC36" i="1"/>
  <c r="AC37" i="1"/>
  <c r="AC38" i="1"/>
  <c r="AC39" i="1"/>
  <c r="AC42" i="1"/>
  <c r="AC43" i="1"/>
  <c r="AC44" i="1"/>
  <c r="AC47" i="1"/>
  <c r="AC48" i="1"/>
  <c r="AC49" i="1"/>
  <c r="AC50" i="1"/>
  <c r="AC51" i="1"/>
  <c r="AC52" i="1"/>
  <c r="AC54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4" i="1"/>
  <c r="AC75" i="1"/>
  <c r="AC76" i="1"/>
  <c r="AC77" i="1"/>
  <c r="AC78" i="1"/>
  <c r="AC79" i="1"/>
  <c r="AC80" i="1"/>
  <c r="AC2" i="1"/>
  <c r="AB3" i="1"/>
  <c r="AB4" i="1"/>
  <c r="AB6" i="1"/>
  <c r="AB7" i="1"/>
  <c r="AB9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6" i="1"/>
  <c r="AB28" i="1"/>
  <c r="AB35" i="1"/>
  <c r="AB89" i="1"/>
  <c r="AB88" i="1"/>
  <c r="AB36" i="1"/>
  <c r="AB37" i="1"/>
  <c r="AB38" i="1"/>
  <c r="AB39" i="1"/>
  <c r="AB42" i="1"/>
  <c r="AB43" i="1"/>
  <c r="AB44" i="1"/>
  <c r="AB47" i="1"/>
  <c r="AB48" i="1"/>
  <c r="AB49" i="1"/>
  <c r="AB50" i="1"/>
  <c r="AB51" i="1"/>
  <c r="AB52" i="1"/>
  <c r="AB54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2" i="1"/>
  <c r="V57" i="4"/>
  <c r="W57" i="4"/>
  <c r="X57" i="4"/>
  <c r="Y57" i="4"/>
  <c r="AA57" i="4"/>
  <c r="Z57" i="4"/>
  <c r="AB57" i="4"/>
  <c r="AC57" i="4" s="1"/>
  <c r="AH57" i="4"/>
  <c r="AE57" i="4"/>
  <c r="AH11" i="6"/>
  <c r="AT11" i="6" s="1"/>
  <c r="AH12" i="6"/>
  <c r="AI12" i="6" s="1"/>
  <c r="AH13" i="6"/>
  <c r="AE11" i="6"/>
  <c r="AS11" i="6" s="1"/>
  <c r="AE12" i="6"/>
  <c r="AF12" i="6" s="1"/>
  <c r="AE13" i="6"/>
  <c r="AS13" i="6" s="1"/>
  <c r="AH19" i="6"/>
  <c r="AI19" i="6" s="1"/>
  <c r="AE19" i="6"/>
  <c r="AS19" i="6" s="1"/>
  <c r="AE18" i="6"/>
  <c r="AH18" i="6"/>
  <c r="AT18" i="6" s="1"/>
  <c r="AE17" i="6"/>
  <c r="AH17" i="6"/>
  <c r="AT17" i="6" s="1"/>
  <c r="V48" i="4"/>
  <c r="W48" i="4"/>
  <c r="X48" i="4"/>
  <c r="Y48" i="4"/>
  <c r="AA48" i="4"/>
  <c r="Z48" i="4"/>
  <c r="AB48" i="4"/>
  <c r="AC48" i="4" s="1"/>
  <c r="AH48" i="4"/>
  <c r="AE48" i="4"/>
  <c r="V46" i="4"/>
  <c r="W46" i="4"/>
  <c r="X46" i="4"/>
  <c r="Y46" i="4"/>
  <c r="AA46" i="4"/>
  <c r="Z46" i="4"/>
  <c r="AB46" i="4"/>
  <c r="AC46" i="4" s="1"/>
  <c r="AH46" i="4"/>
  <c r="AE46" i="4"/>
  <c r="AF17" i="6"/>
  <c r="AH16" i="6"/>
  <c r="AI16" i="6" s="1"/>
  <c r="AE16" i="6"/>
  <c r="AE15" i="6"/>
  <c r="AH15" i="6"/>
  <c r="AI15" i="6" s="1"/>
  <c r="P51" i="2"/>
  <c r="Q51" i="2"/>
  <c r="AH51" i="2" s="1"/>
  <c r="T51" i="2"/>
  <c r="U51" i="2"/>
  <c r="S51" i="2"/>
  <c r="AE6" i="6"/>
  <c r="AS6" i="6" s="1"/>
  <c r="AH5" i="6"/>
  <c r="AT5" i="6" s="1"/>
  <c r="AE9" i="6"/>
  <c r="AS9" i="6" s="1"/>
  <c r="AE2" i="6"/>
  <c r="AF2" i="6" s="1"/>
  <c r="AH3" i="6"/>
  <c r="AT3" i="6" s="1"/>
  <c r="AH4" i="6"/>
  <c r="AI4" i="6" s="1"/>
  <c r="AH8" i="6"/>
  <c r="AT8" i="6" s="1"/>
  <c r="AH9" i="6"/>
  <c r="AI9" i="6" s="1"/>
  <c r="AH2" i="6"/>
  <c r="AI2" i="6" s="1"/>
  <c r="AE3" i="6"/>
  <c r="AE4" i="6"/>
  <c r="AE5" i="6"/>
  <c r="AF5" i="6" s="1"/>
  <c r="AE8" i="6"/>
  <c r="AF8" i="6" s="1"/>
  <c r="AS2" i="6"/>
  <c r="P4" i="3"/>
  <c r="P5" i="3"/>
  <c r="AB60" i="4"/>
  <c r="AC60" i="4" s="1"/>
  <c r="V60" i="4"/>
  <c r="W60" i="4"/>
  <c r="X60" i="4"/>
  <c r="Y60" i="4"/>
  <c r="Z60" i="4"/>
  <c r="AA60" i="4"/>
  <c r="AE60" i="4"/>
  <c r="AH60" i="4"/>
  <c r="AB3" i="4"/>
  <c r="AC3" i="4" s="1"/>
  <c r="V3" i="4"/>
  <c r="W3" i="4"/>
  <c r="X3" i="4"/>
  <c r="Y3" i="4"/>
  <c r="Z3" i="4"/>
  <c r="AA3" i="4"/>
  <c r="AE3" i="4"/>
  <c r="AH3" i="4"/>
  <c r="AB4" i="4"/>
  <c r="AC4" i="4" s="1"/>
  <c r="V4" i="4"/>
  <c r="W4" i="4"/>
  <c r="X4" i="4"/>
  <c r="Y4" i="4"/>
  <c r="Z4" i="4"/>
  <c r="AA4" i="4"/>
  <c r="AE4" i="4"/>
  <c r="AH4" i="4"/>
  <c r="AB5" i="4"/>
  <c r="AC5" i="4"/>
  <c r="V5" i="4"/>
  <c r="W5" i="4"/>
  <c r="X5" i="4"/>
  <c r="Y5" i="4"/>
  <c r="Z5" i="4"/>
  <c r="AA5" i="4"/>
  <c r="AE5" i="4"/>
  <c r="AH5" i="4"/>
  <c r="AB6" i="4"/>
  <c r="AC6" i="4" s="1"/>
  <c r="V6" i="4"/>
  <c r="W6" i="4"/>
  <c r="X6" i="4"/>
  <c r="Y6" i="4"/>
  <c r="Z6" i="4"/>
  <c r="AA6" i="4"/>
  <c r="AE6" i="4"/>
  <c r="AH6" i="4"/>
  <c r="AB7" i="4"/>
  <c r="AC7" i="4" s="1"/>
  <c r="V7" i="4"/>
  <c r="W7" i="4"/>
  <c r="X7" i="4"/>
  <c r="Y7" i="4"/>
  <c r="Z7" i="4"/>
  <c r="AA7" i="4"/>
  <c r="AE7" i="4"/>
  <c r="AH7" i="4"/>
  <c r="AB8" i="4"/>
  <c r="AC8" i="4" s="1"/>
  <c r="V8" i="4"/>
  <c r="W8" i="4"/>
  <c r="X8" i="4"/>
  <c r="Y8" i="4"/>
  <c r="Z8" i="4"/>
  <c r="AA8" i="4"/>
  <c r="AE8" i="4"/>
  <c r="AH8" i="4"/>
  <c r="AB9" i="4"/>
  <c r="AC9" i="4" s="1"/>
  <c r="V9" i="4"/>
  <c r="W9" i="4"/>
  <c r="X9" i="4"/>
  <c r="Y9" i="4"/>
  <c r="Z9" i="4"/>
  <c r="AA9" i="4"/>
  <c r="AE9" i="4"/>
  <c r="AH9" i="4"/>
  <c r="AB10" i="4"/>
  <c r="AC10" i="4" s="1"/>
  <c r="V10" i="4"/>
  <c r="W10" i="4"/>
  <c r="X10" i="4"/>
  <c r="Y10" i="4"/>
  <c r="Z10" i="4"/>
  <c r="AA10" i="4"/>
  <c r="AE10" i="4"/>
  <c r="AH10" i="4"/>
  <c r="AB11" i="4"/>
  <c r="AC11" i="4" s="1"/>
  <c r="V11" i="4"/>
  <c r="W11" i="4"/>
  <c r="X11" i="4"/>
  <c r="Y11" i="4"/>
  <c r="Z11" i="4"/>
  <c r="AA11" i="4"/>
  <c r="AE11" i="4"/>
  <c r="AH11" i="4"/>
  <c r="AB12" i="4"/>
  <c r="AC12" i="4" s="1"/>
  <c r="V12" i="4"/>
  <c r="W12" i="4"/>
  <c r="X12" i="4"/>
  <c r="Y12" i="4"/>
  <c r="Z12" i="4"/>
  <c r="AA12" i="4"/>
  <c r="AE12" i="4"/>
  <c r="AH12" i="4"/>
  <c r="AB13" i="4"/>
  <c r="AC13" i="4" s="1"/>
  <c r="V13" i="4"/>
  <c r="W13" i="4"/>
  <c r="X13" i="4"/>
  <c r="Y13" i="4"/>
  <c r="Z13" i="4"/>
  <c r="AA13" i="4"/>
  <c r="AE13" i="4"/>
  <c r="AH13" i="4"/>
  <c r="AB14" i="4"/>
  <c r="AC14" i="4" s="1"/>
  <c r="V14" i="4"/>
  <c r="W14" i="4"/>
  <c r="X14" i="4"/>
  <c r="Y14" i="4"/>
  <c r="Z14" i="4"/>
  <c r="AA14" i="4"/>
  <c r="AE14" i="4"/>
  <c r="AH14" i="4"/>
  <c r="AB15" i="4"/>
  <c r="AC15" i="4" s="1"/>
  <c r="V15" i="4"/>
  <c r="W15" i="4"/>
  <c r="X15" i="4"/>
  <c r="Y15" i="4"/>
  <c r="Z15" i="4"/>
  <c r="AA15" i="4"/>
  <c r="AE15" i="4"/>
  <c r="AH15" i="4"/>
  <c r="AB16" i="4"/>
  <c r="AC16" i="4" s="1"/>
  <c r="V16" i="4"/>
  <c r="W16" i="4"/>
  <c r="X16" i="4"/>
  <c r="Y16" i="4"/>
  <c r="Z16" i="4"/>
  <c r="AA16" i="4"/>
  <c r="AE16" i="4"/>
  <c r="AH16" i="4"/>
  <c r="AB22" i="4"/>
  <c r="AC22" i="4" s="1"/>
  <c r="V22" i="4"/>
  <c r="W22" i="4"/>
  <c r="X22" i="4"/>
  <c r="Y22" i="4"/>
  <c r="Z22" i="4"/>
  <c r="AA22" i="4"/>
  <c r="AE22" i="4"/>
  <c r="AH22" i="4"/>
  <c r="AB23" i="4"/>
  <c r="AC23" i="4" s="1"/>
  <c r="V23" i="4"/>
  <c r="W23" i="4"/>
  <c r="X23" i="4"/>
  <c r="Y23" i="4"/>
  <c r="Z23" i="4"/>
  <c r="AA23" i="4"/>
  <c r="AE23" i="4"/>
  <c r="AH23" i="4"/>
  <c r="AB24" i="4"/>
  <c r="AC24" i="4" s="1"/>
  <c r="V24" i="4"/>
  <c r="W24" i="4"/>
  <c r="X24" i="4"/>
  <c r="Y24" i="4"/>
  <c r="Z24" i="4"/>
  <c r="AA24" i="4"/>
  <c r="AE24" i="4"/>
  <c r="AH24" i="4"/>
  <c r="AB25" i="4"/>
  <c r="AC25" i="4" s="1"/>
  <c r="V25" i="4"/>
  <c r="W25" i="4"/>
  <c r="X25" i="4"/>
  <c r="Y25" i="4"/>
  <c r="Z25" i="4"/>
  <c r="AA25" i="4"/>
  <c r="AE25" i="4"/>
  <c r="AH25" i="4"/>
  <c r="AB26" i="4"/>
  <c r="AC26" i="4" s="1"/>
  <c r="V26" i="4"/>
  <c r="W26" i="4"/>
  <c r="X26" i="4"/>
  <c r="Y26" i="4"/>
  <c r="Z26" i="4"/>
  <c r="AA26" i="4"/>
  <c r="AE26" i="4"/>
  <c r="AH26" i="4"/>
  <c r="AB27" i="4"/>
  <c r="AC27" i="4" s="1"/>
  <c r="V27" i="4"/>
  <c r="W27" i="4"/>
  <c r="X27" i="4"/>
  <c r="Y27" i="4"/>
  <c r="Z27" i="4"/>
  <c r="AA27" i="4"/>
  <c r="AE27" i="4"/>
  <c r="AH27" i="4"/>
  <c r="AB28" i="4"/>
  <c r="AC28" i="4" s="1"/>
  <c r="V28" i="4"/>
  <c r="W28" i="4"/>
  <c r="X28" i="4"/>
  <c r="Y28" i="4"/>
  <c r="Z28" i="4"/>
  <c r="AA28" i="4"/>
  <c r="AE28" i="4"/>
  <c r="AH28" i="4"/>
  <c r="AB29" i="4"/>
  <c r="AC29" i="4" s="1"/>
  <c r="V29" i="4"/>
  <c r="W29" i="4"/>
  <c r="X29" i="4"/>
  <c r="Y29" i="4"/>
  <c r="Z29" i="4"/>
  <c r="AA29" i="4"/>
  <c r="AE29" i="4"/>
  <c r="AH29" i="4"/>
  <c r="AB30" i="4"/>
  <c r="AC30" i="4" s="1"/>
  <c r="V30" i="4"/>
  <c r="W30" i="4"/>
  <c r="X30" i="4"/>
  <c r="Y30" i="4"/>
  <c r="Z30" i="4"/>
  <c r="AA30" i="4"/>
  <c r="AE30" i="4"/>
  <c r="AH30" i="4"/>
  <c r="AB31" i="4"/>
  <c r="AC31" i="4" s="1"/>
  <c r="V31" i="4"/>
  <c r="W31" i="4"/>
  <c r="X31" i="4"/>
  <c r="Y31" i="4"/>
  <c r="Z31" i="4"/>
  <c r="AA31" i="4"/>
  <c r="AE31" i="4"/>
  <c r="AH31" i="4"/>
  <c r="AB32" i="4"/>
  <c r="AC32" i="4" s="1"/>
  <c r="V32" i="4"/>
  <c r="W32" i="4"/>
  <c r="X32" i="4"/>
  <c r="Y32" i="4"/>
  <c r="Z32" i="4"/>
  <c r="AA32" i="4"/>
  <c r="AE32" i="4"/>
  <c r="AH32" i="4"/>
  <c r="AB33" i="4"/>
  <c r="AC33" i="4" s="1"/>
  <c r="V33" i="4"/>
  <c r="W33" i="4"/>
  <c r="X33" i="4"/>
  <c r="Y33" i="4"/>
  <c r="Z33" i="4"/>
  <c r="AA33" i="4"/>
  <c r="AE33" i="4"/>
  <c r="AH33" i="4"/>
  <c r="AB34" i="4"/>
  <c r="AC34" i="4" s="1"/>
  <c r="V34" i="4"/>
  <c r="W34" i="4"/>
  <c r="X34" i="4"/>
  <c r="Y34" i="4"/>
  <c r="Z34" i="4"/>
  <c r="AA34" i="4"/>
  <c r="AE34" i="4"/>
  <c r="AH34" i="4"/>
  <c r="AB35" i="4"/>
  <c r="AC35" i="4" s="1"/>
  <c r="V35" i="4"/>
  <c r="W35" i="4"/>
  <c r="X35" i="4"/>
  <c r="Y35" i="4"/>
  <c r="Z35" i="4"/>
  <c r="AA35" i="4"/>
  <c r="AE35" i="4"/>
  <c r="AH35" i="4"/>
  <c r="AB36" i="4"/>
  <c r="AC36" i="4" s="1"/>
  <c r="V36" i="4"/>
  <c r="W36" i="4"/>
  <c r="X36" i="4"/>
  <c r="Y36" i="4"/>
  <c r="Z36" i="4"/>
  <c r="AA36" i="4"/>
  <c r="AE36" i="4"/>
  <c r="AH36" i="4"/>
  <c r="AB37" i="4"/>
  <c r="AC37" i="4" s="1"/>
  <c r="V37" i="4"/>
  <c r="W37" i="4"/>
  <c r="X37" i="4"/>
  <c r="Y37" i="4"/>
  <c r="Z37" i="4"/>
  <c r="AA37" i="4"/>
  <c r="AE37" i="4"/>
  <c r="AH37" i="4"/>
  <c r="AB38" i="4"/>
  <c r="AC38" i="4" s="1"/>
  <c r="V38" i="4"/>
  <c r="W38" i="4"/>
  <c r="X38" i="4"/>
  <c r="Y38" i="4"/>
  <c r="Z38" i="4"/>
  <c r="AA38" i="4"/>
  <c r="AE38" i="4"/>
  <c r="AH38" i="4"/>
  <c r="AB40" i="4"/>
  <c r="AC40" i="4" s="1"/>
  <c r="V40" i="4"/>
  <c r="W40" i="4"/>
  <c r="X40" i="4"/>
  <c r="Y40" i="4"/>
  <c r="Z40" i="4"/>
  <c r="AA40" i="4"/>
  <c r="AE40" i="4"/>
  <c r="AH40" i="4"/>
  <c r="AB41" i="4"/>
  <c r="AC41" i="4" s="1"/>
  <c r="V41" i="4"/>
  <c r="W41" i="4"/>
  <c r="X41" i="4"/>
  <c r="Y41" i="4"/>
  <c r="Z41" i="4"/>
  <c r="AA41" i="4"/>
  <c r="AE41" i="4"/>
  <c r="AH41" i="4"/>
  <c r="AB42" i="4"/>
  <c r="AC42" i="4" s="1"/>
  <c r="V42" i="4"/>
  <c r="W42" i="4"/>
  <c r="X42" i="4"/>
  <c r="Y42" i="4"/>
  <c r="Z42" i="4"/>
  <c r="AA42" i="4"/>
  <c r="AE42" i="4"/>
  <c r="AH42" i="4"/>
  <c r="AB43" i="4"/>
  <c r="AC43" i="4" s="1"/>
  <c r="V43" i="4"/>
  <c r="W43" i="4"/>
  <c r="X43" i="4"/>
  <c r="Y43" i="4"/>
  <c r="Z43" i="4"/>
  <c r="AA43" i="4"/>
  <c r="AE43" i="4"/>
  <c r="AH43" i="4"/>
  <c r="AB44" i="4"/>
  <c r="AC44" i="4" s="1"/>
  <c r="V44" i="4"/>
  <c r="W44" i="4"/>
  <c r="X44" i="4"/>
  <c r="Y44" i="4"/>
  <c r="Z44" i="4"/>
  <c r="AA44" i="4"/>
  <c r="AE44" i="4"/>
  <c r="AH44" i="4"/>
  <c r="AB45" i="4"/>
  <c r="AC45" i="4" s="1"/>
  <c r="V45" i="4"/>
  <c r="W45" i="4"/>
  <c r="X45" i="4"/>
  <c r="Y45" i="4"/>
  <c r="Z45" i="4"/>
  <c r="AA45" i="4"/>
  <c r="AE45" i="4"/>
  <c r="AH45" i="4"/>
  <c r="AB47" i="4"/>
  <c r="AC47" i="4" s="1"/>
  <c r="V47" i="4"/>
  <c r="W47" i="4"/>
  <c r="X47" i="4"/>
  <c r="Y47" i="4"/>
  <c r="Z47" i="4"/>
  <c r="AA47" i="4"/>
  <c r="AE47" i="4"/>
  <c r="AH47" i="4"/>
  <c r="AB50" i="4"/>
  <c r="AC50" i="4" s="1"/>
  <c r="V50" i="4"/>
  <c r="W50" i="4"/>
  <c r="X50" i="4"/>
  <c r="Y50" i="4"/>
  <c r="Z50" i="4"/>
  <c r="AA50" i="4"/>
  <c r="AE50" i="4"/>
  <c r="AH50" i="4"/>
  <c r="AB51" i="4"/>
  <c r="AC51" i="4" s="1"/>
  <c r="V51" i="4"/>
  <c r="W51" i="4"/>
  <c r="X51" i="4"/>
  <c r="Y51" i="4"/>
  <c r="Z51" i="4"/>
  <c r="AA51" i="4"/>
  <c r="AE51" i="4"/>
  <c r="AH51" i="4"/>
  <c r="AB52" i="4"/>
  <c r="AC52" i="4" s="1"/>
  <c r="V52" i="4"/>
  <c r="W52" i="4"/>
  <c r="X52" i="4"/>
  <c r="Y52" i="4"/>
  <c r="Z52" i="4"/>
  <c r="AA52" i="4"/>
  <c r="AE52" i="4"/>
  <c r="AH52" i="4"/>
  <c r="AB53" i="4"/>
  <c r="AC53" i="4" s="1"/>
  <c r="V53" i="4"/>
  <c r="W53" i="4"/>
  <c r="X53" i="4"/>
  <c r="Y53" i="4"/>
  <c r="Z53" i="4"/>
  <c r="AA53" i="4"/>
  <c r="AE53" i="4"/>
  <c r="AH53" i="4"/>
  <c r="AB54" i="4"/>
  <c r="AC54" i="4" s="1"/>
  <c r="V54" i="4"/>
  <c r="W54" i="4"/>
  <c r="X54" i="4"/>
  <c r="Y54" i="4"/>
  <c r="Z54" i="4"/>
  <c r="AA54" i="4"/>
  <c r="AE54" i="4"/>
  <c r="AH54" i="4"/>
  <c r="AB55" i="4"/>
  <c r="AC55" i="4" s="1"/>
  <c r="V55" i="4"/>
  <c r="W55" i="4"/>
  <c r="X55" i="4"/>
  <c r="Y55" i="4"/>
  <c r="Z55" i="4"/>
  <c r="AA55" i="4"/>
  <c r="AE55" i="4"/>
  <c r="AH55" i="4"/>
  <c r="AB56" i="4"/>
  <c r="AC56" i="4" s="1"/>
  <c r="V56" i="4"/>
  <c r="W56" i="4"/>
  <c r="X56" i="4"/>
  <c r="Y56" i="4"/>
  <c r="Z56" i="4"/>
  <c r="AA56" i="4"/>
  <c r="AE56" i="4"/>
  <c r="AH56" i="4"/>
  <c r="AB59" i="4"/>
  <c r="AC59" i="4" s="1"/>
  <c r="V59" i="4"/>
  <c r="W59" i="4"/>
  <c r="X59" i="4"/>
  <c r="Y59" i="4"/>
  <c r="Z59" i="4"/>
  <c r="AA59" i="4"/>
  <c r="AE59" i="4"/>
  <c r="AH59" i="4"/>
  <c r="AB2" i="4"/>
  <c r="AC2" i="4" s="1"/>
  <c r="V2" i="4"/>
  <c r="W2" i="4"/>
  <c r="X2" i="4"/>
  <c r="Y2" i="4"/>
  <c r="Z2" i="4"/>
  <c r="AA2" i="4"/>
  <c r="AE2" i="4"/>
  <c r="AH2" i="4"/>
  <c r="P6" i="3"/>
  <c r="P7" i="3"/>
  <c r="AH7" i="3" s="1"/>
  <c r="P8" i="3"/>
  <c r="P9" i="3"/>
  <c r="AH9" i="3" s="1"/>
  <c r="P10" i="3"/>
  <c r="P11" i="3"/>
  <c r="AH11" i="3" s="1"/>
  <c r="P12" i="3"/>
  <c r="P13" i="3"/>
  <c r="R13" i="3" s="1"/>
  <c r="AB13" i="3" s="1"/>
  <c r="P14" i="3"/>
  <c r="P15" i="3"/>
  <c r="P16" i="3"/>
  <c r="R16" i="3" s="1"/>
  <c r="AB16" i="3" s="1"/>
  <c r="P17" i="3"/>
  <c r="P18" i="3"/>
  <c r="P19" i="3"/>
  <c r="P20" i="3"/>
  <c r="P21" i="3"/>
  <c r="P22" i="3"/>
  <c r="P23" i="3"/>
  <c r="P24" i="3"/>
  <c r="P25" i="3"/>
  <c r="P26" i="3"/>
  <c r="P27" i="3"/>
  <c r="P31" i="3"/>
  <c r="P32" i="3"/>
  <c r="P33" i="3"/>
  <c r="P34" i="3"/>
  <c r="P37" i="3"/>
  <c r="P38" i="3"/>
  <c r="P41" i="3"/>
  <c r="P42" i="3"/>
  <c r="P43" i="3"/>
  <c r="AH43" i="3" s="1"/>
  <c r="P44" i="3"/>
  <c r="P45" i="3"/>
  <c r="P46" i="3"/>
  <c r="P47" i="3"/>
  <c r="AH47" i="3" s="1"/>
  <c r="P48" i="3"/>
  <c r="P49" i="3"/>
  <c r="P50" i="3"/>
  <c r="AH50" i="3" s="1"/>
  <c r="P51" i="3"/>
  <c r="P52" i="3"/>
  <c r="P53" i="3"/>
  <c r="P54" i="3"/>
  <c r="P55" i="3"/>
  <c r="P56" i="3"/>
  <c r="R56" i="3" s="1"/>
  <c r="AB56" i="3" s="1"/>
  <c r="P58" i="3"/>
  <c r="AH58" i="3" s="1"/>
  <c r="P59" i="3"/>
  <c r="P60" i="3"/>
  <c r="R60" i="3" s="1"/>
  <c r="AB60" i="3" s="1"/>
  <c r="P61" i="3"/>
  <c r="P62" i="3"/>
  <c r="P64" i="3"/>
  <c r="P65" i="3"/>
  <c r="P66" i="3"/>
  <c r="P67" i="3"/>
  <c r="P3" i="3"/>
  <c r="P3" i="2"/>
  <c r="Q3" i="2"/>
  <c r="U3" i="2"/>
  <c r="T3" i="2"/>
  <c r="S3" i="2"/>
  <c r="P4" i="2"/>
  <c r="Q4" i="2"/>
  <c r="U4" i="2"/>
  <c r="T4" i="2"/>
  <c r="S4" i="2"/>
  <c r="P5" i="2"/>
  <c r="Q5" i="2"/>
  <c r="U5" i="2"/>
  <c r="T5" i="2"/>
  <c r="V5" i="2" s="1"/>
  <c r="S5" i="2"/>
  <c r="P6" i="2"/>
  <c r="Q6" i="2"/>
  <c r="U6" i="2"/>
  <c r="T6" i="2"/>
  <c r="S6" i="2"/>
  <c r="P7" i="2"/>
  <c r="Q7" i="2"/>
  <c r="U7" i="2"/>
  <c r="T7" i="2"/>
  <c r="S7" i="2"/>
  <c r="P8" i="2"/>
  <c r="Q8" i="2"/>
  <c r="U8" i="2"/>
  <c r="T8" i="2"/>
  <c r="S8" i="2"/>
  <c r="P9" i="2"/>
  <c r="Q9" i="2"/>
  <c r="U9" i="2"/>
  <c r="T9" i="2"/>
  <c r="S9" i="2"/>
  <c r="P10" i="2"/>
  <c r="Q10" i="2"/>
  <c r="U10" i="2"/>
  <c r="T10" i="2"/>
  <c r="S10" i="2"/>
  <c r="P11" i="2"/>
  <c r="Q11" i="2"/>
  <c r="U11" i="2"/>
  <c r="T11" i="2"/>
  <c r="S11" i="2"/>
  <c r="P12" i="2"/>
  <c r="Q12" i="2"/>
  <c r="U12" i="2"/>
  <c r="T12" i="2"/>
  <c r="S12" i="2"/>
  <c r="P13" i="2"/>
  <c r="Q13" i="2"/>
  <c r="U13" i="2"/>
  <c r="T13" i="2"/>
  <c r="S13" i="2"/>
  <c r="P14" i="2"/>
  <c r="Q14" i="2"/>
  <c r="U14" i="2"/>
  <c r="T14" i="2"/>
  <c r="S14" i="2"/>
  <c r="P15" i="2"/>
  <c r="Q15" i="2"/>
  <c r="U15" i="2"/>
  <c r="T15" i="2"/>
  <c r="S15" i="2"/>
  <c r="P16" i="2"/>
  <c r="Q16" i="2"/>
  <c r="U16" i="2"/>
  <c r="T16" i="2"/>
  <c r="S16" i="2"/>
  <c r="P17" i="2"/>
  <c r="Q17" i="2"/>
  <c r="U17" i="2"/>
  <c r="T17" i="2"/>
  <c r="S17" i="2"/>
  <c r="P18" i="2"/>
  <c r="Q18" i="2"/>
  <c r="U18" i="2"/>
  <c r="T18" i="2"/>
  <c r="S18" i="2"/>
  <c r="P19" i="2"/>
  <c r="Q19" i="2"/>
  <c r="U19" i="2"/>
  <c r="T19" i="2"/>
  <c r="S19" i="2"/>
  <c r="P20" i="2"/>
  <c r="Q20" i="2"/>
  <c r="U20" i="2"/>
  <c r="T20" i="2"/>
  <c r="S20" i="2"/>
  <c r="P21" i="2"/>
  <c r="Q21" i="2"/>
  <c r="U21" i="2"/>
  <c r="T21" i="2"/>
  <c r="S21" i="2"/>
  <c r="P22" i="2"/>
  <c r="Q22" i="2"/>
  <c r="U22" i="2"/>
  <c r="T22" i="2"/>
  <c r="S22" i="2"/>
  <c r="P23" i="2"/>
  <c r="Q23" i="2"/>
  <c r="U23" i="2"/>
  <c r="T23" i="2"/>
  <c r="S23" i="2"/>
  <c r="P24" i="2"/>
  <c r="Q24" i="2"/>
  <c r="U24" i="2"/>
  <c r="T24" i="2"/>
  <c r="S24" i="2"/>
  <c r="P26" i="2"/>
  <c r="Q26" i="2"/>
  <c r="U26" i="2"/>
  <c r="T26" i="2"/>
  <c r="S26" i="2"/>
  <c r="P27" i="2"/>
  <c r="Q27" i="2"/>
  <c r="U27" i="2"/>
  <c r="T27" i="2"/>
  <c r="S27" i="2"/>
  <c r="P28" i="2"/>
  <c r="Q28" i="2"/>
  <c r="U28" i="2"/>
  <c r="T28" i="2"/>
  <c r="S28" i="2"/>
  <c r="P29" i="2"/>
  <c r="Q29" i="2"/>
  <c r="U29" i="2"/>
  <c r="T29" i="2"/>
  <c r="S29" i="2"/>
  <c r="P30" i="2"/>
  <c r="Q30" i="2"/>
  <c r="U30" i="2"/>
  <c r="T30" i="2"/>
  <c r="S30" i="2"/>
  <c r="P31" i="2"/>
  <c r="Q31" i="2"/>
  <c r="U31" i="2"/>
  <c r="T31" i="2"/>
  <c r="S31" i="2"/>
  <c r="P32" i="2"/>
  <c r="Q32" i="2"/>
  <c r="U32" i="2"/>
  <c r="T32" i="2"/>
  <c r="S32" i="2"/>
  <c r="P33" i="2"/>
  <c r="Q33" i="2"/>
  <c r="U33" i="2"/>
  <c r="T33" i="2"/>
  <c r="S33" i="2"/>
  <c r="P34" i="2"/>
  <c r="Q34" i="2"/>
  <c r="U34" i="2"/>
  <c r="T34" i="2"/>
  <c r="S34" i="2"/>
  <c r="P35" i="2"/>
  <c r="Q35" i="2"/>
  <c r="U35" i="2"/>
  <c r="T35" i="2"/>
  <c r="S35" i="2"/>
  <c r="P36" i="2"/>
  <c r="Q36" i="2"/>
  <c r="U36" i="2"/>
  <c r="T36" i="2"/>
  <c r="S36" i="2"/>
  <c r="P37" i="2"/>
  <c r="Q37" i="2"/>
  <c r="U37" i="2"/>
  <c r="T37" i="2"/>
  <c r="S37" i="2"/>
  <c r="P38" i="2"/>
  <c r="Q38" i="2"/>
  <c r="U38" i="2"/>
  <c r="T38" i="2"/>
  <c r="S38" i="2"/>
  <c r="P39" i="2"/>
  <c r="Q39" i="2"/>
  <c r="U39" i="2"/>
  <c r="T39" i="2"/>
  <c r="S39" i="2"/>
  <c r="P40" i="2"/>
  <c r="Q40" i="2"/>
  <c r="U40" i="2"/>
  <c r="T40" i="2"/>
  <c r="S40" i="2"/>
  <c r="P41" i="2"/>
  <c r="Q41" i="2"/>
  <c r="U41" i="2"/>
  <c r="T41" i="2"/>
  <c r="S41" i="2"/>
  <c r="P42" i="2"/>
  <c r="Q42" i="2"/>
  <c r="U42" i="2"/>
  <c r="T42" i="2"/>
  <c r="S42" i="2"/>
  <c r="P43" i="2"/>
  <c r="Q43" i="2"/>
  <c r="U43" i="2"/>
  <c r="T43" i="2"/>
  <c r="S43" i="2"/>
  <c r="P44" i="2"/>
  <c r="Q44" i="2"/>
  <c r="U44" i="2"/>
  <c r="T44" i="2"/>
  <c r="S44" i="2"/>
  <c r="P45" i="2"/>
  <c r="Q45" i="2"/>
  <c r="U45" i="2"/>
  <c r="T45" i="2"/>
  <c r="S45" i="2"/>
  <c r="P46" i="2"/>
  <c r="Q46" i="2"/>
  <c r="U46" i="2"/>
  <c r="T46" i="2"/>
  <c r="S46" i="2"/>
  <c r="P48" i="2"/>
  <c r="Q48" i="2"/>
  <c r="U48" i="2"/>
  <c r="T48" i="2"/>
  <c r="S48" i="2"/>
  <c r="P49" i="2"/>
  <c r="Q49" i="2"/>
  <c r="U49" i="2"/>
  <c r="T49" i="2"/>
  <c r="S49" i="2"/>
  <c r="P50" i="2"/>
  <c r="Q50" i="2"/>
  <c r="U50" i="2"/>
  <c r="T50" i="2"/>
  <c r="S50" i="2"/>
  <c r="P52" i="2"/>
  <c r="Q52" i="2"/>
  <c r="U52" i="2"/>
  <c r="T52" i="2"/>
  <c r="S52" i="2"/>
  <c r="P53" i="2"/>
  <c r="Q53" i="2"/>
  <c r="U53" i="2"/>
  <c r="T53" i="2"/>
  <c r="S53" i="2"/>
  <c r="P55" i="2"/>
  <c r="Q55" i="2"/>
  <c r="U55" i="2"/>
  <c r="T55" i="2"/>
  <c r="S55" i="2"/>
  <c r="P56" i="2"/>
  <c r="Q56" i="2"/>
  <c r="U56" i="2"/>
  <c r="T56" i="2"/>
  <c r="S56" i="2"/>
  <c r="V56" i="2" s="1"/>
  <c r="P57" i="2"/>
  <c r="Q57" i="2"/>
  <c r="U57" i="2"/>
  <c r="T57" i="2"/>
  <c r="S57" i="2"/>
  <c r="L58" i="2"/>
  <c r="Q58" i="2" s="1"/>
  <c r="P59" i="2"/>
  <c r="Q59" i="2"/>
  <c r="U59" i="2"/>
  <c r="T59" i="2"/>
  <c r="S59" i="2"/>
  <c r="P60" i="2"/>
  <c r="Q60" i="2"/>
  <c r="U60" i="2"/>
  <c r="T60" i="2"/>
  <c r="S60" i="2"/>
  <c r="P61" i="2"/>
  <c r="Q61" i="2"/>
  <c r="U61" i="2"/>
  <c r="T61" i="2"/>
  <c r="S61" i="2"/>
  <c r="P62" i="2"/>
  <c r="Q62" i="2"/>
  <c r="U62" i="2"/>
  <c r="T62" i="2"/>
  <c r="S62" i="2"/>
  <c r="P63" i="2"/>
  <c r="Q63" i="2"/>
  <c r="U63" i="2"/>
  <c r="T63" i="2"/>
  <c r="S63" i="2"/>
  <c r="P64" i="2"/>
  <c r="Q64" i="2"/>
  <c r="U64" i="2"/>
  <c r="T64" i="2"/>
  <c r="S64" i="2"/>
  <c r="P65" i="2"/>
  <c r="Q65" i="2"/>
  <c r="U65" i="2"/>
  <c r="T65" i="2"/>
  <c r="S65" i="2"/>
  <c r="P66" i="2"/>
  <c r="Q66" i="2"/>
  <c r="AH66" i="2" s="1"/>
  <c r="U66" i="2"/>
  <c r="T66" i="2"/>
  <c r="S66" i="2"/>
  <c r="P67" i="2"/>
  <c r="Q67" i="2"/>
  <c r="U67" i="2"/>
  <c r="T67" i="2"/>
  <c r="S67" i="2"/>
  <c r="P69" i="2"/>
  <c r="Q69" i="2"/>
  <c r="U69" i="2"/>
  <c r="T69" i="2"/>
  <c r="S69" i="2"/>
  <c r="P70" i="2"/>
  <c r="Q70" i="2"/>
  <c r="U70" i="2"/>
  <c r="T70" i="2"/>
  <c r="S70" i="2"/>
  <c r="P71" i="2"/>
  <c r="Q71" i="2"/>
  <c r="AH71" i="2" s="1"/>
  <c r="U71" i="2"/>
  <c r="T71" i="2"/>
  <c r="S71" i="2"/>
  <c r="P72" i="2"/>
  <c r="Q72" i="2"/>
  <c r="R72" i="2" s="1"/>
  <c r="U72" i="2"/>
  <c r="T72" i="2"/>
  <c r="S72" i="2"/>
  <c r="V72" i="2" s="1"/>
  <c r="P73" i="2"/>
  <c r="R73" i="2" s="1"/>
  <c r="Q73" i="2"/>
  <c r="U73" i="2"/>
  <c r="T73" i="2"/>
  <c r="S73" i="2"/>
  <c r="P74" i="2"/>
  <c r="Q74" i="2"/>
  <c r="U74" i="2"/>
  <c r="T74" i="2"/>
  <c r="S74" i="2"/>
  <c r="P75" i="2"/>
  <c r="Q75" i="2"/>
  <c r="R75" i="2" s="1"/>
  <c r="U75" i="2"/>
  <c r="T75" i="2"/>
  <c r="S75" i="2"/>
  <c r="P76" i="2"/>
  <c r="Q76" i="2"/>
  <c r="U76" i="2"/>
  <c r="T76" i="2"/>
  <c r="S76" i="2"/>
  <c r="P77" i="2"/>
  <c r="Q77" i="2"/>
  <c r="U77" i="2"/>
  <c r="T77" i="2"/>
  <c r="S77" i="2"/>
  <c r="U2" i="2"/>
  <c r="T2" i="2"/>
  <c r="S2" i="2"/>
  <c r="P2" i="2"/>
  <c r="Q2" i="2"/>
  <c r="N3" i="1"/>
  <c r="O3" i="1"/>
  <c r="P3" i="1"/>
  <c r="R3" i="1"/>
  <c r="N4" i="1"/>
  <c r="O4" i="1"/>
  <c r="P4" i="1"/>
  <c r="R4" i="1"/>
  <c r="N6" i="1"/>
  <c r="O6" i="1"/>
  <c r="P6" i="1"/>
  <c r="R6" i="1"/>
  <c r="N7" i="1"/>
  <c r="O7" i="1"/>
  <c r="P7" i="1"/>
  <c r="R7" i="1"/>
  <c r="N9" i="1"/>
  <c r="O9" i="1"/>
  <c r="P9" i="1"/>
  <c r="R9" i="1"/>
  <c r="N11" i="1"/>
  <c r="O11" i="1"/>
  <c r="P11" i="1"/>
  <c r="R11" i="1"/>
  <c r="N12" i="1"/>
  <c r="O12" i="1"/>
  <c r="P12" i="1"/>
  <c r="R12" i="1"/>
  <c r="N13" i="1"/>
  <c r="O13" i="1"/>
  <c r="P13" i="1"/>
  <c r="R13" i="1"/>
  <c r="N14" i="1"/>
  <c r="O14" i="1"/>
  <c r="P14" i="1"/>
  <c r="R14" i="1"/>
  <c r="N15" i="1"/>
  <c r="O15" i="1"/>
  <c r="P15" i="1"/>
  <c r="R15" i="1"/>
  <c r="N16" i="1"/>
  <c r="O16" i="1"/>
  <c r="P16" i="1"/>
  <c r="R16" i="1"/>
  <c r="N17" i="1"/>
  <c r="O17" i="1"/>
  <c r="P17" i="1"/>
  <c r="R17" i="1"/>
  <c r="N19" i="1"/>
  <c r="O19" i="1"/>
  <c r="P19" i="1"/>
  <c r="R19" i="1"/>
  <c r="N20" i="1"/>
  <c r="O20" i="1"/>
  <c r="P20" i="1"/>
  <c r="R20" i="1"/>
  <c r="N21" i="1"/>
  <c r="O21" i="1"/>
  <c r="P21" i="1"/>
  <c r="R21" i="1"/>
  <c r="N22" i="1"/>
  <c r="O22" i="1"/>
  <c r="P22" i="1"/>
  <c r="R22" i="1"/>
  <c r="N23" i="1"/>
  <c r="O23" i="1"/>
  <c r="P23" i="1"/>
  <c r="R23" i="1"/>
  <c r="N24" i="1"/>
  <c r="O24" i="1"/>
  <c r="P24" i="1"/>
  <c r="R24" i="1"/>
  <c r="N26" i="1"/>
  <c r="O26" i="1"/>
  <c r="P26" i="1"/>
  <c r="R26" i="1"/>
  <c r="N28" i="1"/>
  <c r="O28" i="1"/>
  <c r="P28" i="1"/>
  <c r="R28" i="1"/>
  <c r="N35" i="1"/>
  <c r="O35" i="1"/>
  <c r="P35" i="1"/>
  <c r="R35" i="1"/>
  <c r="N89" i="1"/>
  <c r="O89" i="1"/>
  <c r="P89" i="1"/>
  <c r="R89" i="1"/>
  <c r="N88" i="1"/>
  <c r="O88" i="1"/>
  <c r="P88" i="1"/>
  <c r="R88" i="1"/>
  <c r="N36" i="1"/>
  <c r="O36" i="1"/>
  <c r="P36" i="1"/>
  <c r="R36" i="1"/>
  <c r="N37" i="1"/>
  <c r="O37" i="1"/>
  <c r="P37" i="1"/>
  <c r="R37" i="1"/>
  <c r="N38" i="1"/>
  <c r="O38" i="1"/>
  <c r="P38" i="1"/>
  <c r="R38" i="1"/>
  <c r="N39" i="1"/>
  <c r="O39" i="1"/>
  <c r="P39" i="1"/>
  <c r="R39" i="1"/>
  <c r="N42" i="1"/>
  <c r="O42" i="1"/>
  <c r="P42" i="1"/>
  <c r="R42" i="1"/>
  <c r="N43" i="1"/>
  <c r="O43" i="1"/>
  <c r="P43" i="1"/>
  <c r="R43" i="1"/>
  <c r="N44" i="1"/>
  <c r="O44" i="1"/>
  <c r="P44" i="1"/>
  <c r="R44" i="1"/>
  <c r="N47" i="1"/>
  <c r="O47" i="1"/>
  <c r="P47" i="1"/>
  <c r="R47" i="1"/>
  <c r="N48" i="1"/>
  <c r="O48" i="1"/>
  <c r="P48" i="1"/>
  <c r="R48" i="1"/>
  <c r="N49" i="1"/>
  <c r="O49" i="1"/>
  <c r="P49" i="1"/>
  <c r="R49" i="1"/>
  <c r="N50" i="1"/>
  <c r="O50" i="1"/>
  <c r="P50" i="1"/>
  <c r="R50" i="1"/>
  <c r="N51" i="1"/>
  <c r="O51" i="1"/>
  <c r="P51" i="1"/>
  <c r="R51" i="1"/>
  <c r="N52" i="1"/>
  <c r="O52" i="1"/>
  <c r="P52" i="1"/>
  <c r="R52" i="1"/>
  <c r="N54" i="1"/>
  <c r="O54" i="1"/>
  <c r="P54" i="1"/>
  <c r="R54" i="1"/>
  <c r="N56" i="1"/>
  <c r="O56" i="1"/>
  <c r="P56" i="1"/>
  <c r="R56" i="1"/>
  <c r="N57" i="1"/>
  <c r="O57" i="1"/>
  <c r="P57" i="1"/>
  <c r="R57" i="1"/>
  <c r="N58" i="1"/>
  <c r="O58" i="1"/>
  <c r="P58" i="1"/>
  <c r="R58" i="1"/>
  <c r="N59" i="1"/>
  <c r="O59" i="1"/>
  <c r="P59" i="1"/>
  <c r="R59" i="1"/>
  <c r="N60" i="1"/>
  <c r="O60" i="1"/>
  <c r="P60" i="1"/>
  <c r="R60" i="1"/>
  <c r="N61" i="1"/>
  <c r="O61" i="1"/>
  <c r="P61" i="1"/>
  <c r="R61" i="1"/>
  <c r="N62" i="1"/>
  <c r="O62" i="1"/>
  <c r="P62" i="1"/>
  <c r="R62" i="1"/>
  <c r="N63" i="1"/>
  <c r="O63" i="1"/>
  <c r="P63" i="1"/>
  <c r="R63" i="1"/>
  <c r="N64" i="1"/>
  <c r="O64" i="1"/>
  <c r="P64" i="1"/>
  <c r="R64" i="1"/>
  <c r="N65" i="1"/>
  <c r="O65" i="1"/>
  <c r="P65" i="1"/>
  <c r="R65" i="1"/>
  <c r="N66" i="1"/>
  <c r="O66" i="1"/>
  <c r="P66" i="1"/>
  <c r="R66" i="1"/>
  <c r="N67" i="1"/>
  <c r="O67" i="1"/>
  <c r="P67" i="1"/>
  <c r="R67" i="1"/>
  <c r="N68" i="1"/>
  <c r="O68" i="1"/>
  <c r="P68" i="1"/>
  <c r="R68" i="1"/>
  <c r="N69" i="1"/>
  <c r="O69" i="1"/>
  <c r="P69" i="1"/>
  <c r="R69" i="1"/>
  <c r="N70" i="1"/>
  <c r="O70" i="1"/>
  <c r="P70" i="1"/>
  <c r="R70" i="1"/>
  <c r="N71" i="1"/>
  <c r="O71" i="1"/>
  <c r="P71" i="1"/>
  <c r="R71" i="1"/>
  <c r="N72" i="1"/>
  <c r="O72" i="1"/>
  <c r="P72" i="1"/>
  <c r="R72" i="1"/>
  <c r="N74" i="1"/>
  <c r="O74" i="1"/>
  <c r="P74" i="1"/>
  <c r="R74" i="1"/>
  <c r="N75" i="1"/>
  <c r="O75" i="1"/>
  <c r="P75" i="1"/>
  <c r="R75" i="1"/>
  <c r="N76" i="1"/>
  <c r="O76" i="1"/>
  <c r="P76" i="1"/>
  <c r="R76" i="1"/>
  <c r="N77" i="1"/>
  <c r="O77" i="1"/>
  <c r="P77" i="1"/>
  <c r="R77" i="1"/>
  <c r="N78" i="1"/>
  <c r="O78" i="1"/>
  <c r="P78" i="1"/>
  <c r="R78" i="1"/>
  <c r="N79" i="1"/>
  <c r="O79" i="1"/>
  <c r="P79" i="1"/>
  <c r="R79" i="1"/>
  <c r="N80" i="1"/>
  <c r="O80" i="1"/>
  <c r="P80" i="1"/>
  <c r="R80" i="1"/>
  <c r="N2" i="1"/>
  <c r="O2" i="1"/>
  <c r="P2" i="1"/>
  <c r="R2" i="1"/>
  <c r="AA30" i="3"/>
  <c r="AB30" i="3"/>
  <c r="AA40" i="3"/>
  <c r="AB40" i="3"/>
  <c r="AA57" i="3"/>
  <c r="AB57" i="3"/>
  <c r="AA63" i="3"/>
  <c r="AB63" i="3"/>
  <c r="AD69" i="2"/>
  <c r="AD70" i="2"/>
  <c r="AD71" i="2"/>
  <c r="AD72" i="2"/>
  <c r="AD73" i="2"/>
  <c r="AD74" i="2"/>
  <c r="AD75" i="2"/>
  <c r="AD76" i="2"/>
  <c r="AD77" i="2"/>
  <c r="R14" i="2"/>
  <c r="AB14" i="2" s="1"/>
  <c r="AO2" i="6"/>
  <c r="R9" i="3" l="1"/>
  <c r="AE31" i="5"/>
  <c r="AE81" i="5"/>
  <c r="AE105" i="5"/>
  <c r="R49" i="3"/>
  <c r="AB49" i="3" s="1"/>
  <c r="V12" i="3"/>
  <c r="AE12" i="3" s="1"/>
  <c r="R8" i="3"/>
  <c r="AB8" i="3" s="1"/>
  <c r="V4" i="3"/>
  <c r="W4" i="3" s="1"/>
  <c r="Y4" i="3" s="1"/>
  <c r="V45" i="3"/>
  <c r="AG45" i="3" s="1"/>
  <c r="R21" i="3"/>
  <c r="AB21" i="3" s="1"/>
  <c r="R29" i="3"/>
  <c r="AB29" i="3" s="1"/>
  <c r="AE99" i="5"/>
  <c r="AH45" i="3"/>
  <c r="R45" i="3"/>
  <c r="AB45" i="3" s="1"/>
  <c r="R53" i="2"/>
  <c r="AB53" i="2" s="1"/>
  <c r="AF6" i="6"/>
  <c r="AO6" i="6" s="1"/>
  <c r="R18" i="3"/>
  <c r="AH14" i="3"/>
  <c r="V60" i="3"/>
  <c r="AE60" i="3" s="1"/>
  <c r="V20" i="3"/>
  <c r="AE20" i="3" s="1"/>
  <c r="AE98" i="5"/>
  <c r="AE10" i="5"/>
  <c r="AE30" i="5"/>
  <c r="AE118" i="5"/>
  <c r="AE41" i="5"/>
  <c r="AE6" i="5"/>
  <c r="AH12" i="3"/>
  <c r="AQ2" i="6"/>
  <c r="V49" i="3"/>
  <c r="AE103" i="5"/>
  <c r="AH49" i="3"/>
  <c r="AH74" i="2"/>
  <c r="AH65" i="2"/>
  <c r="R33" i="2"/>
  <c r="AB33" i="2" s="1"/>
  <c r="AH24" i="2"/>
  <c r="R8" i="2"/>
  <c r="AB8" i="2" s="1"/>
  <c r="V51" i="2"/>
  <c r="AE51" i="2" s="1"/>
  <c r="AF13" i="6"/>
  <c r="AO13" i="6" s="1"/>
  <c r="R83" i="2"/>
  <c r="V81" i="2"/>
  <c r="W81" i="2" s="1"/>
  <c r="R79" i="2"/>
  <c r="AH67" i="3"/>
  <c r="V62" i="3"/>
  <c r="AE62" i="3" s="1"/>
  <c r="AE61" i="3"/>
  <c r="V58" i="3"/>
  <c r="AG58" i="3" s="1"/>
  <c r="AE33" i="5"/>
  <c r="AE65" i="5"/>
  <c r="AE86" i="5"/>
  <c r="AE110" i="5"/>
  <c r="AE88" i="5"/>
  <c r="AG31" i="4"/>
  <c r="AI31" i="4" s="1"/>
  <c r="AO31" i="4" s="1"/>
  <c r="AD8" i="4"/>
  <c r="AQ8" i="4" s="1"/>
  <c r="AD83" i="1"/>
  <c r="T83" i="1"/>
  <c r="W83" i="1" s="1"/>
  <c r="AF83" i="1"/>
  <c r="Q45" i="1"/>
  <c r="AE45" i="1" s="1"/>
  <c r="T84" i="1"/>
  <c r="W84" i="1" s="1"/>
  <c r="AG12" i="1"/>
  <c r="AF19" i="6"/>
  <c r="AM19" i="6" s="1"/>
  <c r="AQ17" i="6"/>
  <c r="AO17" i="6"/>
  <c r="AQ8" i="6"/>
  <c r="AO8" i="6"/>
  <c r="AQ11" i="6"/>
  <c r="AO5" i="6"/>
  <c r="AL2" i="6"/>
  <c r="AO12" i="6"/>
  <c r="AL12" i="6"/>
  <c r="AG30" i="4"/>
  <c r="AI30" i="4" s="1"/>
  <c r="AD35" i="4"/>
  <c r="AD34" i="4"/>
  <c r="AF34" i="4" s="1"/>
  <c r="AD31" i="4"/>
  <c r="AD30" i="4"/>
  <c r="AR30" i="4" s="1"/>
  <c r="AG29" i="4"/>
  <c r="AS29" i="4" s="1"/>
  <c r="AG28" i="4"/>
  <c r="AI28" i="4" s="1"/>
  <c r="AO28" i="4" s="1"/>
  <c r="AD27" i="4"/>
  <c r="AT27" i="4" s="1"/>
  <c r="AD26" i="4"/>
  <c r="AT26" i="4" s="1"/>
  <c r="AG25" i="4"/>
  <c r="AI25" i="4" s="1"/>
  <c r="AO25" i="4" s="1"/>
  <c r="AD23" i="4"/>
  <c r="AT23" i="4" s="1"/>
  <c r="AG22" i="4"/>
  <c r="AG15" i="4"/>
  <c r="AI15" i="4" s="1"/>
  <c r="AM15" i="4" s="1"/>
  <c r="AP15" i="4" s="1"/>
  <c r="AD12" i="4"/>
  <c r="AF12" i="4" s="1"/>
  <c r="AN12" i="4" s="1"/>
  <c r="AG10" i="4"/>
  <c r="AD10" i="4"/>
  <c r="AD5" i="4"/>
  <c r="AF5" i="4" s="1"/>
  <c r="AN5" i="4" s="1"/>
  <c r="AG4" i="4"/>
  <c r="AI4" i="4" s="1"/>
  <c r="AD50" i="4"/>
  <c r="AT50" i="4" s="1"/>
  <c r="AD42" i="4"/>
  <c r="AF42" i="4" s="1"/>
  <c r="AN42" i="4" s="1"/>
  <c r="AD41" i="4"/>
  <c r="AT41" i="4" s="1"/>
  <c r="AD38" i="4"/>
  <c r="AF38" i="4" s="1"/>
  <c r="AD37" i="4"/>
  <c r="AF37" i="4" s="1"/>
  <c r="AN37" i="4" s="1"/>
  <c r="AS30" i="4"/>
  <c r="AS22" i="4"/>
  <c r="AG37" i="4"/>
  <c r="AR37" i="4" s="1"/>
  <c r="AD55" i="4"/>
  <c r="AD53" i="4"/>
  <c r="AF53" i="4" s="1"/>
  <c r="AN53" i="4" s="1"/>
  <c r="AG50" i="4"/>
  <c r="AI50" i="4" s="1"/>
  <c r="AD44" i="4"/>
  <c r="AF44" i="4" s="1"/>
  <c r="AN44" i="4" s="1"/>
  <c r="AG43" i="4"/>
  <c r="AI43" i="4" s="1"/>
  <c r="AG42" i="4"/>
  <c r="AQ42" i="4" s="1"/>
  <c r="AG40" i="4"/>
  <c r="AS40" i="4" s="1"/>
  <c r="AD40" i="4"/>
  <c r="AT40" i="4" s="1"/>
  <c r="AG38" i="4"/>
  <c r="AS38" i="4" s="1"/>
  <c r="AG36" i="4"/>
  <c r="AS36" i="4" s="1"/>
  <c r="AD33" i="4"/>
  <c r="AF33" i="4" s="1"/>
  <c r="AN33" i="4" s="1"/>
  <c r="AD29" i="4"/>
  <c r="AF29" i="4" s="1"/>
  <c r="AN29" i="4" s="1"/>
  <c r="AD28" i="4"/>
  <c r="AF28" i="4" s="1"/>
  <c r="AG27" i="4"/>
  <c r="AI27" i="4" s="1"/>
  <c r="AD24" i="4"/>
  <c r="AF24" i="4" s="1"/>
  <c r="AN24" i="4" s="1"/>
  <c r="AG23" i="4"/>
  <c r="AS23" i="4" s="1"/>
  <c r="AD22" i="4"/>
  <c r="AF22" i="4" s="1"/>
  <c r="AN22" i="4" s="1"/>
  <c r="AD15" i="4"/>
  <c r="AF15" i="4" s="1"/>
  <c r="AN15" i="4" s="1"/>
  <c r="AG11" i="4"/>
  <c r="AI11" i="4" s="1"/>
  <c r="AO11" i="4" s="1"/>
  <c r="AD11" i="4"/>
  <c r="AF11" i="4" s="1"/>
  <c r="AN11" i="4" s="1"/>
  <c r="AG8" i="4"/>
  <c r="AS8" i="4" s="1"/>
  <c r="AD4" i="4"/>
  <c r="AF4" i="4" s="1"/>
  <c r="AN4" i="4" s="1"/>
  <c r="AQ31" i="4"/>
  <c r="AD60" i="4"/>
  <c r="AT60" i="4" s="1"/>
  <c r="AG34" i="4"/>
  <c r="AS34" i="4" s="1"/>
  <c r="AG5" i="4"/>
  <c r="AI5" i="4" s="1"/>
  <c r="AG35" i="4"/>
  <c r="AI35" i="4" s="1"/>
  <c r="AO35" i="4" s="1"/>
  <c r="AG33" i="4"/>
  <c r="AI33" i="4" s="1"/>
  <c r="AG16" i="4"/>
  <c r="AS16" i="4" s="1"/>
  <c r="AO43" i="4"/>
  <c r="AI38" i="4"/>
  <c r="AT29" i="4"/>
  <c r="AN28" i="4"/>
  <c r="AT30" i="4"/>
  <c r="AT28" i="4"/>
  <c r="AF10" i="4"/>
  <c r="AN10" i="4" s="1"/>
  <c r="AT10" i="4"/>
  <c r="AI42" i="4"/>
  <c r="AK42" i="4" s="1"/>
  <c r="AF55" i="4"/>
  <c r="AN55" i="4" s="1"/>
  <c r="AT55" i="4"/>
  <c r="AT37" i="4"/>
  <c r="AF27" i="4"/>
  <c r="AN27" i="4" s="1"/>
  <c r="AQ5" i="4"/>
  <c r="AT5" i="4"/>
  <c r="AG60" i="4"/>
  <c r="AS60" i="4" s="1"/>
  <c r="AD16" i="4"/>
  <c r="AF16" i="4" s="1"/>
  <c r="AN16" i="4" s="1"/>
  <c r="AG12" i="4"/>
  <c r="AO30" i="4"/>
  <c r="AG56" i="4"/>
  <c r="AS56" i="4" s="1"/>
  <c r="AD36" i="4"/>
  <c r="AF36" i="4" s="1"/>
  <c r="AG2" i="4"/>
  <c r="AI2" i="4" s="1"/>
  <c r="AG59" i="4"/>
  <c r="AI59" i="4" s="1"/>
  <c r="AD56" i="4"/>
  <c r="AR56" i="4" s="1"/>
  <c r="AG55" i="4"/>
  <c r="AS55" i="4" s="1"/>
  <c r="AD54" i="4"/>
  <c r="AT54" i="4" s="1"/>
  <c r="AG53" i="4"/>
  <c r="AI53" i="4" s="1"/>
  <c r="AG52" i="4"/>
  <c r="AI52" i="4" s="1"/>
  <c r="AD52" i="4"/>
  <c r="AT52" i="4" s="1"/>
  <c r="AD51" i="4"/>
  <c r="AF51" i="4" s="1"/>
  <c r="AG44" i="4"/>
  <c r="AS44" i="4" s="1"/>
  <c r="AD43" i="4"/>
  <c r="AF43" i="4" s="1"/>
  <c r="AG41" i="4"/>
  <c r="AE58" i="5"/>
  <c r="AE34" i="5"/>
  <c r="AE93" i="5"/>
  <c r="AE18" i="5"/>
  <c r="AE80" i="5"/>
  <c r="AE78" i="5"/>
  <c r="AE82" i="5"/>
  <c r="AE2" i="5"/>
  <c r="AE26" i="5"/>
  <c r="AE119" i="5"/>
  <c r="AE14" i="5"/>
  <c r="AE44" i="5"/>
  <c r="AE83" i="5"/>
  <c r="AE115" i="5"/>
  <c r="AE35" i="5"/>
  <c r="AE27" i="5"/>
  <c r="AH21" i="3"/>
  <c r="R12" i="3"/>
  <c r="AB12" i="3" s="1"/>
  <c r="AH59" i="3"/>
  <c r="R43" i="3"/>
  <c r="AB43" i="3" s="1"/>
  <c r="AH8" i="3"/>
  <c r="R47" i="3"/>
  <c r="AB47" i="3" s="1"/>
  <c r="AD30" i="3"/>
  <c r="R67" i="3"/>
  <c r="AB67" i="3" s="1"/>
  <c r="AH62" i="3"/>
  <c r="AH53" i="3"/>
  <c r="AH26" i="3"/>
  <c r="AH22" i="3"/>
  <c r="AH18" i="3"/>
  <c r="R15" i="3"/>
  <c r="AB15" i="3" s="1"/>
  <c r="AH6" i="3"/>
  <c r="AG66" i="3"/>
  <c r="AH65" i="3"/>
  <c r="AG61" i="3"/>
  <c r="W58" i="3"/>
  <c r="AE49" i="3"/>
  <c r="R46" i="3"/>
  <c r="AB46" i="3" s="1"/>
  <c r="AE45" i="3"/>
  <c r="AH42" i="3"/>
  <c r="V38" i="3"/>
  <c r="AG38" i="3" s="1"/>
  <c r="AH37" i="3"/>
  <c r="AH34" i="3"/>
  <c r="AH33" i="3"/>
  <c r="V32" i="3"/>
  <c r="AG32" i="3" s="1"/>
  <c r="R31" i="3"/>
  <c r="AB31" i="3" s="1"/>
  <c r="R23" i="3"/>
  <c r="AB23" i="3" s="1"/>
  <c r="R19" i="3"/>
  <c r="AB19" i="3" s="1"/>
  <c r="AH4" i="3"/>
  <c r="AH60" i="3"/>
  <c r="AD57" i="3"/>
  <c r="AH61" i="3"/>
  <c r="AH48" i="3"/>
  <c r="R14" i="3"/>
  <c r="AH5" i="3"/>
  <c r="AH16" i="3"/>
  <c r="R11" i="3"/>
  <c r="AB11" i="3" s="1"/>
  <c r="AH56" i="3"/>
  <c r="V48" i="3"/>
  <c r="W48" i="3" s="1"/>
  <c r="V25" i="3"/>
  <c r="AE25" i="3" s="1"/>
  <c r="AC58" i="3"/>
  <c r="AH51" i="3"/>
  <c r="AG12" i="3"/>
  <c r="AH31" i="3"/>
  <c r="R6" i="3"/>
  <c r="AB6" i="3" s="1"/>
  <c r="AB18" i="3"/>
  <c r="R22" i="3"/>
  <c r="AB22" i="3" s="1"/>
  <c r="R48" i="3"/>
  <c r="AG48" i="3"/>
  <c r="R26" i="3"/>
  <c r="AB26" i="3" s="1"/>
  <c r="V41" i="3"/>
  <c r="AF41" i="3" s="1"/>
  <c r="V26" i="3"/>
  <c r="AF26" i="3" s="1"/>
  <c r="V22" i="3"/>
  <c r="AG22" i="3" s="1"/>
  <c r="R28" i="3"/>
  <c r="R3" i="3"/>
  <c r="AB3" i="3" s="1"/>
  <c r="R7" i="3"/>
  <c r="AB7" i="3" s="1"/>
  <c r="AC48" i="3"/>
  <c r="AG60" i="3"/>
  <c r="AE48" i="3"/>
  <c r="R62" i="3"/>
  <c r="AB62" i="3" s="1"/>
  <c r="AD63" i="3"/>
  <c r="AD40" i="3"/>
  <c r="AH66" i="3"/>
  <c r="R24" i="3"/>
  <c r="R20" i="3"/>
  <c r="AB20" i="3" s="1"/>
  <c r="R4" i="3"/>
  <c r="AB4" i="3" s="1"/>
  <c r="V18" i="3"/>
  <c r="AF18" i="3" s="1"/>
  <c r="R36" i="3"/>
  <c r="AB36" i="3" s="1"/>
  <c r="V70" i="2"/>
  <c r="AG70" i="2" s="1"/>
  <c r="V16" i="2"/>
  <c r="AG16" i="2" s="1"/>
  <c r="R2" i="2"/>
  <c r="AB2" i="2" s="1"/>
  <c r="R17" i="2"/>
  <c r="W56" i="2"/>
  <c r="V33" i="2"/>
  <c r="AF33" i="2" s="1"/>
  <c r="S58" i="2"/>
  <c r="U58" i="2"/>
  <c r="V49" i="2"/>
  <c r="AE49" i="2" s="1"/>
  <c r="AH22" i="2"/>
  <c r="R18" i="2"/>
  <c r="AB18" i="2" s="1"/>
  <c r="AH14" i="2"/>
  <c r="R10" i="2"/>
  <c r="AB10" i="2" s="1"/>
  <c r="V77" i="2"/>
  <c r="AG77" i="2" s="1"/>
  <c r="R76" i="2"/>
  <c r="AH33" i="2"/>
  <c r="V17" i="2"/>
  <c r="W17" i="2" s="1"/>
  <c r="AC17" i="2" s="1"/>
  <c r="AH16" i="2"/>
  <c r="V24" i="2"/>
  <c r="AG24" i="2" s="1"/>
  <c r="V60" i="2"/>
  <c r="AE60" i="2" s="1"/>
  <c r="AH59" i="2"/>
  <c r="V57" i="2"/>
  <c r="AG57" i="2" s="1"/>
  <c r="R50" i="2"/>
  <c r="AB50" i="2" s="1"/>
  <c r="R16" i="2"/>
  <c r="AB16" i="2" s="1"/>
  <c r="V74" i="2"/>
  <c r="W74" i="2" s="1"/>
  <c r="R60" i="2"/>
  <c r="AB60" i="2" s="1"/>
  <c r="R46" i="2"/>
  <c r="AB46" i="2" s="1"/>
  <c r="AH27" i="2"/>
  <c r="R22" i="2"/>
  <c r="R71" i="2"/>
  <c r="AH62" i="2"/>
  <c r="R40" i="2"/>
  <c r="AB40" i="2" s="1"/>
  <c r="AH8" i="2"/>
  <c r="AG72" i="2"/>
  <c r="V71" i="2"/>
  <c r="AF71" i="2" s="1"/>
  <c r="V66" i="2"/>
  <c r="W66" i="2" s="1"/>
  <c r="V62" i="2"/>
  <c r="AG62" i="2" s="1"/>
  <c r="AH48" i="2"/>
  <c r="R43" i="2"/>
  <c r="AB43" i="2" s="1"/>
  <c r="V40" i="2"/>
  <c r="AF40" i="2" s="1"/>
  <c r="R39" i="2"/>
  <c r="AB39" i="2" s="1"/>
  <c r="R35" i="2"/>
  <c r="AB35" i="2" s="1"/>
  <c r="V22" i="2"/>
  <c r="AF22" i="2" s="1"/>
  <c r="V18" i="2"/>
  <c r="R15" i="2"/>
  <c r="AB15" i="2" s="1"/>
  <c r="V65" i="2"/>
  <c r="AG65" i="2" s="1"/>
  <c r="R56" i="2"/>
  <c r="AB56" i="2" s="1"/>
  <c r="R52" i="2"/>
  <c r="AB52" i="2" s="1"/>
  <c r="V39" i="2"/>
  <c r="W39" i="2" s="1"/>
  <c r="V34" i="2"/>
  <c r="AF34" i="2" s="1"/>
  <c r="R24" i="2"/>
  <c r="AB24" i="2" s="1"/>
  <c r="AC56" i="2"/>
  <c r="W65" i="2"/>
  <c r="AA56" i="2"/>
  <c r="V35" i="2"/>
  <c r="AF35" i="2" s="1"/>
  <c r="V32" i="2"/>
  <c r="W32" i="2" s="1"/>
  <c r="V80" i="2"/>
  <c r="W80" i="2" s="1"/>
  <c r="R59" i="2"/>
  <c r="AB59" i="2" s="1"/>
  <c r="R69" i="2"/>
  <c r="AH46" i="2"/>
  <c r="R62" i="2"/>
  <c r="AB62" i="2" s="1"/>
  <c r="V64" i="2"/>
  <c r="AF64" i="2" s="1"/>
  <c r="V61" i="2"/>
  <c r="AE61" i="2" s="1"/>
  <c r="V50" i="2"/>
  <c r="AE50" i="2" s="1"/>
  <c r="W49" i="2"/>
  <c r="V38" i="2"/>
  <c r="W38" i="2" s="1"/>
  <c r="V31" i="2"/>
  <c r="AF31" i="2" s="1"/>
  <c r="R30" i="2"/>
  <c r="AB30" i="2" s="1"/>
  <c r="R23" i="2"/>
  <c r="AB23" i="2" s="1"/>
  <c r="R7" i="2"/>
  <c r="AB7" i="2" s="1"/>
  <c r="R51" i="2"/>
  <c r="R82" i="2"/>
  <c r="W70" i="2"/>
  <c r="AE16" i="2"/>
  <c r="AE56" i="2"/>
  <c r="AG56" i="2"/>
  <c r="AE17" i="2"/>
  <c r="V76" i="2"/>
  <c r="W76" i="2" s="1"/>
  <c r="V75" i="2"/>
  <c r="W75" i="2" s="1"/>
  <c r="AH75" i="2"/>
  <c r="R74" i="2"/>
  <c r="V55" i="2"/>
  <c r="AE55" i="2" s="1"/>
  <c r="V53" i="2"/>
  <c r="AE53" i="2" s="1"/>
  <c r="V48" i="2"/>
  <c r="AG48" i="2" s="1"/>
  <c r="R44" i="2"/>
  <c r="AB44" i="2" s="1"/>
  <c r="AH43" i="2"/>
  <c r="R32" i="2"/>
  <c r="AB32" i="2" s="1"/>
  <c r="W31" i="2"/>
  <c r="V14" i="2"/>
  <c r="R13" i="2"/>
  <c r="AB13" i="2" s="1"/>
  <c r="V10" i="2"/>
  <c r="W10" i="2" s="1"/>
  <c r="R9" i="2"/>
  <c r="R6" i="2"/>
  <c r="AB6" i="2" s="1"/>
  <c r="Q74" i="1"/>
  <c r="T74" i="1" s="1"/>
  <c r="Q23" i="1"/>
  <c r="AE23" i="1" s="1"/>
  <c r="Z83" i="1"/>
  <c r="Z85" i="1"/>
  <c r="W85" i="1"/>
  <c r="Q42" i="1"/>
  <c r="AE42" i="1" s="1"/>
  <c r="Q35" i="1"/>
  <c r="AF35" i="1" s="1"/>
  <c r="S52" i="1"/>
  <c r="Y52" i="1" s="1"/>
  <c r="Z84" i="1"/>
  <c r="AE58" i="3"/>
  <c r="R51" i="3"/>
  <c r="AB51" i="3" s="1"/>
  <c r="AH20" i="3"/>
  <c r="AH3" i="3"/>
  <c r="R50" i="3"/>
  <c r="AB50" i="3" s="1"/>
  <c r="AE66" i="3"/>
  <c r="AH13" i="3"/>
  <c r="AH32" i="3"/>
  <c r="R53" i="3"/>
  <c r="AB53" i="3" s="1"/>
  <c r="R37" i="3"/>
  <c r="R65" i="3"/>
  <c r="AB65" i="3" s="1"/>
  <c r="R33" i="3"/>
  <c r="AB33" i="3" s="1"/>
  <c r="AH23" i="3"/>
  <c r="AH19" i="3"/>
  <c r="V16" i="3"/>
  <c r="W16" i="3" s="1"/>
  <c r="Y16" i="3" s="1"/>
  <c r="V47" i="3"/>
  <c r="AG47" i="3" s="1"/>
  <c r="V24" i="3"/>
  <c r="R38" i="3"/>
  <c r="AB38" i="3" s="1"/>
  <c r="R34" i="3"/>
  <c r="AB34" i="3" s="1"/>
  <c r="AH24" i="3"/>
  <c r="R32" i="3"/>
  <c r="AB32" i="3" s="1"/>
  <c r="R42" i="3"/>
  <c r="AB42" i="3" s="1"/>
  <c r="R55" i="3"/>
  <c r="AH46" i="3"/>
  <c r="AH15" i="3"/>
  <c r="V14" i="3"/>
  <c r="AG14" i="3" s="1"/>
  <c r="V8" i="3"/>
  <c r="W8" i="3" s="1"/>
  <c r="Y8" i="3" s="1"/>
  <c r="W66" i="3"/>
  <c r="V53" i="3"/>
  <c r="W53" i="3" s="1"/>
  <c r="Y53" i="3" s="1"/>
  <c r="V37" i="3"/>
  <c r="AG49" i="3"/>
  <c r="AH38" i="3"/>
  <c r="R61" i="3"/>
  <c r="AB61" i="3" s="1"/>
  <c r="R66" i="3"/>
  <c r="V10" i="3"/>
  <c r="AG10" i="3" s="1"/>
  <c r="V6" i="3"/>
  <c r="V64" i="3"/>
  <c r="AF64" i="3" s="1"/>
  <c r="AG64" i="1"/>
  <c r="AG52" i="1"/>
  <c r="S51" i="1"/>
  <c r="Y51" i="1" s="1"/>
  <c r="S50" i="1"/>
  <c r="Y50" i="1" s="1"/>
  <c r="AG49" i="1"/>
  <c r="S42" i="1"/>
  <c r="Y42" i="1" s="1"/>
  <c r="AG38" i="1"/>
  <c r="S20" i="1"/>
  <c r="Y20" i="1" s="1"/>
  <c r="S41" i="1"/>
  <c r="Y41" i="1" s="1"/>
  <c r="AF84" i="1"/>
  <c r="Q2" i="1"/>
  <c r="AE2" i="1" s="1"/>
  <c r="Q72" i="1"/>
  <c r="AD72" i="1" s="1"/>
  <c r="Q68" i="1"/>
  <c r="AE68" i="1" s="1"/>
  <c r="Q64" i="1"/>
  <c r="AF64" i="1" s="1"/>
  <c r="Q58" i="1"/>
  <c r="AF58" i="1" s="1"/>
  <c r="Q56" i="1"/>
  <c r="AE56" i="1" s="1"/>
  <c r="Q54" i="1"/>
  <c r="AD54" i="1" s="1"/>
  <c r="Q88" i="1"/>
  <c r="AF88" i="1" s="1"/>
  <c r="Q26" i="1"/>
  <c r="AF26" i="1" s="1"/>
  <c r="Q21" i="1"/>
  <c r="T21" i="1" s="1"/>
  <c r="Q17" i="1"/>
  <c r="AE17" i="1" s="1"/>
  <c r="Q15" i="1"/>
  <c r="AE15" i="1" s="1"/>
  <c r="S34" i="1"/>
  <c r="Y34" i="1" s="1"/>
  <c r="S40" i="1"/>
  <c r="Y40" i="1" s="1"/>
  <c r="Q41" i="1"/>
  <c r="AE41" i="1" s="1"/>
  <c r="AD84" i="1"/>
  <c r="AG42" i="1"/>
  <c r="AE69" i="5"/>
  <c r="AN2" i="6"/>
  <c r="AK2" i="6"/>
  <c r="AM2" i="6"/>
  <c r="AJ2" i="6"/>
  <c r="AT2" i="6"/>
  <c r="AI6" i="6"/>
  <c r="AQ3" i="6"/>
  <c r="AF11" i="6"/>
  <c r="AI11" i="6"/>
  <c r="AJ11" i="6" s="1"/>
  <c r="AI3" i="6"/>
  <c r="AN3" i="6" s="1"/>
  <c r="AQ6" i="6"/>
  <c r="AQ9" i="6"/>
  <c r="AQ19" i="6"/>
  <c r="AT9" i="6"/>
  <c r="AF54" i="4"/>
  <c r="AG14" i="4"/>
  <c r="AS14" i="4" s="1"/>
  <c r="AD14" i="4"/>
  <c r="AQ55" i="4"/>
  <c r="AI56" i="4"/>
  <c r="AD7" i="4"/>
  <c r="AG7" i="4"/>
  <c r="AG9" i="4"/>
  <c r="AS9" i="4" s="1"/>
  <c r="AD3" i="4"/>
  <c r="AF3" i="4" s="1"/>
  <c r="AN3" i="4" s="1"/>
  <c r="AD59" i="4"/>
  <c r="AG51" i="4"/>
  <c r="AS51" i="4" s="1"/>
  <c r="AD57" i="4"/>
  <c r="AR57" i="4" s="1"/>
  <c r="AI22" i="4"/>
  <c r="AL22" i="4" s="1"/>
  <c r="AF31" i="4"/>
  <c r="AD48" i="4"/>
  <c r="AF48" i="4" s="1"/>
  <c r="AN48" i="4" s="1"/>
  <c r="AT31" i="4"/>
  <c r="AT12" i="4"/>
  <c r="AG54" i="4"/>
  <c r="AS54" i="4" s="1"/>
  <c r="AH29" i="2"/>
  <c r="R29" i="2"/>
  <c r="AB55" i="3"/>
  <c r="AG13" i="4"/>
  <c r="AS13" i="4" s="1"/>
  <c r="AD13" i="4"/>
  <c r="AR13" i="4" s="1"/>
  <c r="AD6" i="4"/>
  <c r="AG6" i="4"/>
  <c r="AS6" i="4" s="1"/>
  <c r="W72" i="2"/>
  <c r="Z72" i="2" s="1"/>
  <c r="AE72" i="2"/>
  <c r="AF35" i="4"/>
  <c r="AF14" i="4"/>
  <c r="AN14" i="4" s="1"/>
  <c r="AT22" i="4"/>
  <c r="AI34" i="4"/>
  <c r="AI8" i="4"/>
  <c r="AT35" i="4"/>
  <c r="AI16" i="4"/>
  <c r="AD9" i="4"/>
  <c r="AQ38" i="4"/>
  <c r="AB14" i="3"/>
  <c r="AQ22" i="4"/>
  <c r="AG3" i="4"/>
  <c r="AR3" i="4" s="1"/>
  <c r="AH26" i="2"/>
  <c r="R26" i="2"/>
  <c r="V23" i="2"/>
  <c r="AF23" i="2" s="1"/>
  <c r="V7" i="2"/>
  <c r="AF7" i="2" s="1"/>
  <c r="R25" i="3"/>
  <c r="AH25" i="3"/>
  <c r="AE10" i="2"/>
  <c r="V69" i="2"/>
  <c r="AF69" i="2" s="1"/>
  <c r="AH61" i="2"/>
  <c r="R61" i="2"/>
  <c r="AB61" i="2" s="1"/>
  <c r="AG60" i="2"/>
  <c r="V46" i="2"/>
  <c r="AF46" i="2" s="1"/>
  <c r="AH32" i="2"/>
  <c r="R27" i="3"/>
  <c r="AB27" i="3" s="1"/>
  <c r="AH27" i="3"/>
  <c r="R58" i="3"/>
  <c r="Y58" i="3" s="1"/>
  <c r="AH67" i="2"/>
  <c r="R67" i="2"/>
  <c r="AB67" i="2" s="1"/>
  <c r="R49" i="2"/>
  <c r="X49" i="2" s="1"/>
  <c r="AH49" i="2"/>
  <c r="AH41" i="2"/>
  <c r="R41" i="2"/>
  <c r="AB41" i="2" s="1"/>
  <c r="AH34" i="2"/>
  <c r="R34" i="2"/>
  <c r="AB34" i="2" s="1"/>
  <c r="R41" i="3"/>
  <c r="AH41" i="3"/>
  <c r="V41" i="2"/>
  <c r="AF41" i="2" s="1"/>
  <c r="V26" i="2"/>
  <c r="AF26" i="2" s="1"/>
  <c r="V13" i="2"/>
  <c r="AF13" i="2" s="1"/>
  <c r="V9" i="2"/>
  <c r="AG9" i="2" s="1"/>
  <c r="V6" i="2"/>
  <c r="AF6" i="2" s="1"/>
  <c r="AH5" i="2"/>
  <c r="R5" i="2"/>
  <c r="AB5" i="2" s="1"/>
  <c r="V3" i="2"/>
  <c r="AF3" i="2" s="1"/>
  <c r="AH10" i="3"/>
  <c r="R10" i="3"/>
  <c r="AG20" i="1"/>
  <c r="S12" i="1"/>
  <c r="Y12" i="1" s="1"/>
  <c r="AH52" i="2"/>
  <c r="V44" i="2"/>
  <c r="AF44" i="2" s="1"/>
  <c r="V28" i="2"/>
  <c r="AF28" i="2" s="1"/>
  <c r="AH20" i="2"/>
  <c r="R20" i="2"/>
  <c r="AB20" i="2" s="1"/>
  <c r="AH17" i="2"/>
  <c r="V15" i="2"/>
  <c r="AF15" i="2" s="1"/>
  <c r="AH15" i="2"/>
  <c r="AH52" i="3"/>
  <c r="R52" i="3"/>
  <c r="AG26" i="4"/>
  <c r="AI26" i="4" s="1"/>
  <c r="AD18" i="4"/>
  <c r="AF18" i="4" s="1"/>
  <c r="AN18" i="4" s="1"/>
  <c r="W45" i="3"/>
  <c r="Y45" i="3" s="1"/>
  <c r="Q6" i="1"/>
  <c r="AF6" i="1" s="1"/>
  <c r="V67" i="2"/>
  <c r="AE67" i="2" s="1"/>
  <c r="R66" i="2"/>
  <c r="V63" i="2"/>
  <c r="AE63" i="2" s="1"/>
  <c r="AH60" i="2"/>
  <c r="P58" i="2"/>
  <c r="V52" i="2"/>
  <c r="V43" i="2"/>
  <c r="AF43" i="2" s="1"/>
  <c r="V29" i="2"/>
  <c r="AF29" i="2" s="1"/>
  <c r="V20" i="2"/>
  <c r="V8" i="2"/>
  <c r="AF8" i="2" s="1"/>
  <c r="AN9" i="6"/>
  <c r="AI8" i="6"/>
  <c r="AL8" i="6" s="1"/>
  <c r="AS8" i="6"/>
  <c r="AI5" i="6"/>
  <c r="AN5" i="6" s="1"/>
  <c r="W51" i="2"/>
  <c r="AQ15" i="6"/>
  <c r="AN19" i="6"/>
  <c r="AI17" i="6"/>
  <c r="AL17" i="6" s="1"/>
  <c r="AS17" i="6"/>
  <c r="AR19" i="6"/>
  <c r="AG57" i="4"/>
  <c r="AS57" i="4" s="1"/>
  <c r="V83" i="2"/>
  <c r="W83" i="2" s="1"/>
  <c r="Z83" i="2" s="1"/>
  <c r="R81" i="2"/>
  <c r="V79" i="2"/>
  <c r="W79" i="2" s="1"/>
  <c r="Z79" i="2" s="1"/>
  <c r="V3" i="3"/>
  <c r="AF3" i="3" s="1"/>
  <c r="V13" i="3"/>
  <c r="W13" i="3" s="1"/>
  <c r="Y13" i="3" s="1"/>
  <c r="V11" i="3"/>
  <c r="AF11" i="3" s="1"/>
  <c r="V67" i="3"/>
  <c r="V56" i="3"/>
  <c r="W56" i="3" s="1"/>
  <c r="Y56" i="3" s="1"/>
  <c r="V55" i="3"/>
  <c r="AG55" i="3" s="1"/>
  <c r="V44" i="3"/>
  <c r="AF44" i="3" s="1"/>
  <c r="V43" i="3"/>
  <c r="AF43" i="3" s="1"/>
  <c r="W41" i="3"/>
  <c r="V34" i="3"/>
  <c r="W34" i="3" s="1"/>
  <c r="Y34" i="3" s="1"/>
  <c r="Q33" i="1"/>
  <c r="T33" i="1" s="1"/>
  <c r="Q30" i="1"/>
  <c r="T30" i="1" s="1"/>
  <c r="AG59" i="1"/>
  <c r="V2" i="2"/>
  <c r="AF2" i="2" s="1"/>
  <c r="AH76" i="2"/>
  <c r="V59" i="2"/>
  <c r="AG59" i="2" s="1"/>
  <c r="AH50" i="2"/>
  <c r="R48" i="2"/>
  <c r="V45" i="2"/>
  <c r="AF45" i="2" s="1"/>
  <c r="AH44" i="2"/>
  <c r="V36" i="2"/>
  <c r="AF36" i="2" s="1"/>
  <c r="AH35" i="2"/>
  <c r="V19" i="2"/>
  <c r="AE19" i="2" s="1"/>
  <c r="AH18" i="2"/>
  <c r="AD25" i="4"/>
  <c r="AT15" i="6"/>
  <c r="AI18" i="6"/>
  <c r="AN18" i="6" s="1"/>
  <c r="AQ12" i="6"/>
  <c r="AD20" i="4"/>
  <c r="AF20" i="4" s="1"/>
  <c r="AN20" i="4" s="1"/>
  <c r="W25" i="3"/>
  <c r="AQ5" i="6"/>
  <c r="AR2" i="6"/>
  <c r="AF9" i="6"/>
  <c r="AG51" i="2"/>
  <c r="AD46" i="4"/>
  <c r="AF46" i="4" s="1"/>
  <c r="AT12" i="6"/>
  <c r="V82" i="2"/>
  <c r="W82" i="2" s="1"/>
  <c r="R80" i="2"/>
  <c r="AG19" i="4"/>
  <c r="AS19" i="4" s="1"/>
  <c r="V17" i="3"/>
  <c r="AF17" i="3" s="1"/>
  <c r="V15" i="3"/>
  <c r="AF15" i="3" s="1"/>
  <c r="W12" i="3"/>
  <c r="V9" i="3"/>
  <c r="AF9" i="3" s="1"/>
  <c r="V7" i="3"/>
  <c r="AF7" i="3" s="1"/>
  <c r="W61" i="3"/>
  <c r="V52" i="3"/>
  <c r="AF52" i="3" s="1"/>
  <c r="V51" i="3"/>
  <c r="W51" i="3" s="1"/>
  <c r="W49" i="3"/>
  <c r="Y49" i="3" s="1"/>
  <c r="V33" i="3"/>
  <c r="AF33" i="3" s="1"/>
  <c r="V21" i="3"/>
  <c r="AF21" i="3" s="1"/>
  <c r="Q8" i="1"/>
  <c r="AE8" i="1" s="1"/>
  <c r="V83" i="1"/>
  <c r="AO15" i="4"/>
  <c r="AG62" i="1"/>
  <c r="Q62" i="1"/>
  <c r="AE62" i="1" s="1"/>
  <c r="S62" i="1"/>
  <c r="Y62" i="1" s="1"/>
  <c r="W50" i="2"/>
  <c r="R45" i="2"/>
  <c r="AH45" i="2"/>
  <c r="AE45" i="2"/>
  <c r="AT42" i="4"/>
  <c r="AB24" i="3"/>
  <c r="X10" i="2"/>
  <c r="AH70" i="2"/>
  <c r="R70" i="2"/>
  <c r="AE70" i="2"/>
  <c r="V59" i="3"/>
  <c r="R59" i="3"/>
  <c r="AE40" i="2"/>
  <c r="AH37" i="2"/>
  <c r="R37" i="2"/>
  <c r="AK22" i="4"/>
  <c r="AO27" i="4"/>
  <c r="AI23" i="4"/>
  <c r="AH77" i="2"/>
  <c r="R77" i="2"/>
  <c r="AE9" i="2"/>
  <c r="AG5" i="2"/>
  <c r="W5" i="2"/>
  <c r="R54" i="3"/>
  <c r="AH54" i="3"/>
  <c r="AH44" i="3"/>
  <c r="AE44" i="3"/>
  <c r="R44" i="3"/>
  <c r="AD47" i="4"/>
  <c r="AG47" i="4"/>
  <c r="AS47" i="4" s="1"/>
  <c r="AG45" i="4"/>
  <c r="AS45" i="4" s="1"/>
  <c r="AD45" i="4"/>
  <c r="AD32" i="4"/>
  <c r="AG32" i="4"/>
  <c r="AS32" i="4" s="1"/>
  <c r="S11" i="1"/>
  <c r="Y11" i="1" s="1"/>
  <c r="R11" i="2"/>
  <c r="AH11" i="2"/>
  <c r="AE5" i="2"/>
  <c r="AH21" i="2"/>
  <c r="R21" i="2"/>
  <c r="Q80" i="1"/>
  <c r="AF80" i="1" s="1"/>
  <c r="Q78" i="1"/>
  <c r="AE78" i="1" s="1"/>
  <c r="Q69" i="1"/>
  <c r="AD69" i="1" s="1"/>
  <c r="Q67" i="1"/>
  <c r="T67" i="1" s="1"/>
  <c r="Q52" i="1"/>
  <c r="AD52" i="1" s="1"/>
  <c r="Q50" i="1"/>
  <c r="AD50" i="1" s="1"/>
  <c r="Q44" i="1"/>
  <c r="AF44" i="1" s="1"/>
  <c r="AH73" i="2"/>
  <c r="R55" i="2"/>
  <c r="AH55" i="2"/>
  <c r="R42" i="2"/>
  <c r="AH42" i="2"/>
  <c r="R31" i="2"/>
  <c r="AH31" i="2"/>
  <c r="AR7" i="6"/>
  <c r="AI7" i="6"/>
  <c r="AT7" i="6"/>
  <c r="AG76" i="1"/>
  <c r="AG69" i="1"/>
  <c r="AG67" i="1"/>
  <c r="Q63" i="1"/>
  <c r="AF63" i="1" s="1"/>
  <c r="Q38" i="1"/>
  <c r="T38" i="1" s="1"/>
  <c r="R64" i="2"/>
  <c r="AH64" i="2"/>
  <c r="AH38" i="2"/>
  <c r="R38" i="2"/>
  <c r="R27" i="2"/>
  <c r="AH12" i="2"/>
  <c r="R12" i="2"/>
  <c r="AH4" i="2"/>
  <c r="R4" i="2"/>
  <c r="R17" i="3"/>
  <c r="AH17" i="3"/>
  <c r="AG24" i="4"/>
  <c r="AS24" i="4" s="1"/>
  <c r="AN16" i="6"/>
  <c r="AG24" i="1"/>
  <c r="AG22" i="1"/>
  <c r="AG16" i="1"/>
  <c r="AG14" i="1"/>
  <c r="R19" i="2"/>
  <c r="AH19" i="2"/>
  <c r="AH9" i="2"/>
  <c r="AN4" i="6"/>
  <c r="AG63" i="1"/>
  <c r="AG61" i="1"/>
  <c r="Q57" i="1"/>
  <c r="AD57" i="1" s="1"/>
  <c r="S28" i="1"/>
  <c r="Y28" i="1" s="1"/>
  <c r="S14" i="1"/>
  <c r="Y14" i="1" s="1"/>
  <c r="V37" i="2"/>
  <c r="V30" i="2"/>
  <c r="W30" i="2" s="1"/>
  <c r="AH28" i="2"/>
  <c r="R28" i="2"/>
  <c r="V21" i="2"/>
  <c r="AF21" i="2" s="1"/>
  <c r="V11" i="2"/>
  <c r="AF11" i="2" s="1"/>
  <c r="AH10" i="2"/>
  <c r="AB9" i="3"/>
  <c r="S59" i="1"/>
  <c r="Y59" i="1" s="1"/>
  <c r="AG57" i="1"/>
  <c r="Q51" i="1"/>
  <c r="AF51" i="1" s="1"/>
  <c r="Q47" i="1"/>
  <c r="AE47" i="1" s="1"/>
  <c r="AF56" i="2"/>
  <c r="AH56" i="2"/>
  <c r="R36" i="2"/>
  <c r="AH36" i="2"/>
  <c r="AH13" i="2"/>
  <c r="AD2" i="4"/>
  <c r="AG79" i="1"/>
  <c r="AG77" i="1"/>
  <c r="AG75" i="1"/>
  <c r="AG72" i="1"/>
  <c r="AG70" i="1"/>
  <c r="AG66" i="1"/>
  <c r="AG54" i="1"/>
  <c r="S49" i="1"/>
  <c r="Y49" i="1" s="1"/>
  <c r="AG47" i="1"/>
  <c r="AG43" i="1"/>
  <c r="AG37" i="1"/>
  <c r="AF75" i="2"/>
  <c r="V73" i="2"/>
  <c r="AF73" i="2" s="1"/>
  <c r="AH69" i="2"/>
  <c r="R65" i="2"/>
  <c r="V42" i="2"/>
  <c r="V27" i="2"/>
  <c r="V4" i="2"/>
  <c r="R64" i="3"/>
  <c r="AH64" i="3"/>
  <c r="S79" i="1"/>
  <c r="Y79" i="1" s="1"/>
  <c r="S75" i="1"/>
  <c r="S70" i="1"/>
  <c r="Y70" i="1" s="1"/>
  <c r="S54" i="1"/>
  <c r="Y54" i="1" s="1"/>
  <c r="AG88" i="1"/>
  <c r="S35" i="1"/>
  <c r="Y35" i="1" s="1"/>
  <c r="AB9" i="2"/>
  <c r="AH2" i="2"/>
  <c r="AF72" i="2"/>
  <c r="AH72" i="2"/>
  <c r="R63" i="2"/>
  <c r="AH63" i="2"/>
  <c r="AH57" i="2"/>
  <c r="R57" i="2"/>
  <c r="AF53" i="2"/>
  <c r="AH53" i="2"/>
  <c r="AH30" i="2"/>
  <c r="V12" i="2"/>
  <c r="AE12" i="2" s="1"/>
  <c r="R3" i="2"/>
  <c r="AH3" i="2"/>
  <c r="AH55" i="3"/>
  <c r="W47" i="3"/>
  <c r="Y47" i="3" s="1"/>
  <c r="Q7" i="1"/>
  <c r="T7" i="1" s="1"/>
  <c r="S4" i="1"/>
  <c r="Y4" i="1" s="1"/>
  <c r="AF70" i="2"/>
  <c r="T58" i="2"/>
  <c r="AF5" i="2"/>
  <c r="AR22" i="4"/>
  <c r="AR4" i="6"/>
  <c r="AT4" i="6"/>
  <c r="AG46" i="4"/>
  <c r="AS46" i="4" s="1"/>
  <c r="AF18" i="6"/>
  <c r="AQ18" i="6"/>
  <c r="AS18" i="6"/>
  <c r="AB28" i="3"/>
  <c r="AQ7" i="6"/>
  <c r="AF4" i="6"/>
  <c r="AL4" i="6" s="1"/>
  <c r="AS4" i="6"/>
  <c r="AF57" i="4"/>
  <c r="AT57" i="4"/>
  <c r="AQ57" i="4"/>
  <c r="AF77" i="2"/>
  <c r="AF76" i="2"/>
  <c r="AR35" i="4"/>
  <c r="AR13" i="6"/>
  <c r="AI13" i="6"/>
  <c r="AL13" i="6" s="1"/>
  <c r="AT13" i="6"/>
  <c r="AQ13" i="6"/>
  <c r="AD19" i="4"/>
  <c r="AF19" i="4" s="1"/>
  <c r="AG3" i="1"/>
  <c r="AN15" i="6"/>
  <c r="AG48" i="4"/>
  <c r="AG18" i="4"/>
  <c r="AI18" i="4" s="1"/>
  <c r="AF60" i="2"/>
  <c r="AF50" i="2"/>
  <c r="AF49" i="2"/>
  <c r="AS15" i="6"/>
  <c r="AF15" i="6"/>
  <c r="AN12" i="6"/>
  <c r="AJ12" i="6"/>
  <c r="AK12" i="6"/>
  <c r="AM12" i="6"/>
  <c r="AH40" i="2"/>
  <c r="AH39" i="2"/>
  <c r="AH23" i="2"/>
  <c r="AF18" i="2"/>
  <c r="AH7" i="2"/>
  <c r="AH6" i="2"/>
  <c r="AR14" i="4"/>
  <c r="AQ4" i="6"/>
  <c r="AF16" i="6"/>
  <c r="AS16" i="6"/>
  <c r="AQ16" i="6"/>
  <c r="AG20" i="4"/>
  <c r="AI20" i="4" s="1"/>
  <c r="AG5" i="1"/>
  <c r="AR17" i="6"/>
  <c r="AT19" i="6"/>
  <c r="S5" i="1"/>
  <c r="Y5" i="1" s="1"/>
  <c r="AF85" i="1"/>
  <c r="AF60" i="3"/>
  <c r="AR6" i="6"/>
  <c r="AF3" i="6"/>
  <c r="AR12" i="6"/>
  <c r="AF14" i="3"/>
  <c r="AF6" i="3"/>
  <c r="AF66" i="3"/>
  <c r="AR3" i="6"/>
  <c r="AR5" i="6"/>
  <c r="AR15" i="6"/>
  <c r="AR16" i="6"/>
  <c r="AR46" i="4"/>
  <c r="AF61" i="3"/>
  <c r="AH36" i="3"/>
  <c r="V29" i="3"/>
  <c r="AS5" i="6"/>
  <c r="AR9" i="6"/>
  <c r="AR18" i="6"/>
  <c r="AF48" i="3"/>
  <c r="AG29" i="1"/>
  <c r="V28" i="3"/>
  <c r="AF28" i="3" s="1"/>
  <c r="AF7" i="6"/>
  <c r="AD85" i="1"/>
  <c r="AT16" i="6"/>
  <c r="AS12" i="6"/>
  <c r="AR11" i="6"/>
  <c r="AF58" i="3"/>
  <c r="AF37" i="3"/>
  <c r="Q34" i="1"/>
  <c r="AE34" i="1" s="1"/>
  <c r="AH29" i="3"/>
  <c r="Q40" i="1"/>
  <c r="T40" i="1" s="1"/>
  <c r="V40" i="1" s="1"/>
  <c r="AG41" i="1"/>
  <c r="AS7" i="6"/>
  <c r="U83" i="1"/>
  <c r="AS3" i="6"/>
  <c r="AR8" i="6"/>
  <c r="AF51" i="2"/>
  <c r="AF12" i="3"/>
  <c r="V5" i="3"/>
  <c r="V65" i="3"/>
  <c r="W65" i="3" s="1"/>
  <c r="V54" i="3"/>
  <c r="AF54" i="3" s="1"/>
  <c r="V50" i="3"/>
  <c r="AF50" i="3" s="1"/>
  <c r="AF49" i="3"/>
  <c r="V46" i="3"/>
  <c r="AF46" i="3" s="1"/>
  <c r="AF45" i="3"/>
  <c r="V42" i="3"/>
  <c r="W42" i="3" s="1"/>
  <c r="V31" i="3"/>
  <c r="AF31" i="3" s="1"/>
  <c r="V27" i="3"/>
  <c r="W27" i="3" s="1"/>
  <c r="V23" i="3"/>
  <c r="V19" i="3"/>
  <c r="AF19" i="3" s="1"/>
  <c r="V36" i="3"/>
  <c r="AG36" i="3" s="1"/>
  <c r="AH28" i="3"/>
  <c r="AE85" i="1"/>
  <c r="S46" i="1"/>
  <c r="Y46" i="1" s="1"/>
  <c r="AG34" i="1"/>
  <c r="S38" i="1"/>
  <c r="Y38" i="1" s="1"/>
  <c r="S74" i="1"/>
  <c r="Y74" i="1" s="1"/>
  <c r="Q71" i="1"/>
  <c r="AF71" i="1" s="1"/>
  <c r="S88" i="1"/>
  <c r="Y88" i="1" s="1"/>
  <c r="S26" i="1"/>
  <c r="Y26" i="1" s="1"/>
  <c r="S23" i="1"/>
  <c r="S21" i="1"/>
  <c r="Y21" i="1" s="1"/>
  <c r="S15" i="1"/>
  <c r="Y15" i="1" s="1"/>
  <c r="AG13" i="1"/>
  <c r="AG9" i="1"/>
  <c r="S3" i="1"/>
  <c r="Y3" i="1" s="1"/>
  <c r="AG7" i="1"/>
  <c r="Q46" i="1"/>
  <c r="AD46" i="1" s="1"/>
  <c r="AG68" i="1"/>
  <c r="Q39" i="1"/>
  <c r="AE39" i="1" s="1"/>
  <c r="S66" i="1"/>
  <c r="Y66" i="1" s="1"/>
  <c r="S43" i="1"/>
  <c r="Y43" i="1" s="1"/>
  <c r="AG4" i="1"/>
  <c r="S30" i="1"/>
  <c r="S48" i="1"/>
  <c r="Y48" i="1" s="1"/>
  <c r="Q36" i="1"/>
  <c r="AE36" i="1" s="1"/>
  <c r="V85" i="1"/>
  <c r="U85" i="1"/>
  <c r="S24" i="1"/>
  <c r="Y24" i="1" s="1"/>
  <c r="S61" i="1"/>
  <c r="Y61" i="1" s="1"/>
  <c r="S89" i="1"/>
  <c r="Y89" i="1" s="1"/>
  <c r="S47" i="1"/>
  <c r="Y47" i="1" s="1"/>
  <c r="S37" i="1"/>
  <c r="Y37" i="1" s="1"/>
  <c r="Q59" i="1"/>
  <c r="T59" i="1" s="1"/>
  <c r="Z59" i="1" s="1"/>
  <c r="AG35" i="1"/>
  <c r="Q77" i="1"/>
  <c r="T77" i="1" s="1"/>
  <c r="Q75" i="1"/>
  <c r="AE75" i="1" s="1"/>
  <c r="S36" i="1"/>
  <c r="Y36" i="1" s="1"/>
  <c r="Q89" i="1"/>
  <c r="AD89" i="1" s="1"/>
  <c r="Q28" i="1"/>
  <c r="AF28" i="1" s="1"/>
  <c r="Q24" i="1"/>
  <c r="T24" i="1" s="1"/>
  <c r="Q22" i="1"/>
  <c r="AE22" i="1" s="1"/>
  <c r="Q20" i="1"/>
  <c r="T20" i="1" s="1"/>
  <c r="Q14" i="1"/>
  <c r="AE14" i="1" s="1"/>
  <c r="Q12" i="1"/>
  <c r="T12" i="1" s="1"/>
  <c r="Q4" i="1"/>
  <c r="AD4" i="1" s="1"/>
  <c r="X85" i="1"/>
  <c r="S2" i="1"/>
  <c r="X83" i="1"/>
  <c r="X84" i="1"/>
  <c r="Y84" i="1"/>
  <c r="S71" i="1"/>
  <c r="Y71" i="1" s="1"/>
  <c r="AG23" i="1"/>
  <c r="Q79" i="1"/>
  <c r="AE79" i="1" s="1"/>
  <c r="AG74" i="1"/>
  <c r="Q48" i="1"/>
  <c r="AE48" i="1" s="1"/>
  <c r="AG26" i="1"/>
  <c r="Q3" i="1"/>
  <c r="AF3" i="1" s="1"/>
  <c r="AG46" i="1"/>
  <c r="AG36" i="1"/>
  <c r="AG2" i="1"/>
  <c r="Q66" i="1"/>
  <c r="T66" i="1" s="1"/>
  <c r="S63" i="1"/>
  <c r="Y63" i="1" s="1"/>
  <c r="Q61" i="1"/>
  <c r="T61" i="1" s="1"/>
  <c r="AG50" i="1"/>
  <c r="AG48" i="1"/>
  <c r="Q13" i="1"/>
  <c r="AE13" i="1" s="1"/>
  <c r="Q9" i="1"/>
  <c r="T9" i="1" s="1"/>
  <c r="AG6" i="1"/>
  <c r="Q5" i="1"/>
  <c r="AE5" i="1" s="1"/>
  <c r="S29" i="1"/>
  <c r="Y29" i="1" s="1"/>
  <c r="AG30" i="1"/>
  <c r="S31" i="1"/>
  <c r="S77" i="1"/>
  <c r="S76" i="1"/>
  <c r="Y76" i="1" s="1"/>
  <c r="S16" i="1"/>
  <c r="Y16" i="1" s="1"/>
  <c r="Q76" i="1"/>
  <c r="AD76" i="1" s="1"/>
  <c r="AG51" i="1"/>
  <c r="Q43" i="1"/>
  <c r="AD43" i="1" s="1"/>
  <c r="S7" i="1"/>
  <c r="AG40" i="1"/>
  <c r="S39" i="1"/>
  <c r="Y39" i="1" s="1"/>
  <c r="S57" i="1"/>
  <c r="Q70" i="1"/>
  <c r="AF70" i="1" s="1"/>
  <c r="Q49" i="1"/>
  <c r="T49" i="1" s="1"/>
  <c r="AG21" i="1"/>
  <c r="S78" i="1"/>
  <c r="Y78" i="1" s="1"/>
  <c r="AG58" i="1"/>
  <c r="AG56" i="1"/>
  <c r="Q29" i="1"/>
  <c r="AD29" i="1" s="1"/>
  <c r="Q31" i="1"/>
  <c r="T31" i="1" s="1"/>
  <c r="AG19" i="1"/>
  <c r="Q19" i="1"/>
  <c r="AE19" i="1" s="1"/>
  <c r="S17" i="1"/>
  <c r="AG17" i="1"/>
  <c r="AG11" i="1"/>
  <c r="Q11" i="1"/>
  <c r="AE11" i="1" s="1"/>
  <c r="S9" i="1"/>
  <c r="S6" i="1"/>
  <c r="S13" i="1"/>
  <c r="S69" i="1"/>
  <c r="S44" i="1"/>
  <c r="AG44" i="1"/>
  <c r="AF42" i="1"/>
  <c r="AG89" i="1"/>
  <c r="AG28" i="1"/>
  <c r="S19" i="1"/>
  <c r="AG15" i="1"/>
  <c r="Q37" i="1"/>
  <c r="AE37" i="1" s="1"/>
  <c r="AG80" i="1"/>
  <c r="S80" i="1"/>
  <c r="Q65" i="1"/>
  <c r="AD65" i="1" s="1"/>
  <c r="AG65" i="1"/>
  <c r="S65" i="1"/>
  <c r="Q60" i="1"/>
  <c r="AD60" i="1" s="1"/>
  <c r="AG60" i="1"/>
  <c r="S60" i="1"/>
  <c r="S58" i="1"/>
  <c r="AG78" i="1"/>
  <c r="S72" i="1"/>
  <c r="S67" i="1"/>
  <c r="S56" i="1"/>
  <c r="Q16" i="1"/>
  <c r="AF16" i="1" s="1"/>
  <c r="S8" i="1"/>
  <c r="AG8" i="1"/>
  <c r="AG31" i="1"/>
  <c r="S33" i="1"/>
  <c r="AG33" i="1"/>
  <c r="S45" i="1"/>
  <c r="AG45" i="1"/>
  <c r="S22" i="1"/>
  <c r="AG71" i="1"/>
  <c r="S68" i="1"/>
  <c r="S64" i="1"/>
  <c r="AG39" i="1"/>
  <c r="AF8" i="3" l="1"/>
  <c r="AF20" i="3"/>
  <c r="AR59" i="4"/>
  <c r="AT8" i="4"/>
  <c r="AI44" i="4"/>
  <c r="AE22" i="3"/>
  <c r="AG4" i="3"/>
  <c r="AQ12" i="4"/>
  <c r="AK5" i="6"/>
  <c r="AR44" i="4"/>
  <c r="AF24" i="2"/>
  <c r="AQ30" i="4"/>
  <c r="X12" i="3"/>
  <c r="AF8" i="4"/>
  <c r="W20" i="3"/>
  <c r="Y20" i="3" s="1"/>
  <c r="AR9" i="4"/>
  <c r="AG20" i="3"/>
  <c r="AE4" i="3"/>
  <c r="AQ41" i="4"/>
  <c r="AF30" i="4"/>
  <c r="AN30" i="4" s="1"/>
  <c r="AJ5" i="4"/>
  <c r="AF22" i="3"/>
  <c r="AF38" i="3"/>
  <c r="AF4" i="3"/>
  <c r="AR60" i="4"/>
  <c r="AF74" i="2"/>
  <c r="W17" i="3"/>
  <c r="AI57" i="4"/>
  <c r="AK57" i="4" s="1"/>
  <c r="AR8" i="4"/>
  <c r="AF57" i="2"/>
  <c r="X17" i="2"/>
  <c r="AM22" i="4"/>
  <c r="AP22" i="4" s="1"/>
  <c r="Z82" i="2"/>
  <c r="W22" i="3"/>
  <c r="Y22" i="3" s="1"/>
  <c r="AF26" i="4"/>
  <c r="AN26" i="4" s="1"/>
  <c r="AK6" i="6"/>
  <c r="AL6" i="6"/>
  <c r="W57" i="2"/>
  <c r="AE38" i="3"/>
  <c r="AF40" i="4"/>
  <c r="AN40" i="4" s="1"/>
  <c r="AS31" i="4"/>
  <c r="Y42" i="3"/>
  <c r="AF16" i="3"/>
  <c r="AF62" i="3"/>
  <c r="AF17" i="2"/>
  <c r="AR11" i="4"/>
  <c r="AF62" i="2"/>
  <c r="W34" i="2"/>
  <c r="AE62" i="2"/>
  <c r="AG50" i="2"/>
  <c r="AK19" i="6"/>
  <c r="AJ19" i="6"/>
  <c r="AJ31" i="4"/>
  <c r="AL31" i="4"/>
  <c r="W62" i="3"/>
  <c r="AC62" i="3" s="1"/>
  <c r="AE33" i="2"/>
  <c r="Z56" i="2"/>
  <c r="Y39" i="2"/>
  <c r="AG62" i="3"/>
  <c r="AM28" i="4"/>
  <c r="AQ50" i="4"/>
  <c r="AJ27" i="4"/>
  <c r="AF50" i="4"/>
  <c r="AN50" i="4" s="1"/>
  <c r="AM38" i="4"/>
  <c r="AF53" i="3"/>
  <c r="AF16" i="2"/>
  <c r="AE77" i="2"/>
  <c r="W60" i="3"/>
  <c r="W13" i="2"/>
  <c r="AA13" i="2" s="1"/>
  <c r="AE74" i="2"/>
  <c r="AG74" i="2"/>
  <c r="AQ16" i="4"/>
  <c r="W33" i="2"/>
  <c r="Y33" i="2" s="1"/>
  <c r="AG17" i="2"/>
  <c r="AE66" i="2"/>
  <c r="AG49" i="2"/>
  <c r="AG33" i="2"/>
  <c r="Z17" i="2"/>
  <c r="AF23" i="4"/>
  <c r="AN23" i="4" s="1"/>
  <c r="AT48" i="4"/>
  <c r="AR48" i="4"/>
  <c r="AR31" i="4"/>
  <c r="AR41" i="4"/>
  <c r="W77" i="2"/>
  <c r="W62" i="2"/>
  <c r="Z62" i="2" s="1"/>
  <c r="Y61" i="3"/>
  <c r="AA39" i="2"/>
  <c r="AD39" i="2" s="1"/>
  <c r="AO22" i="4"/>
  <c r="AJ22" i="4"/>
  <c r="AQ33" i="4"/>
  <c r="X56" i="2"/>
  <c r="W16" i="2"/>
  <c r="AC16" i="2" s="1"/>
  <c r="AQ37" i="4"/>
  <c r="AM4" i="4"/>
  <c r="AP4" i="4" s="1"/>
  <c r="AO4" i="4"/>
  <c r="AK4" i="4"/>
  <c r="AR4" i="4"/>
  <c r="AR29" i="4"/>
  <c r="AR53" i="4"/>
  <c r="AT46" i="4"/>
  <c r="AT34" i="4"/>
  <c r="AR25" i="4"/>
  <c r="AJ50" i="4"/>
  <c r="AQ36" i="4"/>
  <c r="AK5" i="4"/>
  <c r="AL15" i="4"/>
  <c r="AR34" i="4"/>
  <c r="AR36" i="4"/>
  <c r="AR5" i="4"/>
  <c r="AR42" i="4"/>
  <c r="AQ27" i="4"/>
  <c r="AM27" i="4"/>
  <c r="AP27" i="4" s="1"/>
  <c r="AP28" i="4"/>
  <c r="AI36" i="4"/>
  <c r="AK36" i="4" s="1"/>
  <c r="AQ29" i="4"/>
  <c r="AR15" i="4"/>
  <c r="AR7" i="4"/>
  <c r="AI55" i="4"/>
  <c r="AL55" i="4" s="1"/>
  <c r="AL5" i="4"/>
  <c r="AQ10" i="4"/>
  <c r="AQ4" i="4"/>
  <c r="AQ34" i="4"/>
  <c r="AK27" i="4"/>
  <c r="AS42" i="4"/>
  <c r="AK38" i="4"/>
  <c r="AS4" i="4"/>
  <c r="AD78" i="1"/>
  <c r="AF78" i="1"/>
  <c r="AF21" i="1"/>
  <c r="AF56" i="1"/>
  <c r="T78" i="1"/>
  <c r="W78" i="1" s="1"/>
  <c r="T45" i="1"/>
  <c r="Z45" i="1" s="1"/>
  <c r="T34" i="1"/>
  <c r="W34" i="1" s="1"/>
  <c r="AE74" i="1"/>
  <c r="AF45" i="1"/>
  <c r="AD45" i="1"/>
  <c r="V84" i="1"/>
  <c r="U84" i="1"/>
  <c r="T35" i="1"/>
  <c r="W35" i="1" s="1"/>
  <c r="AE35" i="1"/>
  <c r="AE64" i="1"/>
  <c r="T15" i="1"/>
  <c r="W15" i="1" s="1"/>
  <c r="AF74" i="1"/>
  <c r="AD74" i="1"/>
  <c r="AA85" i="1"/>
  <c r="U74" i="1"/>
  <c r="AD62" i="1"/>
  <c r="W61" i="1"/>
  <c r="AD59" i="1"/>
  <c r="AD22" i="1"/>
  <c r="AD15" i="1"/>
  <c r="T23" i="1"/>
  <c r="W23" i="1" s="1"/>
  <c r="AD64" i="1"/>
  <c r="AD23" i="1"/>
  <c r="AF15" i="1"/>
  <c r="T8" i="1"/>
  <c r="V8" i="1" s="1"/>
  <c r="AE6" i="1"/>
  <c r="AF23" i="1"/>
  <c r="AF89" i="1"/>
  <c r="T44" i="1"/>
  <c r="V44" i="1" s="1"/>
  <c r="AA84" i="1"/>
  <c r="AE30" i="1"/>
  <c r="AD88" i="1"/>
  <c r="AF33" i="1"/>
  <c r="AD42" i="1"/>
  <c r="T88" i="1"/>
  <c r="W88" i="1" s="1"/>
  <c r="W66" i="1"/>
  <c r="AA83" i="1"/>
  <c r="AJ5" i="6"/>
  <c r="AP19" i="6"/>
  <c r="AM5" i="6"/>
  <c r="AP5" i="6" s="1"/>
  <c r="AK15" i="6"/>
  <c r="AL15" i="6"/>
  <c r="AO18" i="6"/>
  <c r="AL18" i="6"/>
  <c r="AO16" i="6"/>
  <c r="AL16" i="6"/>
  <c r="AO11" i="6"/>
  <c r="AL11" i="6"/>
  <c r="AO7" i="6"/>
  <c r="AL7" i="6"/>
  <c r="AO9" i="6"/>
  <c r="AL9" i="6"/>
  <c r="AL3" i="6"/>
  <c r="AL5" i="6"/>
  <c r="AO19" i="6"/>
  <c r="AL19" i="6"/>
  <c r="AR23" i="4"/>
  <c r="AR24" i="4"/>
  <c r="AI10" i="4"/>
  <c r="AM10" i="4" s="1"/>
  <c r="AP10" i="4" s="1"/>
  <c r="AJ42" i="4"/>
  <c r="AL35" i="4"/>
  <c r="AT33" i="4"/>
  <c r="AO42" i="4"/>
  <c r="AR50" i="4"/>
  <c r="AR27" i="4"/>
  <c r="AI19" i="4"/>
  <c r="AK19" i="4" s="1"/>
  <c r="AM5" i="4"/>
  <c r="AP5" i="4" s="1"/>
  <c r="AT36" i="4"/>
  <c r="AL23" i="4"/>
  <c r="AJ35" i="4"/>
  <c r="AK35" i="4"/>
  <c r="AJ15" i="4"/>
  <c r="AT3" i="4"/>
  <c r="AF41" i="4"/>
  <c r="AN41" i="4" s="1"/>
  <c r="AK11" i="4"/>
  <c r="AJ38" i="4"/>
  <c r="AF52" i="4"/>
  <c r="AN52" i="4" s="1"/>
  <c r="AO50" i="4"/>
  <c r="AO5" i="4"/>
  <c r="AT24" i="4"/>
  <c r="AI29" i="4"/>
  <c r="AO29" i="4" s="1"/>
  <c r="AT4" i="4"/>
  <c r="AT15" i="4"/>
  <c r="AS25" i="4"/>
  <c r="AT20" i="4"/>
  <c r="AR38" i="4"/>
  <c r="AR40" i="4"/>
  <c r="AQ23" i="4"/>
  <c r="AN38" i="4"/>
  <c r="AP38" i="4" s="1"/>
  <c r="AT51" i="4"/>
  <c r="AI40" i="4"/>
  <c r="AO40" i="4" s="1"/>
  <c r="AK28" i="4"/>
  <c r="AR10" i="4"/>
  <c r="AR54" i="4"/>
  <c r="AT18" i="4"/>
  <c r="AR55" i="4"/>
  <c r="AR12" i="4"/>
  <c r="AR28" i="4"/>
  <c r="AK53" i="4"/>
  <c r="AQ15" i="4"/>
  <c r="AJ28" i="4"/>
  <c r="AK15" i="4"/>
  <c r="AT38" i="4"/>
  <c r="AM53" i="4"/>
  <c r="AP53" i="4" s="1"/>
  <c r="AM31" i="4"/>
  <c r="AT53" i="4"/>
  <c r="AJ53" i="4"/>
  <c r="AI41" i="4"/>
  <c r="AO41" i="4" s="1"/>
  <c r="AQ52" i="4"/>
  <c r="AQ28" i="4"/>
  <c r="AL28" i="4"/>
  <c r="AL33" i="4"/>
  <c r="AS37" i="4"/>
  <c r="AS59" i="4"/>
  <c r="AS20" i="4"/>
  <c r="AS50" i="4"/>
  <c r="AS48" i="4"/>
  <c r="AS15" i="4"/>
  <c r="AS3" i="4"/>
  <c r="AS27" i="4"/>
  <c r="AS35" i="4"/>
  <c r="AS28" i="4"/>
  <c r="AT11" i="4"/>
  <c r="AS5" i="4"/>
  <c r="AS26" i="4"/>
  <c r="AS43" i="4"/>
  <c r="AS2" i="4"/>
  <c r="AS7" i="4"/>
  <c r="AS41" i="4"/>
  <c r="AS10" i="4"/>
  <c r="AS12" i="4"/>
  <c r="AS33" i="4"/>
  <c r="AS53" i="4"/>
  <c r="AS52" i="4"/>
  <c r="AS18" i="4"/>
  <c r="AS11" i="4"/>
  <c r="AR51" i="4"/>
  <c r="AR2" i="4"/>
  <c r="AJ11" i="4"/>
  <c r="AR33" i="4"/>
  <c r="AQ60" i="4"/>
  <c r="AR6" i="4"/>
  <c r="AK44" i="4"/>
  <c r="AT44" i="4"/>
  <c r="AQ11" i="4"/>
  <c r="AL11" i="4"/>
  <c r="AQ35" i="4"/>
  <c r="AQ44" i="4"/>
  <c r="AQ56" i="4"/>
  <c r="AI37" i="4"/>
  <c r="AO37" i="4" s="1"/>
  <c r="AL27" i="4"/>
  <c r="AF60" i="4"/>
  <c r="AN60" i="4" s="1"/>
  <c r="AR26" i="4"/>
  <c r="AM11" i="4"/>
  <c r="AP11" i="4" s="1"/>
  <c r="AQ40" i="4"/>
  <c r="AN43" i="4"/>
  <c r="AM43" i="4"/>
  <c r="AL43" i="4"/>
  <c r="AJ43" i="4"/>
  <c r="AK43" i="4"/>
  <c r="AO52" i="4"/>
  <c r="AJ52" i="4"/>
  <c r="AO59" i="4"/>
  <c r="AO26" i="4"/>
  <c r="AL26" i="4"/>
  <c r="AI14" i="4"/>
  <c r="AO8" i="4"/>
  <c r="AL8" i="4"/>
  <c r="AT56" i="4"/>
  <c r="AT43" i="4"/>
  <c r="AO53" i="4"/>
  <c r="AL53" i="4"/>
  <c r="AL30" i="4"/>
  <c r="AI60" i="4"/>
  <c r="AO56" i="4"/>
  <c r="AO44" i="4"/>
  <c r="AL44" i="4"/>
  <c r="AO19" i="4"/>
  <c r="AR52" i="4"/>
  <c r="AJ44" i="4"/>
  <c r="AQ26" i="4"/>
  <c r="AO16" i="4"/>
  <c r="AL16" i="4"/>
  <c r="AT16" i="4"/>
  <c r="AQ53" i="4"/>
  <c r="AF56" i="4"/>
  <c r="AJ56" i="4" s="1"/>
  <c r="AQ43" i="4"/>
  <c r="AO2" i="4"/>
  <c r="AL36" i="4"/>
  <c r="AO20" i="4"/>
  <c r="AL20" i="4"/>
  <c r="AR43" i="4"/>
  <c r="AO18" i="4"/>
  <c r="AL18" i="4"/>
  <c r="AR16" i="4"/>
  <c r="AO34" i="4"/>
  <c r="AL34" i="4"/>
  <c r="AI12" i="4"/>
  <c r="AM42" i="4"/>
  <c r="AP42" i="4" s="1"/>
  <c r="AL42" i="4"/>
  <c r="AJ4" i="4"/>
  <c r="AL4" i="4"/>
  <c r="AO38" i="4"/>
  <c r="AL38" i="4"/>
  <c r="AF32" i="3"/>
  <c r="W38" i="3"/>
  <c r="AE32" i="3"/>
  <c r="Y27" i="3"/>
  <c r="AF25" i="3"/>
  <c r="W32" i="3"/>
  <c r="Y51" i="3"/>
  <c r="Y62" i="3"/>
  <c r="AG25" i="3"/>
  <c r="AC17" i="3"/>
  <c r="Y17" i="3"/>
  <c r="AC41" i="3"/>
  <c r="Y41" i="3"/>
  <c r="AE26" i="3"/>
  <c r="AF47" i="3"/>
  <c r="AE47" i="3"/>
  <c r="AC66" i="3"/>
  <c r="Y66" i="3"/>
  <c r="AF56" i="3"/>
  <c r="AF55" i="3"/>
  <c r="Y38" i="3"/>
  <c r="AC60" i="3"/>
  <c r="Y60" i="3"/>
  <c r="W26" i="3"/>
  <c r="Y26" i="3" s="1"/>
  <c r="AE41" i="3"/>
  <c r="AG18" i="3"/>
  <c r="AG41" i="3"/>
  <c r="W18" i="3"/>
  <c r="AB48" i="3"/>
  <c r="AA48" i="3"/>
  <c r="AD48" i="3" s="1"/>
  <c r="X48" i="3"/>
  <c r="Z48" i="3"/>
  <c r="AF10" i="3"/>
  <c r="AC25" i="3"/>
  <c r="Y25" i="3"/>
  <c r="AG26" i="3"/>
  <c r="AE18" i="3"/>
  <c r="Y65" i="3"/>
  <c r="Y32" i="3"/>
  <c r="AE10" i="3"/>
  <c r="AE55" i="3"/>
  <c r="AE56" i="3"/>
  <c r="AA12" i="3"/>
  <c r="Y12" i="3"/>
  <c r="Y48" i="3"/>
  <c r="AF61" i="2"/>
  <c r="AB17" i="2"/>
  <c r="Y17" i="2"/>
  <c r="AF10" i="2"/>
  <c r="V58" i="2"/>
  <c r="W9" i="2"/>
  <c r="Z9" i="2" s="1"/>
  <c r="W48" i="2"/>
  <c r="X48" i="2" s="1"/>
  <c r="AA17" i="2"/>
  <c r="AD17" i="2" s="1"/>
  <c r="Z76" i="2"/>
  <c r="AE24" i="2"/>
  <c r="AE57" i="2"/>
  <c r="AF19" i="2"/>
  <c r="AE32" i="2"/>
  <c r="Z50" i="2"/>
  <c r="W24" i="2"/>
  <c r="Z24" i="2" s="1"/>
  <c r="AG71" i="2"/>
  <c r="X39" i="2"/>
  <c r="AF48" i="2"/>
  <c r="AF66" i="2"/>
  <c r="W40" i="2"/>
  <c r="AA40" i="2" s="1"/>
  <c r="W60" i="2"/>
  <c r="AE48" i="2"/>
  <c r="Z80" i="2"/>
  <c r="Z39" i="2"/>
  <c r="AE65" i="2"/>
  <c r="AG66" i="2"/>
  <c r="AG22" i="2"/>
  <c r="AF39" i="2"/>
  <c r="AF65" i="2"/>
  <c r="AG40" i="2"/>
  <c r="Z32" i="2"/>
  <c r="AC39" i="2"/>
  <c r="Y16" i="2"/>
  <c r="AA16" i="2"/>
  <c r="AD16" i="2" s="1"/>
  <c r="W61" i="2"/>
  <c r="AA61" i="2" s="1"/>
  <c r="AG61" i="2"/>
  <c r="AG39" i="2"/>
  <c r="W55" i="2"/>
  <c r="AC55" i="2" s="1"/>
  <c r="AG55" i="2"/>
  <c r="AF30" i="2"/>
  <c r="AG19" i="2"/>
  <c r="Y49" i="2"/>
  <c r="W67" i="2"/>
  <c r="Z67" i="2" s="1"/>
  <c r="AE71" i="2"/>
  <c r="W71" i="2"/>
  <c r="AF67" i="2"/>
  <c r="AF55" i="2"/>
  <c r="W19" i="2"/>
  <c r="AG67" i="2"/>
  <c r="Z13" i="2"/>
  <c r="W26" i="2"/>
  <c r="AC26" i="2" s="1"/>
  <c r="AG38" i="2"/>
  <c r="X16" i="2"/>
  <c r="Z16" i="2"/>
  <c r="AG10" i="2"/>
  <c r="AG34" i="2"/>
  <c r="AE34" i="2"/>
  <c r="AE18" i="2"/>
  <c r="AG18" i="2"/>
  <c r="AE39" i="2"/>
  <c r="Z34" i="2"/>
  <c r="AC60" i="2"/>
  <c r="Y56" i="2"/>
  <c r="W18" i="2"/>
  <c r="W22" i="2"/>
  <c r="X22" i="2" s="1"/>
  <c r="AE22" i="2"/>
  <c r="AB22" i="2"/>
  <c r="AC38" i="2"/>
  <c r="Z38" i="2"/>
  <c r="X9" i="2"/>
  <c r="Y13" i="2"/>
  <c r="W14" i="2"/>
  <c r="AE14" i="2"/>
  <c r="AA33" i="2"/>
  <c r="AE64" i="2"/>
  <c r="AG64" i="2"/>
  <c r="Z55" i="2"/>
  <c r="Z65" i="2"/>
  <c r="AC65" i="2"/>
  <c r="H75" i="2"/>
  <c r="Z75" i="2"/>
  <c r="X75" i="2"/>
  <c r="Y75" i="2"/>
  <c r="AF38" i="2"/>
  <c r="AF9" i="2"/>
  <c r="AC19" i="2"/>
  <c r="Z19" i="2"/>
  <c r="AA49" i="2"/>
  <c r="AE38" i="2"/>
  <c r="AC49" i="2"/>
  <c r="Z49" i="2"/>
  <c r="H77" i="2"/>
  <c r="Z77" i="2"/>
  <c r="AB49" i="2"/>
  <c r="Z5" i="2"/>
  <c r="AA60" i="2"/>
  <c r="AG32" i="2"/>
  <c r="Y51" i="2"/>
  <c r="Z51" i="2"/>
  <c r="Z81" i="2"/>
  <c r="Y10" i="2"/>
  <c r="Z10" i="2"/>
  <c r="AA10" i="2"/>
  <c r="W53" i="2"/>
  <c r="AG53" i="2"/>
  <c r="AG75" i="2"/>
  <c r="AE75" i="2"/>
  <c r="Z70" i="2"/>
  <c r="H70" i="2"/>
  <c r="W35" i="2"/>
  <c r="AE35" i="2"/>
  <c r="AG35" i="2"/>
  <c r="AG14" i="2"/>
  <c r="Z31" i="2"/>
  <c r="AC31" i="2"/>
  <c r="AF32" i="2"/>
  <c r="AF59" i="2"/>
  <c r="AF14" i="2"/>
  <c r="AF63" i="2"/>
  <c r="AC30" i="2"/>
  <c r="Z30" i="2"/>
  <c r="Z61" i="2"/>
  <c r="W64" i="2"/>
  <c r="Y60" i="2"/>
  <c r="AC10" i="2"/>
  <c r="Z74" i="2"/>
  <c r="AE76" i="2"/>
  <c r="AG76" i="2"/>
  <c r="AE31" i="2"/>
  <c r="AG31" i="2"/>
  <c r="AD56" i="2"/>
  <c r="AC66" i="2"/>
  <c r="Z66" i="2"/>
  <c r="AC57" i="2"/>
  <c r="Z57" i="2"/>
  <c r="AF59" i="1"/>
  <c r="AF22" i="1"/>
  <c r="AD36" i="1"/>
  <c r="T64" i="1"/>
  <c r="Z64" i="1" s="1"/>
  <c r="T42" i="1"/>
  <c r="Z42" i="1" s="1"/>
  <c r="AE88" i="1"/>
  <c r="T22" i="1"/>
  <c r="V22" i="1" s="1"/>
  <c r="AD35" i="1"/>
  <c r="T36" i="1"/>
  <c r="W36" i="1" s="1"/>
  <c r="AD2" i="1"/>
  <c r="T58" i="1"/>
  <c r="W58" i="1" s="1"/>
  <c r="AE58" i="1"/>
  <c r="AE80" i="1"/>
  <c r="AD34" i="1"/>
  <c r="AF8" i="1"/>
  <c r="AD44" i="1"/>
  <c r="T80" i="1"/>
  <c r="U80" i="1" s="1"/>
  <c r="AD6" i="1"/>
  <c r="AD56" i="1"/>
  <c r="AD71" i="1"/>
  <c r="T6" i="1"/>
  <c r="Z6" i="1" s="1"/>
  <c r="AD8" i="1"/>
  <c r="T72" i="1"/>
  <c r="U72" i="1" s="1"/>
  <c r="AD21" i="1"/>
  <c r="AD17" i="1"/>
  <c r="AF72" i="1"/>
  <c r="AE21" i="1"/>
  <c r="AE54" i="1"/>
  <c r="AE72" i="1"/>
  <c r="AF62" i="1"/>
  <c r="AF54" i="1"/>
  <c r="T62" i="1"/>
  <c r="W62" i="1" s="1"/>
  <c r="T56" i="1"/>
  <c r="U56" i="1" s="1"/>
  <c r="AD80" i="1"/>
  <c r="AD41" i="1"/>
  <c r="X21" i="1"/>
  <c r="W21" i="1"/>
  <c r="T71" i="1"/>
  <c r="U71" i="1" s="1"/>
  <c r="AF46" i="1"/>
  <c r="T54" i="1"/>
  <c r="U54" i="1" s="1"/>
  <c r="T17" i="1"/>
  <c r="U17" i="1" s="1"/>
  <c r="W59" i="1"/>
  <c r="Z40" i="1"/>
  <c r="W40" i="1"/>
  <c r="W30" i="1"/>
  <c r="T68" i="1"/>
  <c r="U68" i="1" s="1"/>
  <c r="U20" i="1"/>
  <c r="W20" i="1"/>
  <c r="Z38" i="1"/>
  <c r="W38" i="1"/>
  <c r="AF68" i="1"/>
  <c r="T41" i="1"/>
  <c r="W45" i="1"/>
  <c r="Z9" i="1"/>
  <c r="W9" i="1"/>
  <c r="X12" i="1"/>
  <c r="W12" i="1"/>
  <c r="Z24" i="1"/>
  <c r="W24" i="1"/>
  <c r="Z74" i="1"/>
  <c r="W74" i="1"/>
  <c r="Z33" i="1"/>
  <c r="W33" i="1"/>
  <c r="Z67" i="1"/>
  <c r="W67" i="1"/>
  <c r="AD68" i="1"/>
  <c r="AF41" i="1"/>
  <c r="X59" i="1"/>
  <c r="AA59" i="1" s="1"/>
  <c r="Z31" i="1"/>
  <c r="W31" i="1"/>
  <c r="X49" i="1"/>
  <c r="W49" i="1"/>
  <c r="AF17" i="1"/>
  <c r="Y2" i="1"/>
  <c r="Z77" i="1"/>
  <c r="W77" i="1"/>
  <c r="Z7" i="1"/>
  <c r="W7" i="1"/>
  <c r="AG56" i="3"/>
  <c r="AG16" i="3"/>
  <c r="W64" i="3"/>
  <c r="AG6" i="3"/>
  <c r="AE6" i="3"/>
  <c r="W37" i="3"/>
  <c r="AG37" i="3"/>
  <c r="AE37" i="3"/>
  <c r="AG8" i="3"/>
  <c r="AE8" i="3"/>
  <c r="AB37" i="3"/>
  <c r="W24" i="3"/>
  <c r="Y24" i="3" s="1"/>
  <c r="AG24" i="3"/>
  <c r="AE24" i="3"/>
  <c r="AE16" i="3"/>
  <c r="AG53" i="3"/>
  <c r="AE53" i="3"/>
  <c r="W14" i="3"/>
  <c r="Y14" i="3" s="1"/>
  <c r="W6" i="3"/>
  <c r="Y6" i="3" s="1"/>
  <c r="AG64" i="3"/>
  <c r="AE64" i="3"/>
  <c r="AF24" i="3"/>
  <c r="AB66" i="3"/>
  <c r="Z66" i="3"/>
  <c r="AA66" i="3"/>
  <c r="X66" i="3"/>
  <c r="W10" i="3"/>
  <c r="Z10" i="3" s="1"/>
  <c r="AE14" i="3"/>
  <c r="AF31" i="1"/>
  <c r="X7" i="1"/>
  <c r="T14" i="1"/>
  <c r="U14" i="1" s="1"/>
  <c r="AD75" i="1"/>
  <c r="AE33" i="1"/>
  <c r="AE69" i="1"/>
  <c r="AF7" i="1"/>
  <c r="AF36" i="1"/>
  <c r="AD26" i="1"/>
  <c r="AE26" i="1"/>
  <c r="AE44" i="1"/>
  <c r="T26" i="1"/>
  <c r="X26" i="1" s="1"/>
  <c r="T2" i="1"/>
  <c r="U2" i="1" s="1"/>
  <c r="T52" i="1"/>
  <c r="AD58" i="1"/>
  <c r="AD33" i="1"/>
  <c r="AD47" i="1"/>
  <c r="T89" i="1"/>
  <c r="X89" i="1" s="1"/>
  <c r="AF2" i="1"/>
  <c r="AD7" i="1"/>
  <c r="AF47" i="1"/>
  <c r="AE67" i="1"/>
  <c r="AD39" i="1"/>
  <c r="AD67" i="1"/>
  <c r="AF30" i="1"/>
  <c r="AD30" i="1"/>
  <c r="T47" i="1"/>
  <c r="U47" i="1" s="1"/>
  <c r="AD79" i="1"/>
  <c r="AF34" i="1"/>
  <c r="T39" i="1"/>
  <c r="AF50" i="1"/>
  <c r="AE3" i="1"/>
  <c r="AE50" i="1"/>
  <c r="T50" i="1"/>
  <c r="AF77" i="1"/>
  <c r="AD77" i="1"/>
  <c r="AF67" i="1"/>
  <c r="AD9" i="1"/>
  <c r="V31" i="1"/>
  <c r="AF39" i="1"/>
  <c r="AE52" i="1"/>
  <c r="AJ18" i="6"/>
  <c r="AN11" i="6"/>
  <c r="AK11" i="6"/>
  <c r="AM11" i="6"/>
  <c r="AP2" i="6"/>
  <c r="AM15" i="6"/>
  <c r="AP15" i="6" s="1"/>
  <c r="AN6" i="6"/>
  <c r="AM6" i="6"/>
  <c r="AJ6" i="6"/>
  <c r="AK31" i="4"/>
  <c r="AN31" i="4"/>
  <c r="AI51" i="4"/>
  <c r="AK51" i="4" s="1"/>
  <c r="AQ51" i="4"/>
  <c r="AI9" i="4"/>
  <c r="AF7" i="4"/>
  <c r="AT7" i="4"/>
  <c r="AQ14" i="4"/>
  <c r="AT14" i="4"/>
  <c r="AT59" i="4"/>
  <c r="AF59" i="4"/>
  <c r="AL59" i="4" s="1"/>
  <c r="AQ59" i="4"/>
  <c r="AR32" i="4"/>
  <c r="AR47" i="4"/>
  <c r="AJ16" i="4"/>
  <c r="AN51" i="4"/>
  <c r="AM18" i="4"/>
  <c r="AP18" i="4" s="1"/>
  <c r="AQ54" i="4"/>
  <c r="AI54" i="4"/>
  <c r="AL54" i="4" s="1"/>
  <c r="AI7" i="4"/>
  <c r="AQ7" i="4"/>
  <c r="AM44" i="4"/>
  <c r="AP44" i="4" s="1"/>
  <c r="AN54" i="4"/>
  <c r="AC34" i="3"/>
  <c r="AA34" i="3"/>
  <c r="X34" i="3"/>
  <c r="Z34" i="3"/>
  <c r="AC51" i="3"/>
  <c r="Z51" i="3"/>
  <c r="AA51" i="3"/>
  <c r="X51" i="3"/>
  <c r="AE36" i="2"/>
  <c r="W36" i="2"/>
  <c r="Y36" i="2" s="1"/>
  <c r="W67" i="3"/>
  <c r="Y67" i="3" s="1"/>
  <c r="AG67" i="3"/>
  <c r="AE67" i="3"/>
  <c r="AE13" i="3"/>
  <c r="AG13" i="3"/>
  <c r="W52" i="2"/>
  <c r="Z52" i="2" s="1"/>
  <c r="AE52" i="2"/>
  <c r="AG52" i="2"/>
  <c r="AB66" i="2"/>
  <c r="Y66" i="2"/>
  <c r="X66" i="2"/>
  <c r="AA66" i="2"/>
  <c r="X40" i="1"/>
  <c r="Y31" i="1"/>
  <c r="AD40" i="1"/>
  <c r="AD14" i="1"/>
  <c r="AF38" i="1"/>
  <c r="AF69" i="1"/>
  <c r="AF52" i="1"/>
  <c r="X77" i="1"/>
  <c r="X61" i="1"/>
  <c r="T69" i="1"/>
  <c r="V69" i="1" s="1"/>
  <c r="AF34" i="3"/>
  <c r="AF13" i="3"/>
  <c r="AQ20" i="4"/>
  <c r="AM18" i="6"/>
  <c r="AP18" i="6" s="1"/>
  <c r="AF52" i="2"/>
  <c r="AK18" i="6"/>
  <c r="AJ9" i="6"/>
  <c r="W31" i="3"/>
  <c r="Y31" i="3" s="1"/>
  <c r="X51" i="2"/>
  <c r="AC38" i="3"/>
  <c r="X38" i="3"/>
  <c r="AA38" i="3"/>
  <c r="Z38" i="3"/>
  <c r="AG9" i="3"/>
  <c r="AE9" i="3"/>
  <c r="AC22" i="3"/>
  <c r="Z22" i="3"/>
  <c r="X22" i="3"/>
  <c r="AA22" i="3"/>
  <c r="AD22" i="3" s="1"/>
  <c r="W45" i="2"/>
  <c r="AG45" i="2"/>
  <c r="W43" i="3"/>
  <c r="Y43" i="3" s="1"/>
  <c r="AE43" i="3"/>
  <c r="AG43" i="3"/>
  <c r="W9" i="3"/>
  <c r="Y9" i="3" s="1"/>
  <c r="AG8" i="2"/>
  <c r="AE8" i="2"/>
  <c r="W8" i="2"/>
  <c r="Z8" i="2" s="1"/>
  <c r="W43" i="2"/>
  <c r="Z43" i="2" s="1"/>
  <c r="AG43" i="2"/>
  <c r="AE43" i="2"/>
  <c r="AM9" i="6"/>
  <c r="AP9" i="6" s="1"/>
  <c r="AB52" i="3"/>
  <c r="W28" i="2"/>
  <c r="Y28" i="2" s="1"/>
  <c r="AG28" i="2"/>
  <c r="AE28" i="2"/>
  <c r="AE6" i="2"/>
  <c r="AG6" i="2"/>
  <c r="W6" i="2"/>
  <c r="Z6" i="2" s="1"/>
  <c r="W41" i="2"/>
  <c r="Z41" i="2" s="1"/>
  <c r="AG41" i="2"/>
  <c r="AE41" i="2"/>
  <c r="AB58" i="3"/>
  <c r="Z58" i="3"/>
  <c r="AA58" i="3"/>
  <c r="AD58" i="3" s="1"/>
  <c r="AG36" i="2"/>
  <c r="W69" i="2"/>
  <c r="Z69" i="2" s="1"/>
  <c r="AG69" i="2"/>
  <c r="AE69" i="2"/>
  <c r="W7" i="2"/>
  <c r="Z7" i="2" s="1"/>
  <c r="AG7" i="2"/>
  <c r="AE7" i="2"/>
  <c r="H74" i="2"/>
  <c r="Y74" i="2"/>
  <c r="X74" i="2"/>
  <c r="AI13" i="4"/>
  <c r="AQ13" i="4"/>
  <c r="AB29" i="2"/>
  <c r="AF43" i="1"/>
  <c r="W21" i="3"/>
  <c r="Y21" i="3" s="1"/>
  <c r="AG21" i="3"/>
  <c r="AE21" i="3"/>
  <c r="W15" i="3"/>
  <c r="Y15" i="3" s="1"/>
  <c r="AE15" i="3"/>
  <c r="AG15" i="3"/>
  <c r="AF25" i="4"/>
  <c r="AL25" i="4" s="1"/>
  <c r="AT25" i="4"/>
  <c r="AQ25" i="4"/>
  <c r="AE34" i="3"/>
  <c r="AG34" i="3"/>
  <c r="AC53" i="3"/>
  <c r="X53" i="3"/>
  <c r="Z53" i="3"/>
  <c r="AA53" i="3"/>
  <c r="AJ17" i="6"/>
  <c r="AK17" i="6"/>
  <c r="AN17" i="6"/>
  <c r="AM17" i="6"/>
  <c r="AM8" i="6"/>
  <c r="AJ8" i="6"/>
  <c r="AN8" i="6"/>
  <c r="AK8" i="6"/>
  <c r="AG20" i="2"/>
  <c r="AE20" i="2"/>
  <c r="W20" i="2"/>
  <c r="Z20" i="2" s="1"/>
  <c r="AD38" i="1"/>
  <c r="T43" i="1"/>
  <c r="AF75" i="1"/>
  <c r="T75" i="1"/>
  <c r="X75" i="1" s="1"/>
  <c r="AF4" i="1"/>
  <c r="T46" i="1"/>
  <c r="V59" i="1"/>
  <c r="AE40" i="1"/>
  <c r="AR18" i="4"/>
  <c r="AF67" i="3"/>
  <c r="AQ18" i="4"/>
  <c r="AE38" i="1"/>
  <c r="AC49" i="3"/>
  <c r="Z49" i="3"/>
  <c r="AC61" i="3"/>
  <c r="AA61" i="3"/>
  <c r="Z61" i="3"/>
  <c r="AC12" i="3"/>
  <c r="Z12" i="3"/>
  <c r="AB48" i="2"/>
  <c r="AG2" i="2"/>
  <c r="AE2" i="2"/>
  <c r="W44" i="3"/>
  <c r="AG44" i="3"/>
  <c r="W11" i="3"/>
  <c r="Y11" i="3" s="1"/>
  <c r="AG11" i="3"/>
  <c r="AE11" i="3"/>
  <c r="AC13" i="2"/>
  <c r="AG63" i="2"/>
  <c r="W63" i="2"/>
  <c r="AC45" i="3"/>
  <c r="AA45" i="3"/>
  <c r="X45" i="3"/>
  <c r="Z45" i="3"/>
  <c r="AG44" i="2"/>
  <c r="AE44" i="2"/>
  <c r="W3" i="2"/>
  <c r="Z3" i="2" s="1"/>
  <c r="AG3" i="2"/>
  <c r="AE3" i="2"/>
  <c r="W44" i="2"/>
  <c r="Z44" i="2" s="1"/>
  <c r="AE23" i="2"/>
  <c r="W23" i="2"/>
  <c r="Z23" i="2" s="1"/>
  <c r="AG23" i="2"/>
  <c r="AI3" i="4"/>
  <c r="AL3" i="4" s="1"/>
  <c r="AQ3" i="4"/>
  <c r="Z60" i="3"/>
  <c r="AQ6" i="4"/>
  <c r="AI6" i="4"/>
  <c r="AM16" i="4"/>
  <c r="AP16" i="4" s="1"/>
  <c r="W55" i="3"/>
  <c r="Y55" i="3" s="1"/>
  <c r="AG13" i="2"/>
  <c r="AE13" i="2"/>
  <c r="X41" i="3"/>
  <c r="AA41" i="3"/>
  <c r="Z41" i="3"/>
  <c r="AB41" i="3"/>
  <c r="W46" i="2"/>
  <c r="Z46" i="2" s="1"/>
  <c r="AG46" i="2"/>
  <c r="AE46" i="2"/>
  <c r="AB26" i="2"/>
  <c r="AA49" i="3"/>
  <c r="AA60" i="3"/>
  <c r="AD60" i="3" s="1"/>
  <c r="AM35" i="4"/>
  <c r="AN35" i="4"/>
  <c r="AT6" i="4"/>
  <c r="AF6" i="4"/>
  <c r="AK16" i="4"/>
  <c r="AD12" i="3"/>
  <c r="AE51" i="3"/>
  <c r="AG51" i="3"/>
  <c r="AC4" i="3"/>
  <c r="Z4" i="3"/>
  <c r="AA4" i="3"/>
  <c r="X4" i="3"/>
  <c r="U40" i="1"/>
  <c r="AF40" i="1"/>
  <c r="U59" i="1"/>
  <c r="AF14" i="1"/>
  <c r="V21" i="1"/>
  <c r="AF51" i="3"/>
  <c r="AK9" i="6"/>
  <c r="AR20" i="4"/>
  <c r="AF20" i="2"/>
  <c r="W33" i="3"/>
  <c r="Y33" i="3" s="1"/>
  <c r="AE33" i="3"/>
  <c r="AG33" i="3"/>
  <c r="W52" i="3"/>
  <c r="AG52" i="3"/>
  <c r="AE52" i="3"/>
  <c r="W7" i="3"/>
  <c r="Y7" i="3" s="1"/>
  <c r="AG7" i="3"/>
  <c r="AE7" i="3"/>
  <c r="AE17" i="3"/>
  <c r="AG17" i="3"/>
  <c r="AC20" i="3"/>
  <c r="X20" i="3"/>
  <c r="AA20" i="3"/>
  <c r="Z20" i="3"/>
  <c r="AE59" i="2"/>
  <c r="W59" i="2"/>
  <c r="Z59" i="2" s="1"/>
  <c r="AC8" i="3"/>
  <c r="AA8" i="3"/>
  <c r="X8" i="3"/>
  <c r="Z8" i="3"/>
  <c r="W3" i="3"/>
  <c r="Y3" i="3" s="1"/>
  <c r="AE3" i="3"/>
  <c r="AG3" i="3"/>
  <c r="AG29" i="2"/>
  <c r="AE29" i="2"/>
  <c r="W29" i="2"/>
  <c r="R58" i="2"/>
  <c r="AB58" i="2" s="1"/>
  <c r="AH58" i="2"/>
  <c r="AG15" i="2"/>
  <c r="AE15" i="2"/>
  <c r="W15" i="2"/>
  <c r="Z15" i="2" s="1"/>
  <c r="AB10" i="3"/>
  <c r="AE26" i="2"/>
  <c r="AG26" i="2"/>
  <c r="AB25" i="3"/>
  <c r="Z25" i="3"/>
  <c r="X25" i="3"/>
  <c r="AA25" i="3"/>
  <c r="AD25" i="3" s="1"/>
  <c r="AJ33" i="4"/>
  <c r="AK33" i="4"/>
  <c r="AM33" i="4"/>
  <c r="AP33" i="4" s="1"/>
  <c r="AO33" i="4"/>
  <c r="AT9" i="4"/>
  <c r="AF9" i="4"/>
  <c r="AQ9" i="4"/>
  <c r="W2" i="2"/>
  <c r="Z2" i="2" s="1"/>
  <c r="X49" i="3"/>
  <c r="Y72" i="2"/>
  <c r="X72" i="2"/>
  <c r="H72" i="2"/>
  <c r="AF13" i="4"/>
  <c r="AT13" i="4"/>
  <c r="AC42" i="3"/>
  <c r="Z42" i="3"/>
  <c r="AA42" i="3"/>
  <c r="X42" i="3"/>
  <c r="AC65" i="3"/>
  <c r="AA65" i="3"/>
  <c r="X65" i="3"/>
  <c r="Z65" i="3"/>
  <c r="AG23" i="3"/>
  <c r="AE23" i="3"/>
  <c r="AB64" i="3"/>
  <c r="Z64" i="3"/>
  <c r="AE51" i="1"/>
  <c r="X19" i="2"/>
  <c r="AA19" i="2"/>
  <c r="AD19" i="2" s="1"/>
  <c r="Y19" i="2"/>
  <c r="AB19" i="2"/>
  <c r="AE76" i="1"/>
  <c r="AB55" i="2"/>
  <c r="AN34" i="4"/>
  <c r="AK34" i="4"/>
  <c r="AM34" i="4"/>
  <c r="AJ34" i="4"/>
  <c r="AB11" i="2"/>
  <c r="AF45" i="4"/>
  <c r="AT45" i="4"/>
  <c r="AB44" i="3"/>
  <c r="AA44" i="3"/>
  <c r="AC16" i="3"/>
  <c r="X16" i="3"/>
  <c r="AA16" i="3"/>
  <c r="Z16" i="3"/>
  <c r="T57" i="1"/>
  <c r="U57" i="1" s="1"/>
  <c r="Z12" i="1"/>
  <c r="AG29" i="3"/>
  <c r="W29" i="3"/>
  <c r="Y29" i="3" s="1"/>
  <c r="AF36" i="3"/>
  <c r="AC32" i="3"/>
  <c r="Z32" i="3"/>
  <c r="X32" i="3"/>
  <c r="AA32" i="3"/>
  <c r="AG58" i="2"/>
  <c r="W58" i="2"/>
  <c r="Z58" i="2" s="1"/>
  <c r="AE58" i="2"/>
  <c r="AA57" i="2"/>
  <c r="Y57" i="2"/>
  <c r="AB57" i="2"/>
  <c r="X57" i="2"/>
  <c r="AG4" i="2"/>
  <c r="AE4" i="2"/>
  <c r="W4" i="2"/>
  <c r="AB36" i="2"/>
  <c r="AE57" i="1"/>
  <c r="AG30" i="2"/>
  <c r="AE30" i="2"/>
  <c r="AE61" i="1"/>
  <c r="AK18" i="4"/>
  <c r="AF12" i="2"/>
  <c r="AE65" i="1"/>
  <c r="AC9" i="2"/>
  <c r="Y9" i="2"/>
  <c r="AA9" i="2"/>
  <c r="AF58" i="2"/>
  <c r="AB21" i="2"/>
  <c r="AI45" i="4"/>
  <c r="AQ45" i="4"/>
  <c r="Y30" i="2"/>
  <c r="Y45" i="2"/>
  <c r="AB45" i="2"/>
  <c r="AA45" i="2"/>
  <c r="AG5" i="3"/>
  <c r="AE5" i="3"/>
  <c r="AR19" i="4"/>
  <c r="AF57" i="1"/>
  <c r="V12" i="1"/>
  <c r="T51" i="1"/>
  <c r="V51" i="1" s="1"/>
  <c r="X30" i="1"/>
  <c r="AE27" i="3"/>
  <c r="AG27" i="3"/>
  <c r="AE50" i="3"/>
  <c r="AG50" i="3"/>
  <c r="AE46" i="1"/>
  <c r="AI48" i="4"/>
  <c r="AL48" i="4" s="1"/>
  <c r="AQ48" i="4"/>
  <c r="AE27" i="2"/>
  <c r="W27" i="2"/>
  <c r="AG27" i="2"/>
  <c r="AE43" i="1"/>
  <c r="AF2" i="4"/>
  <c r="AL2" i="4" s="1"/>
  <c r="AT2" i="4"/>
  <c r="AQ2" i="4"/>
  <c r="AG37" i="2"/>
  <c r="AE37" i="2"/>
  <c r="W37" i="2"/>
  <c r="AA37" i="2" s="1"/>
  <c r="AJ18" i="4"/>
  <c r="AE24" i="1"/>
  <c r="AN46" i="4"/>
  <c r="AB27" i="2"/>
  <c r="AJ7" i="6"/>
  <c r="AN7" i="6"/>
  <c r="AK7" i="6"/>
  <c r="AM7" i="6"/>
  <c r="AQ47" i="4"/>
  <c r="AI47" i="4"/>
  <c r="Y77" i="2"/>
  <c r="X77" i="2"/>
  <c r="AC56" i="3"/>
  <c r="AA56" i="3"/>
  <c r="Z56" i="3"/>
  <c r="X56" i="3"/>
  <c r="AA30" i="2"/>
  <c r="AK8" i="4"/>
  <c r="AM8" i="4"/>
  <c r="AN8" i="4"/>
  <c r="AJ8" i="4"/>
  <c r="AD51" i="1"/>
  <c r="Y75" i="1"/>
  <c r="T63" i="1"/>
  <c r="U63" i="1" s="1"/>
  <c r="V24" i="1"/>
  <c r="AE31" i="3"/>
  <c r="AG31" i="3"/>
  <c r="AF65" i="3"/>
  <c r="AP12" i="6"/>
  <c r="AE9" i="1"/>
  <c r="AJ13" i="6"/>
  <c r="AN13" i="6"/>
  <c r="AM13" i="6"/>
  <c r="AK13" i="6"/>
  <c r="AO4" i="6"/>
  <c r="AM4" i="6"/>
  <c r="AP4" i="6" s="1"/>
  <c r="AR45" i="4"/>
  <c r="AE29" i="3"/>
  <c r="AE4" i="1"/>
  <c r="AA34" i="2"/>
  <c r="AC34" i="2"/>
  <c r="X34" i="2"/>
  <c r="Y34" i="2"/>
  <c r="AE73" i="2"/>
  <c r="W73" i="2"/>
  <c r="Z73" i="2" s="1"/>
  <c r="AG73" i="2"/>
  <c r="AE66" i="1"/>
  <c r="AM20" i="4"/>
  <c r="AP20" i="4" s="1"/>
  <c r="AE59" i="1"/>
  <c r="AE12" i="1"/>
  <c r="AK16" i="6"/>
  <c r="AB17" i="3"/>
  <c r="Z17" i="3"/>
  <c r="AA17" i="3"/>
  <c r="AD17" i="3" s="1"/>
  <c r="X17" i="3"/>
  <c r="AF27" i="2"/>
  <c r="AB31" i="2"/>
  <c r="AA31" i="2"/>
  <c r="AD31" i="2" s="1"/>
  <c r="X31" i="2"/>
  <c r="Y31" i="2"/>
  <c r="AE60" i="1"/>
  <c r="AF47" i="4"/>
  <c r="AT47" i="4"/>
  <c r="AO23" i="4"/>
  <c r="AB59" i="3"/>
  <c r="AA50" i="2"/>
  <c r="AC50" i="2"/>
  <c r="Y50" i="2"/>
  <c r="X50" i="2"/>
  <c r="AE46" i="3"/>
  <c r="AG46" i="3"/>
  <c r="AN19" i="4"/>
  <c r="AC31" i="3"/>
  <c r="X31" i="3"/>
  <c r="AA31" i="3"/>
  <c r="Z31" i="3"/>
  <c r="AF29" i="1"/>
  <c r="T76" i="1"/>
  <c r="X76" i="1" s="1"/>
  <c r="U78" i="1"/>
  <c r="AE54" i="3"/>
  <c r="AG54" i="3"/>
  <c r="AG28" i="3"/>
  <c r="W28" i="3"/>
  <c r="Y28" i="3" s="1"/>
  <c r="AE28" i="3"/>
  <c r="AF5" i="3"/>
  <c r="W46" i="3"/>
  <c r="Y46" i="3" s="1"/>
  <c r="AI46" i="4"/>
  <c r="AQ46" i="4"/>
  <c r="Y63" i="2"/>
  <c r="AB63" i="2"/>
  <c r="X63" i="2"/>
  <c r="AA63" i="2"/>
  <c r="AG42" i="2"/>
  <c r="W42" i="2"/>
  <c r="X42" i="2" s="1"/>
  <c r="AE42" i="2"/>
  <c r="AE77" i="1"/>
  <c r="AK20" i="4"/>
  <c r="W11" i="2"/>
  <c r="AG11" i="2"/>
  <c r="AE11" i="2"/>
  <c r="AE28" i="1"/>
  <c r="AJ16" i="6"/>
  <c r="AB4" i="2"/>
  <c r="Y38" i="2"/>
  <c r="AB38" i="2"/>
  <c r="X38" i="2"/>
  <c r="AA38" i="2"/>
  <c r="AD38" i="2" s="1"/>
  <c r="AG12" i="2"/>
  <c r="AB54" i="3"/>
  <c r="AO10" i="4"/>
  <c r="W59" i="3"/>
  <c r="AE59" i="3"/>
  <c r="AG59" i="3"/>
  <c r="AD5" i="1"/>
  <c r="AE36" i="3"/>
  <c r="W36" i="3"/>
  <c r="Y36" i="3" s="1"/>
  <c r="AE29" i="1"/>
  <c r="AF23" i="3"/>
  <c r="AC13" i="3"/>
  <c r="AA13" i="3"/>
  <c r="AD13" i="3" s="1"/>
  <c r="Z13" i="3"/>
  <c r="X13" i="3"/>
  <c r="AE7" i="1"/>
  <c r="AJ20" i="4"/>
  <c r="H76" i="2"/>
  <c r="X76" i="2"/>
  <c r="Y76" i="2"/>
  <c r="W21" i="2"/>
  <c r="AE21" i="2"/>
  <c r="AG21" i="2"/>
  <c r="AE20" i="1"/>
  <c r="AK4" i="6"/>
  <c r="AE89" i="1"/>
  <c r="AM16" i="6"/>
  <c r="AP16" i="6" s="1"/>
  <c r="AB42" i="2"/>
  <c r="W12" i="2"/>
  <c r="X12" i="2" s="1"/>
  <c r="AC5" i="2"/>
  <c r="X5" i="2"/>
  <c r="AA5" i="2"/>
  <c r="Y5" i="2"/>
  <c r="AB37" i="2"/>
  <c r="AF59" i="3"/>
  <c r="Y70" i="2"/>
  <c r="X70" i="2"/>
  <c r="W5" i="3"/>
  <c r="Y5" i="3" s="1"/>
  <c r="W23" i="3"/>
  <c r="Y23" i="3" s="1"/>
  <c r="AF76" i="1"/>
  <c r="AD63" i="1"/>
  <c r="AF12" i="1"/>
  <c r="AG19" i="3"/>
  <c r="AE19" i="3"/>
  <c r="AG42" i="3"/>
  <c r="AE42" i="3"/>
  <c r="AG65" i="3"/>
  <c r="AE65" i="3"/>
  <c r="AK3" i="6"/>
  <c r="AO3" i="6"/>
  <c r="AM3" i="6"/>
  <c r="AP3" i="6" s="1"/>
  <c r="AJ3" i="6"/>
  <c r="AF29" i="3"/>
  <c r="AF27" i="3"/>
  <c r="AE49" i="1"/>
  <c r="AE70" i="1"/>
  <c r="AB28" i="2"/>
  <c r="AA28" i="2"/>
  <c r="AJ4" i="6"/>
  <c r="AE16" i="1"/>
  <c r="AE63" i="1"/>
  <c r="AF4" i="2"/>
  <c r="AE71" i="1"/>
  <c r="Y62" i="2"/>
  <c r="X62" i="2"/>
  <c r="AC62" i="2"/>
  <c r="AA62" i="2"/>
  <c r="AF42" i="2"/>
  <c r="AI32" i="4"/>
  <c r="AQ32" i="4"/>
  <c r="AC32" i="2"/>
  <c r="AA32" i="2"/>
  <c r="Y32" i="2"/>
  <c r="X32" i="2"/>
  <c r="U12" i="1"/>
  <c r="AC27" i="3"/>
  <c r="AA27" i="3"/>
  <c r="Z27" i="3"/>
  <c r="X27" i="3"/>
  <c r="V74" i="1"/>
  <c r="X74" i="1"/>
  <c r="AE31" i="1"/>
  <c r="AF42" i="3"/>
  <c r="W50" i="3"/>
  <c r="Y50" i="3" s="1"/>
  <c r="AO15" i="6"/>
  <c r="AJ15" i="6"/>
  <c r="W19" i="3"/>
  <c r="Y19" i="3" s="1"/>
  <c r="AT19" i="4"/>
  <c r="AC47" i="3"/>
  <c r="Z47" i="3"/>
  <c r="X47" i="3"/>
  <c r="AB65" i="2"/>
  <c r="X65" i="2"/>
  <c r="AA65" i="2"/>
  <c r="Y65" i="2"/>
  <c r="AQ19" i="4"/>
  <c r="AI24" i="4"/>
  <c r="AL24" i="4" s="1"/>
  <c r="AQ24" i="4"/>
  <c r="AA12" i="2"/>
  <c r="AB12" i="2"/>
  <c r="AA64" i="2"/>
  <c r="AB64" i="2"/>
  <c r="AA47" i="3"/>
  <c r="AN36" i="4"/>
  <c r="AJ36" i="4"/>
  <c r="AT32" i="4"/>
  <c r="AF32" i="4"/>
  <c r="AF37" i="2"/>
  <c r="W54" i="3"/>
  <c r="X30" i="2"/>
  <c r="T28" i="1"/>
  <c r="U24" i="1"/>
  <c r="AD28" i="1"/>
  <c r="Y23" i="1"/>
  <c r="V34" i="1"/>
  <c r="Y30" i="1"/>
  <c r="V20" i="1"/>
  <c r="AF24" i="1"/>
  <c r="AF49" i="1"/>
  <c r="T4" i="1"/>
  <c r="AD12" i="1"/>
  <c r="X24" i="1"/>
  <c r="Z20" i="1"/>
  <c r="V38" i="1"/>
  <c r="AF66" i="1"/>
  <c r="AD24" i="1"/>
  <c r="AD49" i="1"/>
  <c r="X20" i="1"/>
  <c r="AD20" i="1"/>
  <c r="V30" i="1"/>
  <c r="V7" i="1"/>
  <c r="Y7" i="1"/>
  <c r="AD66" i="1"/>
  <c r="AF20" i="1"/>
  <c r="AD70" i="1"/>
  <c r="X38" i="1"/>
  <c r="U61" i="1"/>
  <c r="V61" i="1"/>
  <c r="X31" i="1"/>
  <c r="AF61" i="1"/>
  <c r="Y77" i="1"/>
  <c r="U77" i="1"/>
  <c r="T3" i="1"/>
  <c r="U3" i="1" s="1"/>
  <c r="T29" i="1"/>
  <c r="U7" i="1"/>
  <c r="AD61" i="1"/>
  <c r="U38" i="1"/>
  <c r="AF9" i="1"/>
  <c r="T70" i="1"/>
  <c r="Y57" i="1"/>
  <c r="V57" i="1"/>
  <c r="U31" i="1"/>
  <c r="T48" i="1"/>
  <c r="W48" i="1" s="1"/>
  <c r="AF48" i="1"/>
  <c r="AD48" i="1"/>
  <c r="AD3" i="1"/>
  <c r="Z61" i="1"/>
  <c r="AD31" i="1"/>
  <c r="U35" i="1"/>
  <c r="AF79" i="1"/>
  <c r="T79" i="1"/>
  <c r="W79" i="1" s="1"/>
  <c r="AF5" i="1"/>
  <c r="T5" i="1"/>
  <c r="W5" i="1" s="1"/>
  <c r="U21" i="1"/>
  <c r="Z21" i="1"/>
  <c r="V77" i="1"/>
  <c r="AF13" i="1"/>
  <c r="T13" i="1"/>
  <c r="AD13" i="1"/>
  <c r="Y13" i="1"/>
  <c r="T19" i="1"/>
  <c r="AF19" i="1"/>
  <c r="AD19" i="1"/>
  <c r="Y56" i="1"/>
  <c r="Y80" i="1"/>
  <c r="Y19" i="1"/>
  <c r="Y44" i="1"/>
  <c r="Y6" i="1"/>
  <c r="Y22" i="1"/>
  <c r="Z30" i="1"/>
  <c r="U30" i="1"/>
  <c r="Z66" i="1"/>
  <c r="U66" i="1"/>
  <c r="V66" i="1"/>
  <c r="X66" i="1"/>
  <c r="Y69" i="1"/>
  <c r="Y9" i="1"/>
  <c r="V9" i="1"/>
  <c r="X9" i="1"/>
  <c r="U9" i="1"/>
  <c r="Z78" i="1"/>
  <c r="X78" i="1"/>
  <c r="V78" i="1"/>
  <c r="X71" i="1"/>
  <c r="AF65" i="1"/>
  <c r="T65" i="1"/>
  <c r="Z49" i="1"/>
  <c r="V49" i="1"/>
  <c r="Y58" i="1"/>
  <c r="U49" i="1"/>
  <c r="AF11" i="1"/>
  <c r="AD11" i="1"/>
  <c r="T11" i="1"/>
  <c r="W11" i="1" s="1"/>
  <c r="Y64" i="1"/>
  <c r="AD37" i="1"/>
  <c r="T37" i="1"/>
  <c r="W37" i="1" s="1"/>
  <c r="AF37" i="1"/>
  <c r="Y17" i="1"/>
  <c r="Y68" i="1"/>
  <c r="T60" i="1"/>
  <c r="AF60" i="1"/>
  <c r="X33" i="1"/>
  <c r="Y33" i="1"/>
  <c r="U33" i="1"/>
  <c r="V33" i="1"/>
  <c r="Y67" i="1"/>
  <c r="V67" i="1"/>
  <c r="U67" i="1"/>
  <c r="X67" i="1"/>
  <c r="Y72" i="1"/>
  <c r="U45" i="1"/>
  <c r="X45" i="1"/>
  <c r="Y45" i="1"/>
  <c r="V45" i="1"/>
  <c r="AD16" i="1"/>
  <c r="T16" i="1"/>
  <c r="W16" i="1" s="1"/>
  <c r="Y60" i="1"/>
  <c r="Y65" i="1"/>
  <c r="AM23" i="4" l="1"/>
  <c r="AP23" i="4" s="1"/>
  <c r="AJ57" i="4"/>
  <c r="Y55" i="2"/>
  <c r="AA62" i="3"/>
  <c r="AD62" i="3" s="1"/>
  <c r="Z34" i="1"/>
  <c r="Y24" i="2"/>
  <c r="AO36" i="4"/>
  <c r="AM55" i="4"/>
  <c r="AP55" i="4" s="1"/>
  <c r="AL57" i="4"/>
  <c r="AL52" i="4"/>
  <c r="AK55" i="4"/>
  <c r="AJ26" i="4"/>
  <c r="AM36" i="4"/>
  <c r="AJ23" i="4"/>
  <c r="AJ41" i="4"/>
  <c r="AJ55" i="4"/>
  <c r="AP31" i="4"/>
  <c r="Z62" i="3"/>
  <c r="AM30" i="4"/>
  <c r="AP30" i="4" s="1"/>
  <c r="AL29" i="4"/>
  <c r="AM41" i="4"/>
  <c r="AP41" i="4" s="1"/>
  <c r="AJ29" i="4"/>
  <c r="AK50" i="4"/>
  <c r="AM50" i="4"/>
  <c r="AP50" i="4" s="1"/>
  <c r="AL50" i="4"/>
  <c r="AD13" i="2"/>
  <c r="X36" i="1"/>
  <c r="X14" i="1"/>
  <c r="AK23" i="4"/>
  <c r="AD30" i="2"/>
  <c r="AD65" i="3"/>
  <c r="AO55" i="4"/>
  <c r="U34" i="1"/>
  <c r="AK30" i="4"/>
  <c r="AM60" i="4"/>
  <c r="AK52" i="4"/>
  <c r="AM26" i="4"/>
  <c r="AP26" i="4" s="1"/>
  <c r="AK26" i="4"/>
  <c r="AJ30" i="4"/>
  <c r="Y12" i="2"/>
  <c r="AA55" i="2"/>
  <c r="Y48" i="2"/>
  <c r="X24" i="2"/>
  <c r="AA48" i="2"/>
  <c r="Z33" i="2"/>
  <c r="Z48" i="2"/>
  <c r="AJ40" i="4"/>
  <c r="AP13" i="6"/>
  <c r="X55" i="2"/>
  <c r="X13" i="2"/>
  <c r="AC26" i="3"/>
  <c r="AD51" i="3"/>
  <c r="AA24" i="2"/>
  <c r="AC24" i="2"/>
  <c r="AC48" i="2"/>
  <c r="AD45" i="3"/>
  <c r="AM56" i="4"/>
  <c r="X33" i="2"/>
  <c r="AD60" i="2"/>
  <c r="AC33" i="2"/>
  <c r="AD33" i="2" s="1"/>
  <c r="AM51" i="4"/>
  <c r="AP51" i="4" s="1"/>
  <c r="AM37" i="4"/>
  <c r="AP37" i="4" s="1"/>
  <c r="AJ10" i="4"/>
  <c r="AJ19" i="4"/>
  <c r="AK41" i="4"/>
  <c r="AL19" i="4"/>
  <c r="AL40" i="4"/>
  <c r="X34" i="1"/>
  <c r="X56" i="1"/>
  <c r="Z15" i="1"/>
  <c r="AA74" i="1"/>
  <c r="V35" i="1"/>
  <c r="V80" i="1"/>
  <c r="U42" i="1"/>
  <c r="AA67" i="1"/>
  <c r="Z36" i="1"/>
  <c r="Z35" i="1"/>
  <c r="V15" i="1"/>
  <c r="X35" i="1"/>
  <c r="X57" i="1"/>
  <c r="W44" i="1"/>
  <c r="AA7" i="1"/>
  <c r="Z23" i="1"/>
  <c r="X44" i="1"/>
  <c r="U15" i="1"/>
  <c r="U88" i="1"/>
  <c r="X15" i="1"/>
  <c r="AA15" i="1" s="1"/>
  <c r="Z47" i="1"/>
  <c r="Z88" i="1"/>
  <c r="AA40" i="1"/>
  <c r="W8" i="1"/>
  <c r="U23" i="1"/>
  <c r="Z44" i="1"/>
  <c r="U8" i="1"/>
  <c r="V71" i="1"/>
  <c r="U44" i="1"/>
  <c r="V56" i="1"/>
  <c r="V23" i="1"/>
  <c r="X23" i="1"/>
  <c r="AA23" i="1" s="1"/>
  <c r="V72" i="1"/>
  <c r="X58" i="1"/>
  <c r="U22" i="1"/>
  <c r="U26" i="1"/>
  <c r="V26" i="1"/>
  <c r="AA77" i="1"/>
  <c r="W22" i="1"/>
  <c r="V17" i="1"/>
  <c r="X22" i="1"/>
  <c r="Z58" i="1"/>
  <c r="X64" i="1"/>
  <c r="AA64" i="1" s="1"/>
  <c r="Z2" i="1"/>
  <c r="AA49" i="1"/>
  <c r="U69" i="1"/>
  <c r="X63" i="1"/>
  <c r="Z72" i="1"/>
  <c r="X88" i="1"/>
  <c r="V88" i="1"/>
  <c r="V3" i="1"/>
  <c r="V47" i="1"/>
  <c r="X72" i="1"/>
  <c r="U58" i="1"/>
  <c r="X69" i="1"/>
  <c r="V36" i="1"/>
  <c r="X42" i="1"/>
  <c r="AA42" i="1" s="1"/>
  <c r="Z22" i="1"/>
  <c r="W56" i="1"/>
  <c r="W80" i="1"/>
  <c r="W42" i="1"/>
  <c r="W72" i="1"/>
  <c r="Z56" i="1"/>
  <c r="Z80" i="1"/>
  <c r="V42" i="1"/>
  <c r="V58" i="1"/>
  <c r="U36" i="1"/>
  <c r="U6" i="1"/>
  <c r="AP7" i="6"/>
  <c r="AM19" i="4"/>
  <c r="AL41" i="4"/>
  <c r="AL10" i="4"/>
  <c r="AM40" i="4"/>
  <c r="AP40" i="4" s="1"/>
  <c r="AK40" i="4"/>
  <c r="AM29" i="4"/>
  <c r="AP29" i="4" s="1"/>
  <c r="AK29" i="4"/>
  <c r="AJ51" i="4"/>
  <c r="AK10" i="4"/>
  <c r="AL37" i="4"/>
  <c r="AK37" i="4"/>
  <c r="AJ37" i="4"/>
  <c r="AM52" i="4"/>
  <c r="AP52" i="4" s="1"/>
  <c r="AP43" i="4"/>
  <c r="AK54" i="4"/>
  <c r="AO46" i="4"/>
  <c r="AL46" i="4"/>
  <c r="AO45" i="4"/>
  <c r="AL45" i="4"/>
  <c r="AP60" i="4"/>
  <c r="AO60" i="4"/>
  <c r="AL60" i="4"/>
  <c r="AJ60" i="4"/>
  <c r="AK60" i="4"/>
  <c r="AO14" i="4"/>
  <c r="AL14" i="4"/>
  <c r="AJ14" i="4"/>
  <c r="AK14" i="4"/>
  <c r="AM14" i="4"/>
  <c r="AP14" i="4" s="1"/>
  <c r="AO32" i="4"/>
  <c r="AL32" i="4"/>
  <c r="AO7" i="4"/>
  <c r="AL7" i="4"/>
  <c r="AN56" i="4"/>
  <c r="AO12" i="4"/>
  <c r="AL12" i="4"/>
  <c r="AM12" i="4"/>
  <c r="AP12" i="4" s="1"/>
  <c r="AJ12" i="4"/>
  <c r="AK12" i="4"/>
  <c r="AO47" i="4"/>
  <c r="AL47" i="4"/>
  <c r="AO6" i="4"/>
  <c r="AL6" i="4"/>
  <c r="AO13" i="4"/>
  <c r="AL13" i="4"/>
  <c r="AK56" i="4"/>
  <c r="AO9" i="4"/>
  <c r="AL9" i="4"/>
  <c r="AO51" i="4"/>
  <c r="AL51" i="4"/>
  <c r="AL56" i="4"/>
  <c r="AD61" i="3"/>
  <c r="AD41" i="3"/>
  <c r="Z26" i="3"/>
  <c r="AC54" i="3"/>
  <c r="Y54" i="3"/>
  <c r="AC64" i="3"/>
  <c r="Y64" i="3"/>
  <c r="AC44" i="3"/>
  <c r="AD44" i="3" s="1"/>
  <c r="Y44" i="3"/>
  <c r="AC10" i="3"/>
  <c r="Y10" i="3"/>
  <c r="AC59" i="3"/>
  <c r="Y59" i="3"/>
  <c r="X44" i="3"/>
  <c r="AA64" i="3"/>
  <c r="AD53" i="3"/>
  <c r="AD66" i="3"/>
  <c r="AC37" i="3"/>
  <c r="Y37" i="3"/>
  <c r="AC18" i="3"/>
  <c r="Y18" i="3"/>
  <c r="Z18" i="3"/>
  <c r="X18" i="3"/>
  <c r="AA18" i="3"/>
  <c r="AD18" i="3" s="1"/>
  <c r="X64" i="3"/>
  <c r="X10" i="3"/>
  <c r="AC52" i="3"/>
  <c r="Y52" i="3"/>
  <c r="X26" i="3"/>
  <c r="Z44" i="3"/>
  <c r="AD42" i="3"/>
  <c r="AA10" i="3"/>
  <c r="AA26" i="3"/>
  <c r="X37" i="3"/>
  <c r="Y61" i="2"/>
  <c r="AC40" i="2"/>
  <c r="X36" i="2"/>
  <c r="AA67" i="2"/>
  <c r="AD67" i="2" s="1"/>
  <c r="X28" i="2"/>
  <c r="Y37" i="2"/>
  <c r="X67" i="2"/>
  <c r="X40" i="2"/>
  <c r="X61" i="2"/>
  <c r="AA26" i="2"/>
  <c r="AD26" i="2" s="1"/>
  <c r="Z40" i="2"/>
  <c r="AD10" i="2"/>
  <c r="X37" i="2"/>
  <c r="AC67" i="2"/>
  <c r="X3" i="2"/>
  <c r="Y40" i="2"/>
  <c r="AA36" i="2"/>
  <c r="AC61" i="2"/>
  <c r="Y26" i="2"/>
  <c r="Z26" i="2"/>
  <c r="Y67" i="2"/>
  <c r="Y3" i="2"/>
  <c r="AD55" i="2"/>
  <c r="X26" i="2"/>
  <c r="Z60" i="2"/>
  <c r="X60" i="2"/>
  <c r="Z18" i="2"/>
  <c r="X18" i="2"/>
  <c r="AA18" i="2"/>
  <c r="Y18" i="2"/>
  <c r="AC18" i="2"/>
  <c r="Z71" i="2"/>
  <c r="Y71" i="2"/>
  <c r="H71" i="2"/>
  <c r="X71" i="2"/>
  <c r="Y22" i="2"/>
  <c r="AA22" i="2"/>
  <c r="AC22" i="2"/>
  <c r="Z22" i="2"/>
  <c r="AD65" i="2"/>
  <c r="AC11" i="2"/>
  <c r="Z11" i="2"/>
  <c r="AC45" i="2"/>
  <c r="AD45" i="2" s="1"/>
  <c r="Z45" i="2"/>
  <c r="AC64" i="2"/>
  <c r="AD64" i="2" s="1"/>
  <c r="Z64" i="2"/>
  <c r="AD24" i="2"/>
  <c r="Z35" i="2"/>
  <c r="AA35" i="2"/>
  <c r="Y35" i="2"/>
  <c r="X35" i="2"/>
  <c r="AC35" i="2"/>
  <c r="X64" i="2"/>
  <c r="AC12" i="2"/>
  <c r="AD12" i="2" s="1"/>
  <c r="Z12" i="2"/>
  <c r="AC37" i="2"/>
  <c r="AD37" i="2" s="1"/>
  <c r="Z37" i="2"/>
  <c r="AC27" i="2"/>
  <c r="Z27" i="2"/>
  <c r="X45" i="2"/>
  <c r="AD40" i="2"/>
  <c r="AC29" i="2"/>
  <c r="Z29" i="2"/>
  <c r="AC63" i="2"/>
  <c r="AD63" i="2" s="1"/>
  <c r="Z63" i="2"/>
  <c r="AD49" i="2"/>
  <c r="Y14" i="2"/>
  <c r="Z14" i="2"/>
  <c r="AA14" i="2"/>
  <c r="AC14" i="2"/>
  <c r="X14" i="2"/>
  <c r="AC42" i="2"/>
  <c r="Z42" i="2"/>
  <c r="AC4" i="2"/>
  <c r="Z4" i="2"/>
  <c r="Y64" i="2"/>
  <c r="AD32" i="2"/>
  <c r="AC21" i="2"/>
  <c r="Z21" i="2"/>
  <c r="X4" i="2"/>
  <c r="AD57" i="2"/>
  <c r="AC28" i="2"/>
  <c r="AD28" i="2" s="1"/>
  <c r="Z28" i="2"/>
  <c r="AD66" i="2"/>
  <c r="AC36" i="2"/>
  <c r="AD36" i="2" s="1"/>
  <c r="Z36" i="2"/>
  <c r="Z53" i="2"/>
  <c r="AA53" i="2"/>
  <c r="AC53" i="2"/>
  <c r="Y53" i="2"/>
  <c r="X53" i="2"/>
  <c r="U64" i="1"/>
  <c r="V62" i="1"/>
  <c r="U62" i="1"/>
  <c r="W64" i="1"/>
  <c r="V64" i="1"/>
  <c r="X62" i="1"/>
  <c r="AA21" i="1"/>
  <c r="X54" i="1"/>
  <c r="AA61" i="1"/>
  <c r="X17" i="1"/>
  <c r="V6" i="1"/>
  <c r="X80" i="1"/>
  <c r="Z54" i="1"/>
  <c r="V14" i="1"/>
  <c r="W6" i="1"/>
  <c r="AA45" i="1"/>
  <c r="AA33" i="1"/>
  <c r="Z62" i="1"/>
  <c r="X6" i="1"/>
  <c r="AA6" i="1" s="1"/>
  <c r="AA31" i="1"/>
  <c r="AA38" i="1"/>
  <c r="AA24" i="1"/>
  <c r="Z65" i="1"/>
  <c r="W65" i="1"/>
  <c r="V43" i="1"/>
  <c r="W43" i="1"/>
  <c r="Z13" i="1"/>
  <c r="W13" i="1"/>
  <c r="U29" i="1"/>
  <c r="W29" i="1"/>
  <c r="Z51" i="1"/>
  <c r="W51" i="1"/>
  <c r="Z14" i="1"/>
  <c r="W14" i="1"/>
  <c r="V54" i="1"/>
  <c r="W54" i="1"/>
  <c r="Z71" i="1"/>
  <c r="AA71" i="1" s="1"/>
  <c r="W71" i="1"/>
  <c r="Z60" i="1"/>
  <c r="W60" i="1"/>
  <c r="V70" i="1"/>
  <c r="W70" i="1"/>
  <c r="Z46" i="1"/>
  <c r="W46" i="1"/>
  <c r="U50" i="1"/>
  <c r="W50" i="1"/>
  <c r="U52" i="1"/>
  <c r="W52" i="1"/>
  <c r="X41" i="1"/>
  <c r="W41" i="1"/>
  <c r="Z68" i="1"/>
  <c r="W68" i="1"/>
  <c r="V41" i="1"/>
  <c r="X68" i="1"/>
  <c r="Z41" i="1"/>
  <c r="Z19" i="1"/>
  <c r="W19" i="1"/>
  <c r="X3" i="1"/>
  <c r="W3" i="1"/>
  <c r="Z4" i="1"/>
  <c r="W4" i="1"/>
  <c r="U41" i="1"/>
  <c r="Z76" i="1"/>
  <c r="AA76" i="1" s="1"/>
  <c r="W76" i="1"/>
  <c r="AA12" i="1"/>
  <c r="Z75" i="1"/>
  <c r="W75" i="1"/>
  <c r="X2" i="1"/>
  <c r="W2" i="1"/>
  <c r="Z17" i="1"/>
  <c r="W17" i="1"/>
  <c r="Z28" i="1"/>
  <c r="W28" i="1"/>
  <c r="Z39" i="1"/>
  <c r="W39" i="1"/>
  <c r="U89" i="1"/>
  <c r="W89" i="1"/>
  <c r="V52" i="1"/>
  <c r="V68" i="1"/>
  <c r="X70" i="1"/>
  <c r="AA9" i="1"/>
  <c r="AA75" i="1"/>
  <c r="AA20" i="1"/>
  <c r="AA34" i="1"/>
  <c r="Z63" i="1"/>
  <c r="W63" i="1"/>
  <c r="Z57" i="1"/>
  <c r="W57" i="1"/>
  <c r="Z69" i="1"/>
  <c r="W69" i="1"/>
  <c r="X47" i="1"/>
  <c r="W47" i="1"/>
  <c r="Z26" i="1"/>
  <c r="AA26" i="1" s="1"/>
  <c r="W26" i="1"/>
  <c r="V2" i="1"/>
  <c r="AD4" i="3"/>
  <c r="AD49" i="3"/>
  <c r="AA37" i="3"/>
  <c r="AD37" i="3" s="1"/>
  <c r="AD26" i="3"/>
  <c r="AD38" i="3"/>
  <c r="AC24" i="3"/>
  <c r="Z24" i="3"/>
  <c r="X24" i="3"/>
  <c r="AA24" i="3"/>
  <c r="Z37" i="3"/>
  <c r="AD8" i="3"/>
  <c r="AC6" i="3"/>
  <c r="AA6" i="3"/>
  <c r="X6" i="3"/>
  <c r="Z6" i="3"/>
  <c r="AC14" i="3"/>
  <c r="X14" i="3"/>
  <c r="AA14" i="3"/>
  <c r="Z14" i="3"/>
  <c r="Z52" i="1"/>
  <c r="Z89" i="1"/>
  <c r="AA89" i="1" s="1"/>
  <c r="V39" i="1"/>
  <c r="Z43" i="1"/>
  <c r="X52" i="1"/>
  <c r="AA52" i="1" s="1"/>
  <c r="X43" i="1"/>
  <c r="V50" i="1"/>
  <c r="X39" i="1"/>
  <c r="U51" i="1"/>
  <c r="V89" i="1"/>
  <c r="X51" i="1"/>
  <c r="Z3" i="1"/>
  <c r="U43" i="1"/>
  <c r="Z50" i="1"/>
  <c r="X4" i="1"/>
  <c r="U4" i="1"/>
  <c r="U39" i="1"/>
  <c r="X46" i="1"/>
  <c r="U46" i="1"/>
  <c r="U75" i="1"/>
  <c r="X50" i="1"/>
  <c r="V19" i="1"/>
  <c r="X28" i="1"/>
  <c r="V46" i="1"/>
  <c r="V75" i="1"/>
  <c r="AP6" i="6"/>
  <c r="AP11" i="6"/>
  <c r="AP17" i="6"/>
  <c r="AO54" i="4"/>
  <c r="AM54" i="4"/>
  <c r="AP54" i="4" s="1"/>
  <c r="AJ54" i="4"/>
  <c r="AP56" i="4"/>
  <c r="AN59" i="4"/>
  <c r="AJ59" i="4"/>
  <c r="AM59" i="4"/>
  <c r="AK59" i="4"/>
  <c r="AN7" i="4"/>
  <c r="AJ7" i="4"/>
  <c r="AK7" i="4"/>
  <c r="AM7" i="4"/>
  <c r="U70" i="1"/>
  <c r="AD27" i="3"/>
  <c r="AA59" i="3"/>
  <c r="X27" i="2"/>
  <c r="AD9" i="2"/>
  <c r="AN13" i="4"/>
  <c r="AJ13" i="4"/>
  <c r="AM13" i="4"/>
  <c r="AK13" i="4"/>
  <c r="AC7" i="3"/>
  <c r="Z7" i="3"/>
  <c r="AA7" i="3"/>
  <c r="X7" i="3"/>
  <c r="X44" i="2"/>
  <c r="AC44" i="2"/>
  <c r="Y44" i="2"/>
  <c r="AA44" i="2"/>
  <c r="AC11" i="3"/>
  <c r="Z11" i="3"/>
  <c r="AA11" i="3"/>
  <c r="X11" i="3"/>
  <c r="AM25" i="4"/>
  <c r="AK25" i="4"/>
  <c r="AN25" i="4"/>
  <c r="AJ25" i="4"/>
  <c r="Y29" i="2"/>
  <c r="Z52" i="3"/>
  <c r="AA8" i="2"/>
  <c r="AC8" i="2"/>
  <c r="Y8" i="2"/>
  <c r="X8" i="2"/>
  <c r="AC52" i="2"/>
  <c r="X52" i="2"/>
  <c r="Y52" i="2"/>
  <c r="AA52" i="2"/>
  <c r="Y27" i="2"/>
  <c r="AC2" i="2"/>
  <c r="Y2" i="2"/>
  <c r="AA2" i="2"/>
  <c r="X2" i="2"/>
  <c r="AC3" i="3"/>
  <c r="Z3" i="3"/>
  <c r="AA3" i="3"/>
  <c r="X3" i="3"/>
  <c r="AD20" i="3"/>
  <c r="AC23" i="2"/>
  <c r="AA23" i="2"/>
  <c r="Y23" i="2"/>
  <c r="X23" i="2"/>
  <c r="AC20" i="2"/>
  <c r="X20" i="2"/>
  <c r="Y20" i="2"/>
  <c r="AA20" i="2"/>
  <c r="X29" i="2"/>
  <c r="X41" i="2"/>
  <c r="Y41" i="2"/>
  <c r="AA41" i="2"/>
  <c r="AC41" i="2"/>
  <c r="X52" i="3"/>
  <c r="AC67" i="3"/>
  <c r="Z67" i="3"/>
  <c r="AA67" i="3"/>
  <c r="X67" i="3"/>
  <c r="Z70" i="1"/>
  <c r="V63" i="1"/>
  <c r="V76" i="1"/>
  <c r="V4" i="1"/>
  <c r="AD47" i="3"/>
  <c r="AP8" i="4"/>
  <c r="X21" i="2"/>
  <c r="AA59" i="2"/>
  <c r="Y59" i="2"/>
  <c r="AC59" i="2"/>
  <c r="X59" i="2"/>
  <c r="AC33" i="3"/>
  <c r="X33" i="3"/>
  <c r="Z33" i="3"/>
  <c r="AA33" i="3"/>
  <c r="AP35" i="4"/>
  <c r="AC55" i="3"/>
  <c r="X55" i="3"/>
  <c r="AA55" i="3"/>
  <c r="Z55" i="3"/>
  <c r="AC21" i="3"/>
  <c r="Z21" i="3"/>
  <c r="AA21" i="3"/>
  <c r="X21" i="3"/>
  <c r="X69" i="2"/>
  <c r="H69" i="2"/>
  <c r="Y69" i="2"/>
  <c r="X6" i="2"/>
  <c r="Y6" i="2"/>
  <c r="AA6" i="2"/>
  <c r="AC6" i="2"/>
  <c r="AA52" i="3"/>
  <c r="AD52" i="3" s="1"/>
  <c r="AC43" i="3"/>
  <c r="AA43" i="3"/>
  <c r="X43" i="3"/>
  <c r="Z43" i="3"/>
  <c r="AD34" i="3"/>
  <c r="AA36" i="1"/>
  <c r="U76" i="1"/>
  <c r="U19" i="1"/>
  <c r="AD31" i="3"/>
  <c r="AD34" i="2"/>
  <c r="AA27" i="2"/>
  <c r="AD27" i="2" s="1"/>
  <c r="AD61" i="2"/>
  <c r="AP34" i="4"/>
  <c r="AN9" i="4"/>
  <c r="AM9" i="4"/>
  <c r="AJ9" i="4"/>
  <c r="AK9" i="4"/>
  <c r="X15" i="2"/>
  <c r="AC15" i="2"/>
  <c r="Y15" i="2"/>
  <c r="AA15" i="2"/>
  <c r="AM6" i="4"/>
  <c r="AK6" i="4"/>
  <c r="AJ6" i="4"/>
  <c r="AN6" i="4"/>
  <c r="AC46" i="2"/>
  <c r="Y46" i="2"/>
  <c r="AA46" i="2"/>
  <c r="X46" i="2"/>
  <c r="AJ3" i="4"/>
  <c r="AM3" i="4"/>
  <c r="AP3" i="4" s="1"/>
  <c r="AO3" i="4"/>
  <c r="AK3" i="4"/>
  <c r="AP8" i="6"/>
  <c r="AC15" i="3"/>
  <c r="AA15" i="3"/>
  <c r="X15" i="3"/>
  <c r="Z15" i="3"/>
  <c r="AA29" i="2"/>
  <c r="AD29" i="2" s="1"/>
  <c r="AC7" i="2"/>
  <c r="Y7" i="2"/>
  <c r="X7" i="2"/>
  <c r="AA7" i="2"/>
  <c r="Y43" i="2"/>
  <c r="X43" i="2"/>
  <c r="AC43" i="2"/>
  <c r="AA43" i="2"/>
  <c r="AC9" i="3"/>
  <c r="X9" i="3"/>
  <c r="AA9" i="3"/>
  <c r="Z9" i="3"/>
  <c r="AC58" i="2"/>
  <c r="Y58" i="2"/>
  <c r="AA58" i="2"/>
  <c r="X58" i="2"/>
  <c r="AC19" i="3"/>
  <c r="Z19" i="3"/>
  <c r="AA19" i="3"/>
  <c r="X19" i="3"/>
  <c r="AD5" i="2"/>
  <c r="Y11" i="2"/>
  <c r="AC5" i="3"/>
  <c r="Z5" i="3"/>
  <c r="X5" i="3"/>
  <c r="AA5" i="3"/>
  <c r="AP36" i="4"/>
  <c r="Z59" i="3"/>
  <c r="AO48" i="4"/>
  <c r="AM48" i="4"/>
  <c r="AP48" i="4" s="1"/>
  <c r="AK48" i="4"/>
  <c r="AJ48" i="4"/>
  <c r="AA11" i="2"/>
  <c r="AD11" i="2" s="1"/>
  <c r="H73" i="2"/>
  <c r="Y73" i="2"/>
  <c r="X73" i="2"/>
  <c r="AM46" i="4"/>
  <c r="AP46" i="4" s="1"/>
  <c r="V29" i="1"/>
  <c r="AD62" i="2"/>
  <c r="AD56" i="3"/>
  <c r="AK46" i="4"/>
  <c r="AC29" i="3"/>
  <c r="Z29" i="3"/>
  <c r="AA29" i="3"/>
  <c r="X29" i="3"/>
  <c r="AA30" i="1"/>
  <c r="AJ32" i="4"/>
  <c r="AK32" i="4"/>
  <c r="AN32" i="4"/>
  <c r="AM32" i="4"/>
  <c r="AJ24" i="4"/>
  <c r="AO24" i="4"/>
  <c r="AM24" i="4"/>
  <c r="AP24" i="4" s="1"/>
  <c r="AK24" i="4"/>
  <c r="AA54" i="3"/>
  <c r="AC28" i="3"/>
  <c r="AA28" i="3"/>
  <c r="X28" i="3"/>
  <c r="Z28" i="3"/>
  <c r="AJ46" i="4"/>
  <c r="AC46" i="3"/>
  <c r="Z46" i="3"/>
  <c r="X46" i="3"/>
  <c r="AA46" i="3"/>
  <c r="AC50" i="3"/>
  <c r="X50" i="3"/>
  <c r="AA50" i="3"/>
  <c r="Z50" i="3"/>
  <c r="AA42" i="2"/>
  <c r="X54" i="3"/>
  <c r="Y4" i="2"/>
  <c r="Y21" i="2"/>
  <c r="AD32" i="3"/>
  <c r="AD16" i="3"/>
  <c r="AM45" i="4"/>
  <c r="AK45" i="4"/>
  <c r="AN45" i="4"/>
  <c r="AJ45" i="4"/>
  <c r="AC36" i="3"/>
  <c r="AA36" i="3"/>
  <c r="X36" i="3"/>
  <c r="Z36" i="3"/>
  <c r="AN47" i="4"/>
  <c r="AJ47" i="4"/>
  <c r="AK47" i="4"/>
  <c r="AM47" i="4"/>
  <c r="AC23" i="3"/>
  <c r="Z23" i="3"/>
  <c r="AA23" i="3"/>
  <c r="X23" i="3"/>
  <c r="Y42" i="2"/>
  <c r="Z54" i="3"/>
  <c r="AA4" i="2"/>
  <c r="AP19" i="4"/>
  <c r="AD50" i="2"/>
  <c r="AN2" i="4"/>
  <c r="AM2" i="4"/>
  <c r="AJ2" i="4"/>
  <c r="AK2" i="4"/>
  <c r="AA21" i="2"/>
  <c r="AD21" i="2" s="1"/>
  <c r="X11" i="2"/>
  <c r="V60" i="1"/>
  <c r="U28" i="1"/>
  <c r="U60" i="1"/>
  <c r="U65" i="1"/>
  <c r="V28" i="1"/>
  <c r="Z29" i="1"/>
  <c r="X65" i="1"/>
  <c r="X60" i="1"/>
  <c r="AA78" i="1"/>
  <c r="X19" i="1"/>
  <c r="V13" i="1"/>
  <c r="U13" i="1"/>
  <c r="V65" i="1"/>
  <c r="X13" i="1"/>
  <c r="Z5" i="1"/>
  <c r="V5" i="1"/>
  <c r="X5" i="1"/>
  <c r="U5" i="1"/>
  <c r="X29" i="1"/>
  <c r="U79" i="1"/>
  <c r="Z79" i="1"/>
  <c r="V79" i="1"/>
  <c r="X79" i="1"/>
  <c r="Z48" i="1"/>
  <c r="U48" i="1"/>
  <c r="V48" i="1"/>
  <c r="X48" i="1"/>
  <c r="AA66" i="1"/>
  <c r="Z11" i="1"/>
  <c r="X11" i="1"/>
  <c r="V11" i="1"/>
  <c r="U11" i="1"/>
  <c r="Z37" i="1"/>
  <c r="V37" i="1"/>
  <c r="U37" i="1"/>
  <c r="X37" i="1"/>
  <c r="Z16" i="1"/>
  <c r="V16" i="1"/>
  <c r="U16" i="1"/>
  <c r="X16" i="1"/>
  <c r="AD10" i="3" l="1"/>
  <c r="AD36" i="3"/>
  <c r="AA14" i="1"/>
  <c r="AD28" i="3"/>
  <c r="AD64" i="3"/>
  <c r="AD48" i="2"/>
  <c r="AA63" i="1"/>
  <c r="AA57" i="1"/>
  <c r="AA35" i="1"/>
  <c r="AA56" i="1"/>
  <c r="AA13" i="1"/>
  <c r="AA72" i="1"/>
  <c r="AA88" i="1"/>
  <c r="AA44" i="1"/>
  <c r="AA62" i="1"/>
  <c r="AA47" i="1"/>
  <c r="AA80" i="1"/>
  <c r="AA22" i="1"/>
  <c r="AA65" i="1"/>
  <c r="AA2" i="1"/>
  <c r="AA58" i="1"/>
  <c r="AA50" i="1"/>
  <c r="AA3" i="1"/>
  <c r="AA69" i="1"/>
  <c r="AP7" i="4"/>
  <c r="AP59" i="4"/>
  <c r="AP45" i="4"/>
  <c r="AP25" i="4"/>
  <c r="AD54" i="3"/>
  <c r="AD5" i="3"/>
  <c r="AD46" i="3"/>
  <c r="AD3" i="3"/>
  <c r="AD59" i="3"/>
  <c r="AD14" i="3"/>
  <c r="AD50" i="3"/>
  <c r="AD29" i="3"/>
  <c r="AD6" i="3"/>
  <c r="AD24" i="3"/>
  <c r="AD42" i="2"/>
  <c r="AD59" i="2"/>
  <c r="AD35" i="2"/>
  <c r="AD18" i="2"/>
  <c r="AD22" i="2"/>
  <c r="AD23" i="2"/>
  <c r="AD53" i="2"/>
  <c r="AD14" i="2"/>
  <c r="AD7" i="2"/>
  <c r="AD58" i="2"/>
  <c r="AD41" i="2"/>
  <c r="AD20" i="2"/>
  <c r="AD4" i="2"/>
  <c r="AD15" i="2"/>
  <c r="AD2" i="2"/>
  <c r="AD52" i="2"/>
  <c r="AA70" i="1"/>
  <c r="AA19" i="1"/>
  <c r="AA54" i="1"/>
  <c r="AA17" i="1"/>
  <c r="AA68" i="1"/>
  <c r="AA43" i="1"/>
  <c r="AA28" i="1"/>
  <c r="AA51" i="1"/>
  <c r="AA60" i="1"/>
  <c r="AA46" i="1"/>
  <c r="AA39" i="1"/>
  <c r="AA4" i="1"/>
  <c r="AA29" i="1"/>
  <c r="AA41" i="1"/>
  <c r="AD9" i="3"/>
  <c r="AP2" i="4"/>
  <c r="AP6" i="4"/>
  <c r="AP47" i="4"/>
  <c r="AD15" i="3"/>
  <c r="AD46" i="2"/>
  <c r="AD6" i="2"/>
  <c r="AD21" i="3"/>
  <c r="AD55" i="3"/>
  <c r="AD33" i="3"/>
  <c r="AD8" i="2"/>
  <c r="AD44" i="2"/>
  <c r="AD19" i="3"/>
  <c r="AD43" i="2"/>
  <c r="AP9" i="4"/>
  <c r="AD43" i="3"/>
  <c r="AD67" i="3"/>
  <c r="AD11" i="3"/>
  <c r="AD7" i="3"/>
  <c r="AP13" i="4"/>
  <c r="AA79" i="1"/>
  <c r="AD23" i="3"/>
  <c r="AP32" i="4"/>
  <c r="AA48" i="1"/>
  <c r="AA11" i="1"/>
  <c r="AA5" i="1"/>
  <c r="AA16" i="1"/>
  <c r="AA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duffy</author>
  </authors>
  <commentList>
    <comment ref="B19" authorId="0" shapeId="0" xr:uid="{86546A00-C5E3-447D-94B8-3AE208FEC89E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Checked against original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Duffy</author>
    <author>duffy</author>
  </authors>
  <commentList>
    <comment ref="A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Should it be Aleksandrov 63 (EM92) or 64 (Isaak)?</t>
        </r>
      </text>
    </comment>
    <comment ref="A10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Originally identified as Diallage.  This is an obsolete name for diopside or other px that has been altered</t>
        </r>
      </text>
    </comment>
    <comment ref="A1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agree with EM92</t>
        </r>
      </text>
    </comment>
    <comment ref="A1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exactly the same at EM92</t>
        </r>
      </text>
    </comment>
    <comment ref="B3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One measrement missing from Rhyzova 65 - orthoclase?</t>
        </r>
      </text>
    </comment>
  </commentList>
</comments>
</file>

<file path=xl/sharedStrings.xml><?xml version="1.0" encoding="utf-8"?>
<sst xmlns="http://schemas.openxmlformats.org/spreadsheetml/2006/main" count="5142" uniqueCount="1806">
  <si>
    <t>single-crystal derivatives not tabulated</t>
    <phoneticPr fontId="2" type="noConversion"/>
  </si>
  <si>
    <t>Isaak(YW89)</t>
  </si>
  <si>
    <t>Isaak(WI85)</t>
  </si>
  <si>
    <t>Sanchez-Valle 11</t>
  </si>
  <si>
    <t>4(Mg,Fe)2SiO4 Mg(OH,F)2</t>
    <phoneticPr fontId="2" type="noConversion"/>
  </si>
  <si>
    <t>Isaak(Hearmon84)(B95)</t>
    <phoneticPr fontId="2" type="noConversion"/>
  </si>
  <si>
    <t>Isaak (Hearmon79)(B95)</t>
    <phoneticPr fontId="2" type="noConversion"/>
  </si>
  <si>
    <t>tourmaline</t>
    <phoneticPr fontId="2" type="noConversion"/>
  </si>
  <si>
    <t>Isaak(McSkimin65)</t>
    <phoneticPr fontId="2" type="noConversion"/>
  </si>
  <si>
    <t>Isaak (PW98)</t>
  </si>
  <si>
    <t>Isaak(GR76)</t>
  </si>
  <si>
    <t>Isaak(F74)</t>
  </si>
  <si>
    <t>Isaak(M69)</t>
  </si>
  <si>
    <t>Isaak (H84;B95)</t>
    <phoneticPr fontId="2" type="noConversion"/>
  </si>
  <si>
    <t>Isaak (B70;B95)</t>
    <phoneticPr fontId="2" type="noConversion"/>
  </si>
  <si>
    <t>C</t>
    <phoneticPr fontId="2" type="noConversion"/>
  </si>
  <si>
    <t>Pandey and Schreuer quote different values for these - check!</t>
  </si>
  <si>
    <t xml:space="preserve">Piezoelectric </t>
  </si>
  <si>
    <t>Mg2GeO4</t>
  </si>
  <si>
    <t>Ni2SiO4</t>
  </si>
  <si>
    <t>Isaak(C70)</t>
  </si>
  <si>
    <t>Hydroxyapatite</t>
    <phoneticPr fontId="2" type="noConversion"/>
  </si>
  <si>
    <t>Flourapatite</t>
    <phoneticPr fontId="2" type="noConversion"/>
  </si>
  <si>
    <t>C</t>
  </si>
  <si>
    <t>ZrSiO4_(nonmetamict_zircon)</t>
    <phoneticPr fontId="2" type="noConversion"/>
  </si>
  <si>
    <t>C</t>
    <phoneticPr fontId="2" type="noConversion"/>
  </si>
  <si>
    <t>C</t>
    <phoneticPr fontId="2" type="noConversion"/>
  </si>
  <si>
    <t>SiO2_stishovite</t>
    <phoneticPr fontId="2" type="noConversion"/>
  </si>
  <si>
    <t>Isaak(Hearmon79)(B95)</t>
    <phoneticPr fontId="2" type="noConversion"/>
  </si>
  <si>
    <t>Isaak (Kalinichev97)</t>
    <phoneticPr fontId="2" type="noConversion"/>
  </si>
  <si>
    <t>Isaak (EM92)</t>
    <phoneticPr fontId="2" type="noConversion"/>
  </si>
  <si>
    <t>Na3Kal4Si4O16</t>
    <phoneticPr fontId="2" type="noConversion"/>
  </si>
  <si>
    <t>Nepheline</t>
    <phoneticPr fontId="2" type="noConversion"/>
  </si>
  <si>
    <t>Isaak (BB75)</t>
    <phoneticPr fontId="2" type="noConversion"/>
  </si>
  <si>
    <t>Isaak(O90)</t>
  </si>
  <si>
    <t>triclinic quasi-monoclinic</t>
    <phoneticPr fontId="2" type="noConversion"/>
  </si>
  <si>
    <t>or79ab19an2</t>
    <phoneticPr fontId="2" type="noConversion"/>
  </si>
  <si>
    <t>triclinic quasi-monoclinic symmetry</t>
    <phoneticPr fontId="2" type="noConversion"/>
  </si>
  <si>
    <t>or75ab22</t>
    <phoneticPr fontId="2" type="noConversion"/>
  </si>
  <si>
    <t>Isaak (E87)</t>
  </si>
  <si>
    <t>Isaak(EM92)</t>
  </si>
  <si>
    <t>Isaak(K68)</t>
  </si>
  <si>
    <t>constant electric displacement</t>
    <phoneticPr fontId="2" type="noConversion"/>
  </si>
  <si>
    <t>minor amts of Ni</t>
    <phoneticPr fontId="2" type="noConversion"/>
  </si>
  <si>
    <t>minor Ca, Ni Mn</t>
    <phoneticPr fontId="2" type="noConversion"/>
  </si>
  <si>
    <t>or67ab29</t>
    <phoneticPr fontId="2" type="noConversion"/>
  </si>
  <si>
    <t>or54ab35an9</t>
    <phoneticPr fontId="2" type="noConversion"/>
  </si>
  <si>
    <t>or65ab27an4</t>
    <phoneticPr fontId="2" type="noConversion"/>
  </si>
  <si>
    <t>or74ab19an2</t>
    <phoneticPr fontId="2" type="noConversion"/>
  </si>
  <si>
    <t>ab91an9</t>
    <phoneticPr fontId="2" type="noConversion"/>
  </si>
  <si>
    <t>apparently mislabeled in every EM</t>
    <phoneticPr fontId="2" type="noConversion"/>
  </si>
  <si>
    <t>ab76an24</t>
    <phoneticPr fontId="2" type="noConversion"/>
  </si>
  <si>
    <t>ab71an29</t>
    <phoneticPr fontId="2" type="noConversion"/>
  </si>
  <si>
    <t>ab47an53</t>
    <phoneticPr fontId="2" type="noConversion"/>
  </si>
  <si>
    <t>Minor Mn</t>
    <phoneticPr fontId="2" type="noConversion"/>
  </si>
  <si>
    <t>an(50-70%)-ab(30-50%))</t>
    <phoneticPr fontId="2" type="noConversion"/>
  </si>
  <si>
    <t>Isaak (W82)</t>
    <phoneticPr fontId="2" type="noConversion"/>
  </si>
  <si>
    <t>90 GPa, 0 K</t>
  </si>
  <si>
    <t>120 GPa, 0 K</t>
  </si>
  <si>
    <t>135 GPa, 4000 K</t>
  </si>
  <si>
    <t>Diopside</t>
  </si>
  <si>
    <t>Glaucophane</t>
  </si>
  <si>
    <t>Antigorite</t>
  </si>
  <si>
    <t>constant electric field</t>
    <phoneticPr fontId="2" type="noConversion"/>
  </si>
  <si>
    <t>set B</t>
    <phoneticPr fontId="2" type="noConversion"/>
  </si>
  <si>
    <t>Isaak (L93)</t>
    <phoneticPr fontId="2" type="noConversion"/>
  </si>
  <si>
    <t>Isaak (O78)</t>
  </si>
  <si>
    <t>Isaak(AB76)</t>
  </si>
  <si>
    <t>Isaak(GB68)</t>
  </si>
  <si>
    <t>Ti2O3</t>
  </si>
  <si>
    <t>Isaak (R78)</t>
  </si>
  <si>
    <t>Isaak(EP81)</t>
  </si>
  <si>
    <t>Isaak(CB76)</t>
  </si>
  <si>
    <t>Isaak(J76)</t>
  </si>
  <si>
    <t>Isaak(TO87)</t>
  </si>
  <si>
    <t>Isaak (H84;B95) (K80;B95)</t>
    <phoneticPr fontId="2" type="noConversion"/>
  </si>
  <si>
    <t>constant electric displacement</t>
    <phoneticPr fontId="2" type="noConversion"/>
  </si>
  <si>
    <t>Biotite</t>
    <phoneticPr fontId="2" type="noConversion"/>
  </si>
  <si>
    <t>Cancrinite</t>
  </si>
  <si>
    <t>Bass 95</t>
  </si>
  <si>
    <t>Speziale et al 08</t>
  </si>
  <si>
    <t>phase_A</t>
  </si>
  <si>
    <t>Vaughan and Guggenheim 86</t>
  </si>
  <si>
    <t>Calcite</t>
  </si>
  <si>
    <t>Rhodochrosite</t>
  </si>
  <si>
    <t>Chen et al 01</t>
  </si>
  <si>
    <t>Chen eta l 01</t>
  </si>
  <si>
    <t>Dandekar 68a</t>
  </si>
  <si>
    <t>Danderkar 68b</t>
  </si>
  <si>
    <t>Vo Thanh and Lacam 84</t>
  </si>
  <si>
    <t>stishovite_1bar</t>
  </si>
  <si>
    <t>stishovite_08gpa</t>
  </si>
  <si>
    <t>stistovite_1_6gpa</t>
  </si>
  <si>
    <t>C</t>
    <phoneticPr fontId="2" type="noConversion"/>
  </si>
  <si>
    <t>ab44an53</t>
    <phoneticPr fontId="2" type="noConversion"/>
  </si>
  <si>
    <t>Isaak (CB73)</t>
    <phoneticPr fontId="2" type="noConversion"/>
  </si>
  <si>
    <t>Isaak (US72)</t>
    <phoneticPr fontId="2" type="noConversion"/>
  </si>
  <si>
    <t>set A</t>
    <phoneticPr fontId="2" type="noConversion"/>
  </si>
  <si>
    <t>Isaak (H79;B95)</t>
    <phoneticPr fontId="2" type="noConversion"/>
  </si>
  <si>
    <t>Isaak(O95)</t>
  </si>
  <si>
    <t>115/5</t>
    <phoneticPr fontId="2" type="noConversion"/>
  </si>
  <si>
    <t>stishovite_3gpa</t>
  </si>
  <si>
    <t>stishovite4_7_gpa</t>
  </si>
  <si>
    <t>stishovite_6_4gpa</t>
  </si>
  <si>
    <t>stishovite_8_gpa</t>
  </si>
  <si>
    <t>stishovite_9_4_gpa</t>
  </si>
  <si>
    <t>stishovite_10_8_gpa</t>
  </si>
  <si>
    <t>stishovite_12_gpa</t>
  </si>
  <si>
    <t>Jiang 09</t>
  </si>
  <si>
    <t>stish_karki_0</t>
  </si>
  <si>
    <t>stish_karki_20</t>
  </si>
  <si>
    <t>stish_karki_40</t>
  </si>
  <si>
    <t>stish_karki_50</t>
  </si>
  <si>
    <t>karki 97</t>
  </si>
  <si>
    <t>ZrSiO4_zircon_metamict</t>
  </si>
  <si>
    <t>zircon_dutta_0gpa</t>
  </si>
  <si>
    <t>zircon_dutta_24gpa</t>
  </si>
  <si>
    <t>Dutta, cms, 12 -- DFT</t>
  </si>
  <si>
    <t>DFT</t>
  </si>
  <si>
    <t>AK</t>
  </si>
  <si>
    <t>AG</t>
  </si>
  <si>
    <t>K</t>
  </si>
  <si>
    <t>G</t>
  </si>
  <si>
    <t>Lakhstanov PCM 2007</t>
  </si>
  <si>
    <t xml:space="preserve">C </t>
  </si>
  <si>
    <t>Mgf2 zhang 0</t>
  </si>
  <si>
    <t>mgf2 zhang 2.5</t>
  </si>
  <si>
    <t>mgf2 zhang 5</t>
  </si>
  <si>
    <t>mgf2 zhang 7.5</t>
  </si>
  <si>
    <t>mgf2 zhang 10</t>
  </si>
  <si>
    <t>Notes</t>
  </si>
  <si>
    <t>Reference</t>
  </si>
  <si>
    <t>nu_min</t>
  </si>
  <si>
    <t>nu_max</t>
  </si>
  <si>
    <t>KV</t>
  </si>
  <si>
    <t>KR</t>
  </si>
  <si>
    <t>GV</t>
  </si>
  <si>
    <t>GR</t>
  </si>
  <si>
    <t>c2</t>
  </si>
  <si>
    <t>C66</t>
  </si>
  <si>
    <t>d2</t>
  </si>
  <si>
    <t>Indium</t>
  </si>
  <si>
    <t>Watt 1980 - test case</t>
  </si>
  <si>
    <t>SrMoO4</t>
  </si>
  <si>
    <t>Delta</t>
  </si>
  <si>
    <t>calc VR bounds in VW78 wrong?</t>
  </si>
  <si>
    <t>AU</t>
  </si>
  <si>
    <t>a</t>
  </si>
  <si>
    <t>b</t>
  </si>
  <si>
    <t>c</t>
  </si>
  <si>
    <t>d</t>
  </si>
  <si>
    <t>e</t>
  </si>
  <si>
    <t>f</t>
  </si>
  <si>
    <t>g</t>
  </si>
  <si>
    <t>omega</t>
  </si>
  <si>
    <t>KVRH</t>
  </si>
  <si>
    <t>Test for Voigt Reuss:</t>
  </si>
  <si>
    <t>GVRH</t>
  </si>
  <si>
    <t>error in K,G comes from Bass</t>
  </si>
  <si>
    <t>Hydroxyapatite</t>
  </si>
  <si>
    <t>Fluorapatite</t>
  </si>
  <si>
    <t>h</t>
  </si>
  <si>
    <t>k</t>
  </si>
  <si>
    <t>l</t>
  </si>
  <si>
    <t>Jiang</t>
  </si>
  <si>
    <t>Majzlan et al,PCM, 06</t>
  </si>
  <si>
    <t>VP</t>
  </si>
  <si>
    <t>VB</t>
  </si>
  <si>
    <t>VS</t>
  </si>
  <si>
    <t>VP/VS</t>
  </si>
  <si>
    <t>Bass/Isaak(EM92)</t>
  </si>
  <si>
    <t>Bass/Isaak(Hearmon79)(B95)</t>
  </si>
  <si>
    <t>Bass/Isaak(O79)_</t>
  </si>
  <si>
    <t>CaFeSi2O6</t>
  </si>
  <si>
    <t>Hedenbergite</t>
  </si>
  <si>
    <t>Kandelin and Weidner 88</t>
  </si>
  <si>
    <t>Collins and Brown 98</t>
  </si>
  <si>
    <t>Levien et al 79</t>
  </si>
  <si>
    <t>Aleksandrov et al 64</t>
  </si>
  <si>
    <t>Chemical composition not given</t>
  </si>
  <si>
    <t>CaMgSi2O6</t>
  </si>
  <si>
    <t>Chemical comp. not provided; nominally (Ca,Na,Mg,Fe+2,Mn,Fe+3,Al,Ti)2(Si,Al)2O6</t>
  </si>
  <si>
    <t>Nearly pure endmember</t>
  </si>
  <si>
    <t>LiAlSi2O6</t>
  </si>
  <si>
    <t>Augite</t>
  </si>
  <si>
    <t>Spodumene</t>
  </si>
  <si>
    <t>NaFeSi2O6</t>
  </si>
  <si>
    <t>I01</t>
  </si>
  <si>
    <t>I01/EM92/B95</t>
  </si>
  <si>
    <t>Zaslavskii et al 74</t>
  </si>
  <si>
    <t>Chemical comp. not provided</t>
  </si>
  <si>
    <t>NAlSi2O6</t>
  </si>
  <si>
    <t>Omphacite</t>
  </si>
  <si>
    <t>Jadeite</t>
  </si>
  <si>
    <t>Bhagat et al 92</t>
  </si>
  <si>
    <t>Ts and Ca vacancies</t>
  </si>
  <si>
    <t>Chemical comp. not provided; nominally (Na,Ca)(Fe+3,Fe+2,Mg)Si2O6</t>
  </si>
  <si>
    <t>Isaak and Ohno 06</t>
  </si>
  <si>
    <t>Ur = ureyite NaCrSi2O6  X- other minor components;  Improved meas. over Isaak and Ohno 03</t>
  </si>
  <si>
    <t>Note: ECs are for "standard setting"; alternative setting also given;  Composition: minor Na, Fe, Mn</t>
  </si>
  <si>
    <t>Sondergeld et al 06</t>
  </si>
  <si>
    <t>C2/c</t>
  </si>
  <si>
    <t>C2.c</t>
  </si>
  <si>
    <t>Di-Hd-Aug</t>
  </si>
  <si>
    <t>Sang et al 11</t>
  </si>
  <si>
    <t>di72hd9jd3cr3ts12</t>
  </si>
  <si>
    <t>jd58di30</t>
  </si>
  <si>
    <t>di93hd03ur02x02</t>
  </si>
  <si>
    <t>K/G</t>
  </si>
  <si>
    <t>Hyalophane</t>
  </si>
  <si>
    <t>CaAl2Si2O8</t>
  </si>
  <si>
    <t>Anorthite</t>
  </si>
  <si>
    <t>Labradorite</t>
  </si>
  <si>
    <t>KAlSi3O8</t>
  </si>
  <si>
    <t>Microcline</t>
  </si>
  <si>
    <t>KASi3O8</t>
  </si>
  <si>
    <t>Orthoclase</t>
  </si>
  <si>
    <t>NaAlSi3O8</t>
  </si>
  <si>
    <t>Albite</t>
  </si>
  <si>
    <t>Ca(Al_Fe3)Si3O12(OH)</t>
  </si>
  <si>
    <t>Epidote</t>
  </si>
  <si>
    <t>Hornblende</t>
  </si>
  <si>
    <t>Gypsum</t>
  </si>
  <si>
    <t>CaSO4.2H2O</t>
  </si>
  <si>
    <t>KAl3Si3O10(OH)2</t>
  </si>
  <si>
    <t>Muscovite</t>
  </si>
  <si>
    <t>Chondrodite</t>
  </si>
  <si>
    <t>Clinohumite</t>
  </si>
  <si>
    <t>SiO2</t>
  </si>
  <si>
    <t>Coesite</t>
  </si>
  <si>
    <t>Di-Hd</t>
  </si>
  <si>
    <t>Or-Ab</t>
  </si>
  <si>
    <t>Ab-An</t>
  </si>
  <si>
    <t>Aeg-Aug</t>
  </si>
  <si>
    <t>(Ba,K)Al2Si2O8</t>
  </si>
  <si>
    <t>Pyroxene</t>
  </si>
  <si>
    <t>Feldspar</t>
  </si>
  <si>
    <t>Amphibole</t>
  </si>
  <si>
    <t>Sulfate</t>
  </si>
  <si>
    <t>Phyllosilicate</t>
  </si>
  <si>
    <t>Silica polymorph</t>
  </si>
  <si>
    <t>Group</t>
  </si>
  <si>
    <t>Name</t>
  </si>
  <si>
    <t>(Ca,Na)2-3(Mg,Fe,Al)5(Al,Si)8O22(OH)2</t>
  </si>
  <si>
    <t>I01/B95</t>
  </si>
  <si>
    <t>Mg4.69Fe0.27Ti0.02Mn0.01(SiO4)2F0.63(OH)1.33O0.04</t>
  </si>
  <si>
    <t>Aegirine</t>
  </si>
  <si>
    <t>Aleksandrov, K. S., Ryzhova, T. V., Belikov, B. P. (1963) Kristallografiya 8: 738</t>
  </si>
  <si>
    <t>Aleksandrov, K. S., Alchikov, V. V., Belikov, B. P., Zaslavskii, B. I., Krupnyi, A. I.: Izv. Akad. Nauk SSSR Ser. Geol. No. 10 (1974) 15.</t>
  </si>
  <si>
    <t>Zaslavskii, B. I., Krupnyi, A. I., Aleksandrov, K. S.: Izv. Akad. Nauk SSSR Fiz. Zemli No. 8 (1974) 55.</t>
  </si>
  <si>
    <t>Zaslavskii 74</t>
  </si>
  <si>
    <t>Haussuhl, S. (1965) Z. Kristallogr. 122: 311</t>
  </si>
  <si>
    <t>Haussuhl 65</t>
  </si>
  <si>
    <t>Ryzhova, T. V., Aleksandrov, K. S., Belikov, B. P. (1969) "Elastic properties of rock-forming minerals" Zap. Vses. Mineralog. Obshchestva 98: 41</t>
  </si>
  <si>
    <t>Swol, H., Rohleder, J. W. (1978) Acta Phys. Pol. A53: 339</t>
  </si>
  <si>
    <t>Weidner, D. J., Carleton, H. R. (1977) J. Geophys. Res. 82: 1334</t>
  </si>
  <si>
    <t>Levien, L., Weidner, D. J., Prewitt, C. T. (1979) Phys. Chem. Minerals 4: 105</t>
  </si>
  <si>
    <t>Ryzhova, T. V., Aleksandrov, K. S., Korobkova, V. M.: Izv. Akad. Nauk SSSR Fiz. Zemli No. 2 (1966) 63.</t>
  </si>
  <si>
    <t>Rhyzova 66, Aleksandrov 74</t>
  </si>
  <si>
    <t>Aleksandrov, K. S., Ryzhova, T. V.: Izv. Akad. Nauk SSSR, Ser. Geofiz. No. 2 (1962) 186.</t>
  </si>
  <si>
    <t>Aleksandrov 62</t>
  </si>
  <si>
    <t>Ryzhova, T. V.: Izv. Akad. Nauk SSSR Ser. Geofiz. No. 7 (1964) 1049.</t>
  </si>
  <si>
    <t>Rhyzova 64 Aleksandrov 74</t>
  </si>
  <si>
    <t>Ryzhova, T. V., Aleksandrov, K. S.: Izv. Akad. Nauk SSSR Fiz. Zemli No. 1 (1965) 98.</t>
  </si>
  <si>
    <t>Ryzhova 65, Aleksandrov 74</t>
  </si>
  <si>
    <t>(Ca1.01Mg0.85Fe0.12Mn0.02)SiO4</t>
  </si>
  <si>
    <t>Monticellite</t>
  </si>
  <si>
    <t>(Fe_Mg)2(Al_F3+)O6SiO4(O_OH)2</t>
  </si>
  <si>
    <t>Staurolite</t>
  </si>
  <si>
    <t>(Mg0.84Fe0.16)SiO3</t>
  </si>
  <si>
    <t>Enstatite</t>
  </si>
  <si>
    <t>(Mg0.8Fe0.02)SiO3</t>
  </si>
  <si>
    <t>(Mg0.94Fe0.06)SiO3</t>
  </si>
  <si>
    <t>(Mg1.6Li0.2Sc0.2)Si2O6</t>
  </si>
  <si>
    <t>Protoenstatite</t>
  </si>
  <si>
    <t>(Mg1.78Fe0.22)SiO4</t>
  </si>
  <si>
    <t>(Mg1.80Fe0.20)SiO4</t>
  </si>
  <si>
    <t>(Mg1.81Fe0.19)SiO4</t>
  </si>
  <si>
    <t>(Mg1.83Fe0.17)SiO4</t>
  </si>
  <si>
    <t>(Mg1.84Fe0.16)SiO4</t>
  </si>
  <si>
    <t>(Mg1.85Fe0.15)SiO4</t>
  </si>
  <si>
    <t>Olivine</t>
  </si>
  <si>
    <t>Al2(F,OH)2SiO4</t>
  </si>
  <si>
    <t>Topaz</t>
  </si>
  <si>
    <t>Al2BeO4</t>
  </si>
  <si>
    <t>Chyrsoberyl</t>
  </si>
  <si>
    <t>Al2SiO5</t>
  </si>
  <si>
    <t>Andalusite</t>
  </si>
  <si>
    <t>Sillimanite</t>
  </si>
  <si>
    <t>Ba2SO4</t>
  </si>
  <si>
    <t>b- PbF2</t>
  </si>
  <si>
    <t>Ca2B2Si2O8</t>
  </si>
  <si>
    <t>Danburite</t>
  </si>
  <si>
    <t>Ca2SO4</t>
  </si>
  <si>
    <t>Anhdyrite</t>
  </si>
  <si>
    <t>CaAl2(Si2O7)(OH)2_H20</t>
  </si>
  <si>
    <t>Lawsonite</t>
  </si>
  <si>
    <t>CaBSi4O4OH</t>
  </si>
  <si>
    <t>Datolite</t>
  </si>
  <si>
    <t>CaCO3</t>
  </si>
  <si>
    <t>Aragonite</t>
  </si>
  <si>
    <t>Fe2SiO4</t>
  </si>
  <si>
    <t>Fayalite</t>
  </si>
  <si>
    <t>Ferrosiliate</t>
  </si>
  <si>
    <t>FeSiO3</t>
  </si>
  <si>
    <t>Mg1.84Fe0.16SiO4</t>
  </si>
  <si>
    <t>Wadsleyite</t>
  </si>
  <si>
    <t>Mg10Si3O14(OH)4</t>
  </si>
  <si>
    <t>Superhydrous phase B</t>
  </si>
  <si>
    <t>Mg2SiO4</t>
  </si>
  <si>
    <t>Forsterite</t>
  </si>
  <si>
    <t>MgSiO3</t>
  </si>
  <si>
    <t>Mn2SiO4</t>
  </si>
  <si>
    <t>Tephroite</t>
  </si>
  <si>
    <t>Na0.047(Mg0.840Fe0.158)2(Al3.83Si5.17)O18[0.25H2O,0.31CO2]</t>
  </si>
  <si>
    <t>Natrolite</t>
  </si>
  <si>
    <t>Na2SO4</t>
  </si>
  <si>
    <t>Thenardite</t>
  </si>
  <si>
    <t>NaMgF3</t>
  </si>
  <si>
    <t>ScAlO3</t>
  </si>
  <si>
    <t>SmAlO3</t>
  </si>
  <si>
    <t>SrSO4</t>
  </si>
  <si>
    <t>Zoisite</t>
  </si>
  <si>
    <t>Orthopyroxene</t>
  </si>
  <si>
    <t>Aluminosilicate</t>
  </si>
  <si>
    <t>Carbonate</t>
  </si>
  <si>
    <t>Spinelloid</t>
  </si>
  <si>
    <t>DHMS</t>
  </si>
  <si>
    <t>Perovskite</t>
  </si>
  <si>
    <t>Na2Al2Si3O10.2H2O</t>
  </si>
  <si>
    <t>Zeolite</t>
  </si>
  <si>
    <t>Epidote Group</t>
  </si>
  <si>
    <t>b-PbF2  - Theory, x GPa</t>
  </si>
  <si>
    <t>MgSiO3 PPv  - Theory</t>
  </si>
  <si>
    <t>MgSiO3 PPv -Theory</t>
  </si>
  <si>
    <t>Hndbk</t>
  </si>
  <si>
    <t>Ref</t>
  </si>
  <si>
    <r>
      <t xml:space="preserve">Peercy, M.S., and J.D. Bass, Elasticity of monticellite, </t>
    </r>
    <r>
      <rPr>
        <i/>
        <sz val="12"/>
        <color theme="1"/>
        <rFont val="Times New Roman"/>
        <family val="1"/>
      </rPr>
      <t>Phys. Chem. Minerals, 17</t>
    </r>
    <r>
      <rPr>
        <sz val="12"/>
        <color theme="1"/>
        <rFont val="Times New Roman"/>
        <family val="1"/>
      </rPr>
      <t>, 431-437, 1990</t>
    </r>
  </si>
  <si>
    <r>
      <t>Sumino, Y., The elastic constants of Mn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and the elastic properties of olivine group minerals at high temperature, </t>
    </r>
    <r>
      <rPr>
        <i/>
        <sz val="12"/>
        <color theme="1"/>
        <rFont val="Times New Roman"/>
        <family val="1"/>
      </rPr>
      <t>J. Phys. Earth, 27</t>
    </r>
    <r>
      <rPr>
        <sz val="12"/>
        <color theme="1"/>
        <rFont val="Times New Roman"/>
        <family val="1"/>
      </rPr>
      <t>, 209-238, 1979</t>
    </r>
  </si>
  <si>
    <t>Sumino 79</t>
  </si>
  <si>
    <r>
      <t xml:space="preserve">Isaak, D.G., E.K. Graham, J.D. Bass, and H. Wong, The elastic properties of single-crystal fayalite as determined by dynamical measurement techniques, </t>
    </r>
    <r>
      <rPr>
        <i/>
        <sz val="12"/>
        <color theme="1"/>
        <rFont val="Times New Roman"/>
        <family val="1"/>
      </rPr>
      <t>PAGEOPH, 141</t>
    </r>
    <r>
      <rPr>
        <sz val="12"/>
        <color theme="1"/>
        <rFont val="Times New Roman"/>
        <family val="1"/>
      </rPr>
      <t>, 393-414, 1993</t>
    </r>
  </si>
  <si>
    <r>
      <t>Graham, E.K., J.A. Schwab, S.M. Sopkin, and H. Takei, The pressure and temperature dependence of the elastic properties of single-crystal fayalite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186-198, 1988</t>
    </r>
  </si>
  <si>
    <r>
      <t>Weidner, D.J., and N. Hamaya, Elastic properties of the olivine and spinel polymorphs of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GeO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evaluation of elastic analogues, </t>
    </r>
    <r>
      <rPr>
        <i/>
        <sz val="12"/>
        <color theme="1"/>
        <rFont val="Times New Roman"/>
        <family val="1"/>
      </rPr>
      <t>Phys. Earth Planet. Int., 33</t>
    </r>
    <r>
      <rPr>
        <sz val="12"/>
        <color theme="1"/>
        <rFont val="Times New Roman"/>
        <family val="1"/>
      </rPr>
      <t>, 275-283, 1983</t>
    </r>
  </si>
  <si>
    <r>
      <t xml:space="preserve">Yoneda, A., and M. Morioka, Pressure derivatives of elastic constants of single-crystal forsterite, in </t>
    </r>
    <r>
      <rPr>
        <i/>
        <sz val="12"/>
        <color theme="1"/>
        <rFont val="Times New Roman"/>
        <family val="1"/>
      </rPr>
      <t>High Pressure Research: Applications to Earth and Planetary Sciences</t>
    </r>
    <r>
      <rPr>
        <sz val="12"/>
        <color theme="1"/>
        <rFont val="Times New Roman"/>
        <family val="1"/>
      </rPr>
      <t xml:space="preserve">, vol. 3, edited by Y. Syono and M.H. Manghnani, pp. 207-214, American Geophysical Union, Washington DC, 1992 </t>
    </r>
  </si>
  <si>
    <r>
      <t xml:space="preserve">Isaak, D.G., O.L. Anderson, T. Goto, and I. Suzuki, Elasticity of single-crystal forsterite measured to 1700 K,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5895-5906, 1989b</t>
    </r>
  </si>
  <si>
    <r>
      <t>Suzuki, I., O.L. Anderson, and Y. Sumino, Elastic properties of a single-crystal forsterite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up to 1,200 K,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38-46, 1983</t>
    </r>
  </si>
  <si>
    <r>
      <t>Sumino, Y., O. Nishizawa, T. Goto, I. Ohno, and M. Ozima, Temperature variation of elastic constant of single-crystal forsterite between -190 and 400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C, </t>
    </r>
    <r>
      <rPr>
        <i/>
        <sz val="12"/>
        <color theme="1"/>
        <rFont val="Times New Roman"/>
        <family val="1"/>
      </rPr>
      <t>J. Phys. Earth, 25</t>
    </r>
    <r>
      <rPr>
        <sz val="12"/>
        <color theme="1"/>
        <rFont val="Times New Roman"/>
        <family val="1"/>
      </rPr>
      <t>, 377-392, 1977</t>
    </r>
  </si>
  <si>
    <r>
      <t xml:space="preserve">Graham, E.K., and G.R. Barsch, Elastic constants of single-crystal forsterite as a function of temperature and pressure,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5949-5960, 1969</t>
    </r>
  </si>
  <si>
    <r>
      <t xml:space="preserve">Kumazawa, M., and O.L. Anderson, Elastic moduli, pressure derivatives and temperature derivatives of single-crystal olivine and single-crystal forsterite,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5961-5972, 1969</t>
    </r>
  </si>
  <si>
    <t>Isaak 92</t>
  </si>
  <si>
    <r>
      <t xml:space="preserve">Isaak, D.G., High-temperature elasticity of iron-bearing olivines, </t>
    </r>
    <r>
      <rPr>
        <i/>
        <sz val="12"/>
        <color theme="1"/>
        <rFont val="Times New Roman"/>
        <family val="1"/>
      </rPr>
      <t>J. Geophys. Res., 97</t>
    </r>
    <r>
      <rPr>
        <sz val="12"/>
        <color theme="1"/>
        <rFont val="Times New Roman"/>
        <family val="1"/>
      </rPr>
      <t>, 1871-1885, 1992</t>
    </r>
  </si>
  <si>
    <t>Ohno 76</t>
  </si>
  <si>
    <r>
      <t xml:space="preserve">Ohno, I., Free vibration of a rectangular parallelepiped crystal and its application to determination of elastic constants of orthorhombic crystals, </t>
    </r>
    <r>
      <rPr>
        <i/>
        <sz val="12"/>
        <color theme="1"/>
        <rFont val="Times New Roman"/>
        <family val="1"/>
      </rPr>
      <t>J. Phys. Earth, 24</t>
    </r>
    <r>
      <rPr>
        <sz val="12"/>
        <color theme="1"/>
        <rFont val="Times New Roman"/>
        <family val="1"/>
      </rPr>
      <t>, 355-379, 1976</t>
    </r>
  </si>
  <si>
    <r>
      <t xml:space="preserve">Verma, R.K., Elasticity of some high-density crystals, </t>
    </r>
    <r>
      <rPr>
        <i/>
        <sz val="12"/>
        <color theme="1"/>
        <rFont val="Times New Roman"/>
        <family val="1"/>
      </rPr>
      <t>J. Geophys. Res., 65</t>
    </r>
    <r>
      <rPr>
        <sz val="12"/>
        <color theme="1"/>
        <rFont val="Times New Roman"/>
        <family val="1"/>
      </rPr>
      <t>, 757-766, 1960</t>
    </r>
  </si>
  <si>
    <t>Verma 60</t>
  </si>
  <si>
    <t>Webb 89</t>
  </si>
  <si>
    <r>
      <t xml:space="preserve">Webb, S., The elasticity of the upper mantle orthosilicates olivine and garnet to 3 GPa,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684-692, 1989</t>
    </r>
  </si>
  <si>
    <r>
      <t xml:space="preserve">Abramson, E.H., J.M. Brown, L.J. Slutsky, and J. Zaug, The elastic constants of San Carlos olivine to 17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12253-12263, 1997</t>
    </r>
  </si>
  <si>
    <r>
      <t xml:space="preserve">Brown, J.M., L.J. Slutsky, K.A. Nelson, and L.T. Cheng, Single-crystal constants for San Carlos peridot: An application of impulsive stimulated scattering,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9485-9492, 1989</t>
    </r>
  </si>
  <si>
    <t>Bass 84</t>
  </si>
  <si>
    <r>
      <t>Bass, J.D., D.J. Weidner, N. Hamaya, M. Ozima, and S. Akimoto, Elasticity of the olivine and spinel polymorphs of Ni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262-272, 1984</t>
    </r>
  </si>
  <si>
    <r>
      <t xml:space="preserve">Zha, C.S., T.S. Duffy, H.K. Mao, R.T. Downs, R.J. Hemley, and D.J. Weidner, Single-crystal elasticity of </t>
    </r>
    <r>
      <rPr>
        <i/>
        <sz val="12"/>
        <color theme="1"/>
        <rFont val="Symbol"/>
        <family val="1"/>
        <charset val="2"/>
      </rPr>
      <t>b</t>
    </r>
    <r>
      <rPr>
        <sz val="12"/>
        <color theme="1"/>
        <rFont val="Times New Roman"/>
        <family val="1"/>
      </rPr>
      <t>-Mg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to the pressure of the 410 km seismic discontinuity in Earth’s mantle, </t>
    </r>
    <r>
      <rPr>
        <i/>
        <sz val="12"/>
        <color theme="1"/>
        <rFont val="Times New Roman"/>
        <family val="1"/>
      </rPr>
      <t>Earth Planet. Sci. Lett., 147</t>
    </r>
    <r>
      <rPr>
        <sz val="12"/>
        <color theme="1"/>
        <rFont val="Times New Roman"/>
        <family val="1"/>
      </rPr>
      <t>, E9-E15, 1997</t>
    </r>
  </si>
  <si>
    <r>
      <t xml:space="preserve">Sawamoto, H., D.J. Weidner, S. Sasaki, M. Kumazawa, Single-crystal elastic properties of the modified spinel (beta) phase of magnesium orthosilicate, </t>
    </r>
    <r>
      <rPr>
        <i/>
        <sz val="12"/>
        <color theme="1"/>
        <rFont val="Times New Roman"/>
        <family val="1"/>
      </rPr>
      <t>Science, 224</t>
    </r>
    <r>
      <rPr>
        <sz val="12"/>
        <color theme="1"/>
        <rFont val="Times New Roman"/>
        <family val="1"/>
      </rPr>
      <t xml:space="preserve">, 749-751, 1984 </t>
    </r>
  </si>
  <si>
    <r>
      <t xml:space="preserve">Sinogeikin, S.V., T. Katsura, and J.D. Bass, Sound velocities and elastic properties of Fe-bearing wadsleyite and ringwoodite, </t>
    </r>
    <r>
      <rPr>
        <i/>
        <sz val="12"/>
        <color theme="1"/>
        <rFont val="Times New Roman"/>
        <family val="1"/>
      </rPr>
      <t>J. Geophys. Res., 103</t>
    </r>
    <r>
      <rPr>
        <sz val="12"/>
        <color theme="1"/>
        <rFont val="Times New Roman"/>
        <family val="1"/>
      </rPr>
      <t>, 20819-20825, 1998</t>
    </r>
  </si>
  <si>
    <r>
      <t>Bass, J.D., Elasticity of single-crystal SmAlO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GdAlO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and ScAlO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perovskites, </t>
    </r>
    <r>
      <rPr>
        <i/>
        <sz val="12"/>
        <color theme="1"/>
        <rFont val="Times New Roman"/>
        <family val="1"/>
      </rPr>
      <t>Phys. Earth Planet. Int., 36</t>
    </r>
    <r>
      <rPr>
        <sz val="12"/>
        <color theme="1"/>
        <rFont val="Times New Roman"/>
        <family val="1"/>
      </rPr>
      <t>, 145-156, 1984</t>
    </r>
  </si>
  <si>
    <t>GdAlO3</t>
  </si>
  <si>
    <t>Yeganeh-Haeri 94</t>
  </si>
  <si>
    <r>
      <t xml:space="preserve">Yeganeh-Haeri, A., Synthesis and re-investigation of the elastic properties of single-crystal magnesium silicate perovskite, </t>
    </r>
    <r>
      <rPr>
        <i/>
        <sz val="12"/>
        <color theme="1"/>
        <rFont val="Times New Roman"/>
        <family val="1"/>
      </rPr>
      <t>Phys. Earth Planet. Int., 87</t>
    </r>
    <r>
      <rPr>
        <sz val="12"/>
        <color theme="1"/>
        <rFont val="Times New Roman"/>
        <family val="1"/>
      </rPr>
      <t>, 111-121, 1994</t>
    </r>
  </si>
  <si>
    <r>
      <t>Yeganeh-Haeri, A., D.J. Weidner, and E. Ito,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in the perovskite structure, </t>
    </r>
    <r>
      <rPr>
        <i/>
        <sz val="12"/>
        <color theme="1"/>
        <rFont val="Times New Roman"/>
        <family val="1"/>
      </rPr>
      <t>Science, 243</t>
    </r>
    <r>
      <rPr>
        <sz val="12"/>
        <color theme="1"/>
        <rFont val="Times New Roman"/>
        <family val="1"/>
      </rPr>
      <t>, 787-789, 1989</t>
    </r>
  </si>
  <si>
    <r>
      <t xml:space="preserve">Zhao, Y., and D.J. Weidner, The single crystal elastic moduli of neighborite, </t>
    </r>
    <r>
      <rPr>
        <i/>
        <sz val="12"/>
        <color theme="1"/>
        <rFont val="Times New Roman"/>
        <family val="1"/>
      </rPr>
      <t>Phys. Chem. Minerals, 20, 419-424, 1993</t>
    </r>
  </si>
  <si>
    <r>
      <t xml:space="preserve">Bass, J.D., and D.J. Weidner, Elasticity of single-crystal orthoferrosilite, </t>
    </r>
    <r>
      <rPr>
        <i/>
        <sz val="12"/>
        <color theme="1"/>
        <rFont val="Times New Roman"/>
        <family val="1"/>
      </rPr>
      <t>J. Geophys. Res., 89</t>
    </r>
    <r>
      <rPr>
        <sz val="12"/>
        <color theme="1"/>
        <rFont val="Times New Roman"/>
        <family val="1"/>
      </rPr>
      <t>, 4359-4371, 1984</t>
    </r>
  </si>
  <si>
    <r>
      <t>Jackson, J.M., S.V. Sinogeikin, and J.D. Bass,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orthoenstatite, </t>
    </r>
    <r>
      <rPr>
        <i/>
        <sz val="12"/>
        <color theme="1"/>
        <rFont val="Times New Roman"/>
        <family val="1"/>
      </rPr>
      <t>Am. Min., 84</t>
    </r>
    <r>
      <rPr>
        <sz val="12"/>
        <color theme="1"/>
        <rFont val="Times New Roman"/>
        <family val="1"/>
      </rPr>
      <t>, 677-680, 1999</t>
    </r>
  </si>
  <si>
    <r>
      <t xml:space="preserve">Weidner, D.J., H. Wang, and J. Ito, Elasticity of orthoenstatite, </t>
    </r>
    <r>
      <rPr>
        <i/>
        <sz val="12"/>
        <color theme="1"/>
        <rFont val="Times New Roman"/>
        <family val="1"/>
      </rPr>
      <t>Phys. Earth Planet. Int., 17</t>
    </r>
    <r>
      <rPr>
        <sz val="12"/>
        <color theme="1"/>
        <rFont val="Times New Roman"/>
        <family val="1"/>
      </rPr>
      <t>, P7-P13, 1978</t>
    </r>
  </si>
  <si>
    <r>
      <t xml:space="preserve">Duffy, T.S., and M.T. Vaughan, Elasticity of enstatite and its relationship to crystal structure, </t>
    </r>
    <r>
      <rPr>
        <i/>
        <sz val="12"/>
        <color theme="1"/>
        <rFont val="Times New Roman"/>
        <family val="1"/>
      </rPr>
      <t>J. Geophys. Res., 93</t>
    </r>
    <r>
      <rPr>
        <sz val="12"/>
        <color theme="1"/>
        <rFont val="Times New Roman"/>
        <family val="1"/>
      </rPr>
      <t>, 383-391, 1988</t>
    </r>
  </si>
  <si>
    <r>
      <t xml:space="preserve">Chai, M., J.M. Brown, and L.J. Slutsky, The elastic constants of an aluminous orthopyroxene to 12.5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14779-14785, 1997b</t>
    </r>
  </si>
  <si>
    <r>
      <t xml:space="preserve">Kumazawa, M., The elastic constant of single-crystal orthopyroxene,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5973-5980, 1969</t>
    </r>
  </si>
  <si>
    <r>
      <t>Webb, S., and I. Jackson, The pressure dependence of the elastic moduli of single-crystal orthopyroxene (Mg</t>
    </r>
    <r>
      <rPr>
        <vertAlign val="subscript"/>
        <sz val="12"/>
        <color theme="1"/>
        <rFont val="Times New Roman"/>
        <family val="1"/>
      </rPr>
      <t>0.8</t>
    </r>
    <r>
      <rPr>
        <sz val="12"/>
        <color theme="1"/>
        <rFont val="Times New Roman"/>
        <family val="1"/>
      </rPr>
      <t>Fe</t>
    </r>
    <r>
      <rPr>
        <vertAlign val="subscript"/>
        <sz val="12"/>
        <color theme="1"/>
        <rFont val="Times New Roman"/>
        <family val="1"/>
      </rPr>
      <t>0.2</t>
    </r>
    <r>
      <rPr>
        <sz val="12"/>
        <color theme="1"/>
        <rFont val="Times New Roman"/>
        <family val="1"/>
      </rPr>
      <t>)SiO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Eur. J. Mineral., 5</t>
    </r>
    <r>
      <rPr>
        <sz val="12"/>
        <color theme="1"/>
        <rFont val="Times New Roman"/>
        <family val="1"/>
      </rPr>
      <t>, 1111-1119, 1993</t>
    </r>
  </si>
  <si>
    <r>
      <t xml:space="preserve">Frisillo, A.L. and G.R. Barsch, Measurement of single-crystal elastic constants of bronzite as a function of pressure and temperature, </t>
    </r>
    <r>
      <rPr>
        <i/>
        <sz val="12"/>
        <color theme="1"/>
        <rFont val="Times New Roman"/>
        <family val="1"/>
      </rPr>
      <t>J. Geophys. Res., 77</t>
    </r>
    <r>
      <rPr>
        <sz val="12"/>
        <color theme="1"/>
        <rFont val="Times New Roman"/>
        <family val="1"/>
      </rPr>
      <t>, 6360-6383, 1972</t>
    </r>
  </si>
  <si>
    <r>
      <t xml:space="preserve">Vaughan, M.T., and J.D. Bass, Single crystal elastic properties of protoenstatite: A comparison with orthoenstatite, </t>
    </r>
    <r>
      <rPr>
        <i/>
        <sz val="12"/>
        <color theme="1"/>
        <rFont val="Times New Roman"/>
        <family val="1"/>
      </rPr>
      <t>Phy. Chem. Minerals, 10</t>
    </r>
    <r>
      <rPr>
        <sz val="12"/>
        <color theme="1"/>
        <rFont val="Times New Roman"/>
        <family val="1"/>
      </rPr>
      <t>, 62-68, 1983</t>
    </r>
  </si>
  <si>
    <t>I01/H79/B95</t>
  </si>
  <si>
    <r>
      <t xml:space="preserve">Vaughan, M.T., and D.J. Weidner, The relationship of elasticity and crystal structure in andalusite and sillimanite, </t>
    </r>
    <r>
      <rPr>
        <i/>
        <sz val="12"/>
        <color theme="1"/>
        <rFont val="Times New Roman"/>
        <family val="1"/>
      </rPr>
      <t>Phys. Chem. Minerals, 3</t>
    </r>
    <r>
      <rPr>
        <sz val="12"/>
        <color theme="1"/>
        <rFont val="Times New Roman"/>
        <family val="1"/>
      </rPr>
      <t>, 133-144, 1978</t>
    </r>
  </si>
  <si>
    <t>I01/B95/H79</t>
  </si>
  <si>
    <r>
      <t xml:space="preserve">Pacalo, R.E.G., and D.J. Weidner, Elasticity of superhydrous B, </t>
    </r>
    <r>
      <rPr>
        <i/>
        <sz val="12"/>
        <color theme="1"/>
        <rFont val="Times New Roman"/>
        <family val="1"/>
      </rPr>
      <t>Phys. Chem. Minerals, 23</t>
    </r>
    <r>
      <rPr>
        <sz val="12"/>
        <color theme="1"/>
        <rFont val="Times New Roman"/>
        <family val="1"/>
      </rPr>
      <t>, 520-525, 1996</t>
    </r>
  </si>
  <si>
    <r>
      <t xml:space="preserve">Toohill, K., S. Siegesmund, and J.D. Bass, Sound velocities and elasticity of cordierite and implications for deep crustal seismic anisotropy, </t>
    </r>
    <r>
      <rPr>
        <i/>
        <sz val="12"/>
        <color theme="1"/>
        <rFont val="Times New Roman"/>
        <family val="1"/>
      </rPr>
      <t>Phys. Chem. Minerals, 26</t>
    </r>
    <r>
      <rPr>
        <sz val="12"/>
        <color theme="1"/>
        <rFont val="Times New Roman"/>
        <family val="1"/>
      </rPr>
      <t>, 333-343, 1999</t>
    </r>
  </si>
  <si>
    <t>Celestine</t>
  </si>
  <si>
    <t>Mao et al., American Mineralogist, 2007</t>
  </si>
  <si>
    <t>Method</t>
  </si>
  <si>
    <t>R</t>
  </si>
  <si>
    <t>U</t>
  </si>
  <si>
    <t>ISS</t>
  </si>
  <si>
    <t>BS</t>
  </si>
  <si>
    <t>Bhimasenachar, J., Venkata Rao, G. (1957) J. Acoust. Soc. Am. 29: 343</t>
  </si>
  <si>
    <t>Voigt, W. (1928) Lehrbuch der Kristallphysik, Teubner, Leipzig</t>
  </si>
  <si>
    <t>Voigt 28</t>
  </si>
  <si>
    <t>Ozkan, H., Cartz, L. (1986) High Temp.-High Press. 18: 675</t>
  </si>
  <si>
    <t>Monoclinic, quasi-orthorhombic</t>
  </si>
  <si>
    <t>Zaslavskii, B. I., Usoltsev, Yu. K., Aleksandrov, K. S.: Izv. Akad. Nauk SSSR Fiz. Zemli No. 12 (1974) 83.</t>
  </si>
  <si>
    <t>Aleksandrov 74; Zaslavski 74</t>
  </si>
  <si>
    <t>Ozkan 86; Zaslavski 74</t>
  </si>
  <si>
    <t>Rhyzova 66; Aleksandrov 74</t>
  </si>
  <si>
    <t>Baryte</t>
  </si>
  <si>
    <t>Hearmon, R. F. S. (1946) "The elastic constants of anisotropic materials" Rev. Mod. Phys. 18: 409</t>
  </si>
  <si>
    <t>Hearmon, R. F. S. (1956) "The elastic constants of anisotropic materials-II" Advan. Phys. 5: 323</t>
  </si>
  <si>
    <t>Reddy, P. J., Subrahmanyam, S. V. (1959) Proc. Indian Acad. Sci. A 50: 380</t>
  </si>
  <si>
    <t>Voigt 28; Hearmon 46; Hearmon 56; Reddy 59</t>
  </si>
  <si>
    <t>Schwerdtner, W. M., Tou, J. C.-M., Hertz, P. B. (1965) Can. J. Earth Sci. 2: 673</t>
  </si>
  <si>
    <t>Bayh, W., Haussuhl, S. (1966) Acta Cryst. 20: 931</t>
  </si>
  <si>
    <t>Hearmon 56</t>
  </si>
  <si>
    <t>Zaslavski 74; Aleksandrov 74</t>
  </si>
  <si>
    <t>Aleksandrov, K. S., Ryzhova, T. V. (1961) Izv. Akad. Nauk SSSR, Ser. Geofiz. 9: 1339</t>
  </si>
  <si>
    <t>Aleksandrov 61; Aleksandrov 74</t>
  </si>
  <si>
    <t>Aleksandrov, 61 Aleksandrov 74</t>
  </si>
  <si>
    <t>Composition</t>
  </si>
  <si>
    <t>Argutite</t>
  </si>
  <si>
    <t>GeO2</t>
  </si>
  <si>
    <t>Rutile</t>
  </si>
  <si>
    <t>Stishovite</t>
  </si>
  <si>
    <t>Cristobalite</t>
  </si>
  <si>
    <t>SnO2</t>
  </si>
  <si>
    <t>Cassiterite</t>
  </si>
  <si>
    <t>TeO2</t>
  </si>
  <si>
    <t>Paratellurite</t>
  </si>
  <si>
    <t xml:space="preserve"> TiO2</t>
  </si>
  <si>
    <t>Oxide</t>
  </si>
  <si>
    <t>TiO2</t>
  </si>
  <si>
    <t>Fresnoite</t>
  </si>
  <si>
    <t>Vesuvianite</t>
  </si>
  <si>
    <t>Scapolite</t>
  </si>
  <si>
    <t>PbTiO3</t>
  </si>
  <si>
    <t>ZrSiO4</t>
  </si>
  <si>
    <t>Zircon (metamict)</t>
  </si>
  <si>
    <t>Orthosilicate</t>
  </si>
  <si>
    <t>Zircon</t>
  </si>
  <si>
    <t>CaMoO4</t>
  </si>
  <si>
    <t>Molybdate</t>
  </si>
  <si>
    <t>Powellite</t>
  </si>
  <si>
    <t>CaWO4</t>
  </si>
  <si>
    <t>Scheelite</t>
  </si>
  <si>
    <t>Tungstate</t>
  </si>
  <si>
    <t>PbMnO4</t>
  </si>
  <si>
    <t>Wulfenite</t>
  </si>
  <si>
    <r>
      <rPr>
        <sz val="11"/>
        <color indexed="8"/>
        <rFont val="Symbol"/>
        <family val="1"/>
        <charset val="2"/>
      </rPr>
      <t>a-</t>
    </r>
    <r>
      <rPr>
        <sz val="11"/>
        <color theme="1"/>
        <rFont val="Calibri"/>
        <family val="2"/>
        <scheme val="minor"/>
      </rPr>
      <t>Cristobalite</t>
    </r>
  </si>
  <si>
    <t>7 Elastic Constants</t>
  </si>
  <si>
    <t>6 Elastic Constants</t>
  </si>
  <si>
    <t xml:space="preserve"> Hndbk</t>
  </si>
  <si>
    <t>Sorosilicate</t>
  </si>
  <si>
    <t>Ca10Mg2Al4(SiO4)5(Si2O7)2(OH)4</t>
  </si>
  <si>
    <t>(Na,Ca,K)4Al3(Al,Si)3Si6O24Cl,SO4,CO3)</t>
  </si>
  <si>
    <t>Tektosilicate</t>
  </si>
  <si>
    <t>Scapolite grp</t>
  </si>
  <si>
    <t>Majorite</t>
  </si>
  <si>
    <t>Garnet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</si>
  <si>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</si>
  <si>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   </t>
    </r>
    <r>
      <rPr>
        <sz val="12"/>
        <color theme="1"/>
        <rFont val="Calibri"/>
        <family val="2"/>
        <scheme val="minor"/>
      </rPr>
      <t>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(Mg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Al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)Si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(OH)</t>
    </r>
    <r>
      <rPr>
        <vertAlign val="subscript"/>
        <sz val="12"/>
        <color theme="1"/>
        <rFont val="Calibri"/>
        <family val="2"/>
        <scheme val="minor"/>
      </rPr>
      <t>2</t>
    </r>
  </si>
  <si>
    <t>Humite</t>
  </si>
  <si>
    <t xml:space="preserve"> Ca2Al3(Si2O7)(SiO4)O(OH)</t>
  </si>
  <si>
    <t>(Mg1.63Fe0.17Ca0.04Mn0.01)(Al0.12Cr0.01)(Si1.89Al0.11)O6</t>
  </si>
  <si>
    <t>Diopside (alt.)</t>
  </si>
  <si>
    <t>Diallage is obsolete name for altered diopside or other px;  Chemical comp. not provided; nominally (Ca,Na,Mg,Fe+2,Mn,Fe+3,Al,Ti)2(Si,Al)2O6</t>
  </si>
  <si>
    <r>
      <t>Wang, H., M.C. Gupta, and G. Simmons, Chrysoberyl (Al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BeO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): anomaly in velocity-density systematics, </t>
    </r>
    <r>
      <rPr>
        <i/>
        <sz val="12"/>
        <color theme="1"/>
        <rFont val="Times New Roman"/>
        <family val="1"/>
      </rPr>
      <t>J. Geophys. Res., 80</t>
    </r>
    <r>
      <rPr>
        <sz val="12"/>
        <color theme="1"/>
        <rFont val="Times New Roman"/>
        <family val="1"/>
      </rPr>
      <t>, 3761-3764, 1975</t>
    </r>
  </si>
  <si>
    <t>d-AlOOH Theory</t>
  </si>
  <si>
    <t>Hydroxide</t>
  </si>
  <si>
    <t>AlOOH  (0 GPa, non-symmetric)</t>
  </si>
  <si>
    <t>AlOOH  (0 GPa, symmetric)</t>
  </si>
  <si>
    <t>AlOOH  (30 GPa, symmetric)</t>
  </si>
  <si>
    <t>0 GPa, asymmetric H bond</t>
  </si>
  <si>
    <t>0 GPa, symmetric H bond</t>
  </si>
  <si>
    <t>30 GPa, symmetric H bond</t>
  </si>
  <si>
    <t>FeSiO3 Pv</t>
  </si>
  <si>
    <t>FeSiO3 PPv</t>
  </si>
  <si>
    <t>135 GPa, 0 K</t>
  </si>
  <si>
    <t>Magnesite</t>
  </si>
  <si>
    <t>4.2 GPa</t>
  </si>
  <si>
    <t>7.1 GPa</t>
  </si>
  <si>
    <t>9.8 GPa</t>
  </si>
  <si>
    <t>11.1 GPa</t>
  </si>
  <si>
    <t>13.7 GPa</t>
  </si>
  <si>
    <t>Yang et al, EPSL, 2014</t>
  </si>
  <si>
    <t>Al2O3</t>
  </si>
  <si>
    <t>Cr2O3</t>
  </si>
  <si>
    <t>AlPO4</t>
  </si>
  <si>
    <t>BaB2O4</t>
  </si>
  <si>
    <t>Be2SiO4</t>
  </si>
  <si>
    <t>CaMg(CO3)2</t>
  </si>
  <si>
    <t>MgCO3</t>
  </si>
  <si>
    <t>(Mg,Fe)CO3,  Sid65</t>
  </si>
  <si>
    <t>(Mg,Fe)CO3,  Sid95</t>
  </si>
  <si>
    <t>FeCO3</t>
  </si>
  <si>
    <t>CoCO3</t>
  </si>
  <si>
    <t>MnCO3</t>
  </si>
  <si>
    <t>FeBO3</t>
  </si>
  <si>
    <t>NaNO3</t>
  </si>
  <si>
    <t>Corundum</t>
  </si>
  <si>
    <t>Eskolaite</t>
  </si>
  <si>
    <t>Berlinite</t>
  </si>
  <si>
    <t>Barium Borate</t>
  </si>
  <si>
    <r>
      <rPr>
        <sz val="11"/>
        <color indexed="8"/>
        <rFont val="Symbol"/>
        <family val="1"/>
        <charset val="2"/>
      </rPr>
      <t>a-</t>
    </r>
    <r>
      <rPr>
        <sz val="11"/>
        <color indexed="8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uartz</t>
    </r>
  </si>
  <si>
    <t>Mg(OH)2</t>
  </si>
  <si>
    <t>Ca(OH)2</t>
  </si>
  <si>
    <t>KAl3(SO4)2(OH)6</t>
  </si>
  <si>
    <t>MgSi2O4(OH)2</t>
  </si>
  <si>
    <t>Ag3AsS3</t>
  </si>
  <si>
    <t>a-Quartz</t>
  </si>
  <si>
    <t>P=3 GPa</t>
  </si>
  <si>
    <t>Phenacite</t>
  </si>
  <si>
    <t>Akimotoite</t>
  </si>
  <si>
    <t>Dolomite</t>
  </si>
  <si>
    <t>Siderite</t>
  </si>
  <si>
    <t>Magnesite-Siderite</t>
  </si>
  <si>
    <t>Iron Borate</t>
  </si>
  <si>
    <t>Nitratine</t>
  </si>
  <si>
    <t>Brucite</t>
  </si>
  <si>
    <t>Portlandite</t>
  </si>
  <si>
    <t>Alunite</t>
  </si>
  <si>
    <t>Phase D</t>
  </si>
  <si>
    <t>Proustite</t>
  </si>
  <si>
    <t>Phosphate</t>
  </si>
  <si>
    <t>Borate</t>
  </si>
  <si>
    <t>Cyclosilicate</t>
  </si>
  <si>
    <t>Tectosilicate</t>
  </si>
  <si>
    <t>Sulfide</t>
  </si>
  <si>
    <t xml:space="preserve">Corundum </t>
  </si>
  <si>
    <t>Quartz</t>
  </si>
  <si>
    <t>Ilmenite</t>
  </si>
  <si>
    <t>Nitrate</t>
  </si>
  <si>
    <t>Hubert et al., 1972</t>
  </si>
  <si>
    <t>Chen et al 06</t>
  </si>
  <si>
    <t>Lahksthanov, PCM, 2004</t>
  </si>
  <si>
    <t>BeO</t>
  </si>
  <si>
    <t>Be3Al2Si6O18</t>
  </si>
  <si>
    <t>Ca5(PO4)3(OH)</t>
  </si>
  <si>
    <t>Ca5(PO4)3F</t>
  </si>
  <si>
    <t>CdSe</t>
  </si>
  <si>
    <t>CdS</t>
  </si>
  <si>
    <t>ZnO</t>
  </si>
  <si>
    <t>ZnS</t>
  </si>
  <si>
    <t>H2O</t>
  </si>
  <si>
    <r>
      <t>b</t>
    </r>
    <r>
      <rPr>
        <sz val="11"/>
        <color indexed="8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</si>
  <si>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</si>
  <si>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  <r>
      <rPr>
        <sz val="12"/>
        <color theme="1"/>
        <rFont val="Calibri"/>
        <family val="2"/>
        <scheme val="minor"/>
      </rPr>
      <t/>
    </r>
  </si>
  <si>
    <t>NAL</t>
  </si>
  <si>
    <t>Bromellite</t>
  </si>
  <si>
    <t>Beryl</t>
  </si>
  <si>
    <t>Beta quartz</t>
  </si>
  <si>
    <t>Graphite</t>
  </si>
  <si>
    <t>Greenockite</t>
  </si>
  <si>
    <t>Zincite</t>
  </si>
  <si>
    <t>Wurtzite</t>
  </si>
  <si>
    <t>ICe (257 K)</t>
  </si>
  <si>
    <t>Ice (270 K)</t>
  </si>
  <si>
    <t>Fe</t>
  </si>
  <si>
    <t>T = 575 C</t>
  </si>
  <si>
    <t>Cyclosilicates</t>
  </si>
  <si>
    <t>Element</t>
  </si>
  <si>
    <t>Selenide</t>
  </si>
  <si>
    <t>Phyllosilicsate</t>
  </si>
  <si>
    <t>NAL  P=4 GPa</t>
  </si>
  <si>
    <t>34 GPa</t>
  </si>
  <si>
    <t>58 GPa</t>
  </si>
  <si>
    <t>90 GPa</t>
  </si>
  <si>
    <t>134 GPa</t>
  </si>
  <si>
    <t>17 GPa</t>
  </si>
  <si>
    <t>Na1.07Mg1.58Al4.91Si1.26O12</t>
  </si>
  <si>
    <t>Na1.3Mg1.6Al4.9Si1.2O12</t>
  </si>
  <si>
    <t>NaMg2Al5SiO12</t>
  </si>
  <si>
    <t>Bhimasenachar 1945</t>
  </si>
  <si>
    <t>K(Mg,Fe)3AlSiO10(OH,F)2</t>
  </si>
  <si>
    <t>Cline et al 67</t>
  </si>
  <si>
    <t>Isaak</t>
  </si>
  <si>
    <t xml:space="preserve">  (Hearmon 84 value suspect?)</t>
  </si>
  <si>
    <t>Isaak(YN73)</t>
  </si>
  <si>
    <t>Get AVS andAVP values from this paper</t>
  </si>
  <si>
    <t>Phlogopite</t>
  </si>
  <si>
    <t>GGA FS</t>
  </si>
  <si>
    <t>LDA FS</t>
  </si>
  <si>
    <r>
      <t>K(Mg)</t>
    </r>
    <r>
      <rPr>
        <sz val="11"/>
        <color theme="1"/>
        <rFont val="Calibri"/>
        <family val="2"/>
        <scheme val="minor"/>
      </rPr>
      <t xml:space="preserve">3(Si3Al)O10(OH)2 </t>
    </r>
  </si>
  <si>
    <t xml:space="preserve">K(Mg)3(Si3Al)O10(OH)2 </t>
  </si>
  <si>
    <t>Finite strain fit, GGA</t>
  </si>
  <si>
    <t>Finite strain fit, LDA</t>
  </si>
  <si>
    <t>DFT: Mookherjee and Tsuchiya, PEPI 2015</t>
  </si>
  <si>
    <t>CaIrO3</t>
  </si>
  <si>
    <t>Post-Perovskite</t>
  </si>
  <si>
    <t>Chlorite</t>
  </si>
  <si>
    <t>Also high P calculations</t>
  </si>
  <si>
    <t>K-phase X</t>
  </si>
  <si>
    <t>Na-phase X</t>
  </si>
  <si>
    <t>DFT: also has values for AS_pol</t>
  </si>
  <si>
    <t>Mullite</t>
  </si>
  <si>
    <t>2Al2O3.SiO2</t>
  </si>
  <si>
    <t>Acous Res Spect</t>
  </si>
  <si>
    <t>Silicae</t>
  </si>
  <si>
    <t>Silicate</t>
  </si>
  <si>
    <t>Silicates</t>
  </si>
  <si>
    <t>RUS</t>
  </si>
  <si>
    <t>Na Majorite</t>
  </si>
  <si>
    <t xml:space="preserve">Na2MgSi5O12 </t>
  </si>
  <si>
    <t>LDA</t>
  </si>
  <si>
    <t>GGA</t>
  </si>
  <si>
    <t>Wurtzite (B4)</t>
  </si>
  <si>
    <t>"pseudo-single crystal elastic constants"</t>
  </si>
  <si>
    <t>Isaak (Ozkan et al. 78)</t>
  </si>
  <si>
    <t>Fe 360 GPa 0 K</t>
  </si>
  <si>
    <t>Fe 360 GPa 2000 K</t>
  </si>
  <si>
    <t>Fe 360 GPa 5400 K</t>
  </si>
  <si>
    <t>Fe 360 GPa 6600 K</t>
  </si>
  <si>
    <t>Fe 360 GPa 7000 K</t>
  </si>
  <si>
    <t>Fe 360 GPa 72500 K</t>
  </si>
  <si>
    <t>Fe 360 GPa 73400 K</t>
  </si>
  <si>
    <t>Martorell 2013</t>
  </si>
  <si>
    <t>Klima 1973</t>
  </si>
  <si>
    <t>Structure/SG</t>
  </si>
  <si>
    <t>Handbook</t>
  </si>
  <si>
    <t>delete? b/c xrd data?</t>
  </si>
  <si>
    <t>Isaak (H84;B95) (K80;B95)</t>
  </si>
  <si>
    <t>coordinate system: b-unique</t>
  </si>
  <si>
    <t>Mg10.4Si3.1H2.7O18</t>
  </si>
  <si>
    <t>-</t>
  </si>
  <si>
    <t>5.9 GPa</t>
  </si>
  <si>
    <t>8.5 GPa</t>
  </si>
  <si>
    <t>14.8 GPa</t>
  </si>
  <si>
    <t>17.5 GPa</t>
  </si>
  <si>
    <t>AVP</t>
  </si>
  <si>
    <t>AVS</t>
  </si>
  <si>
    <t>Akermanite</t>
  </si>
  <si>
    <t>Hardystonite</t>
  </si>
  <si>
    <t>Ca2ZnSi2O7</t>
  </si>
  <si>
    <t>Ca2MgSi2O7</t>
  </si>
  <si>
    <t>Hausshaul and Liebertz 04</t>
  </si>
  <si>
    <t>n/a</t>
  </si>
  <si>
    <t>Incommensurate phas; elastic anomalies assoc with phase trans at 358 K</t>
  </si>
  <si>
    <t>T derivs also reported; phase transition 1.33 GPa; piezoelectric</t>
  </si>
  <si>
    <t>T derivs also reported; piezoelectric</t>
  </si>
  <si>
    <t>San Carlos Olviine</t>
  </si>
  <si>
    <t>0, 300</t>
  </si>
  <si>
    <t>3.1,300</t>
  </si>
  <si>
    <t>5.3, 300</t>
  </si>
  <si>
    <t>7.8, 300</t>
  </si>
  <si>
    <t>9.9, 300</t>
  </si>
  <si>
    <t>12.0,300</t>
  </si>
  <si>
    <t>14.0, 300</t>
  </si>
  <si>
    <t>16.6,300</t>
  </si>
  <si>
    <t>19.2,300</t>
  </si>
  <si>
    <t>2.7,500</t>
  </si>
  <si>
    <t>6.8, 500</t>
  </si>
  <si>
    <t>8.6, 500</t>
  </si>
  <si>
    <t>10.9, 500</t>
  </si>
  <si>
    <t>14.1,500</t>
  </si>
  <si>
    <t>4.0,750</t>
  </si>
  <si>
    <t>5.5, 750</t>
  </si>
  <si>
    <t>9.0,750</t>
  </si>
  <si>
    <t>10.4,750</t>
  </si>
  <si>
    <t>12.5,750</t>
  </si>
  <si>
    <t>4.5,900</t>
  </si>
  <si>
    <t>8.4,900</t>
  </si>
  <si>
    <t>10.1,900</t>
  </si>
  <si>
    <t>13.3,900</t>
  </si>
  <si>
    <t>Liebenbergite</t>
  </si>
  <si>
    <t>Bridgmanite</t>
  </si>
  <si>
    <t>Cordierite</t>
  </si>
  <si>
    <t>CO2SiO4</t>
  </si>
  <si>
    <t>c1*</t>
  </si>
  <si>
    <t>Plagioclase</t>
  </si>
  <si>
    <t>AnO</t>
  </si>
  <si>
    <t>An25</t>
  </si>
  <si>
    <t>An37</t>
  </si>
  <si>
    <t>An48</t>
  </si>
  <si>
    <t>An60</t>
  </si>
  <si>
    <t>An78</t>
  </si>
  <si>
    <t>An96</t>
  </si>
  <si>
    <t>Tistarite</t>
  </si>
  <si>
    <t>Spherocobaltite</t>
  </si>
  <si>
    <t>Bass et al 84</t>
  </si>
  <si>
    <t>a=PbF2 (cotunnite;   dutta)</t>
  </si>
  <si>
    <t>Fritzel and Bass 97</t>
  </si>
  <si>
    <t>Ettringite</t>
  </si>
  <si>
    <t>Ca6Al2(SO4)3()H)12.26H2O</t>
  </si>
  <si>
    <t>Na2(Al2Si3O10).2H2O</t>
  </si>
  <si>
    <t>Sanchez Valle et al 05</t>
  </si>
  <si>
    <t>Kaolinite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</si>
  <si>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</si>
  <si>
    <t>ECS slightly different than reported in paper due to axis convention issue</t>
  </si>
  <si>
    <t>LDA, at experimental volume</t>
  </si>
  <si>
    <t>Ilite-smectite</t>
  </si>
  <si>
    <t>Kaolinite ideal</t>
  </si>
  <si>
    <t>Kaolinite-2M</t>
  </si>
  <si>
    <t>Dickite</t>
  </si>
  <si>
    <t>Nacrite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</si>
  <si>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</si>
  <si>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</si>
  <si>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  <r>
      <rPr>
        <sz val="11"/>
        <color theme="1"/>
        <rFont val="Calibri"/>
        <family val="2"/>
        <scheme val="minor"/>
      </rPr>
      <t/>
    </r>
  </si>
  <si>
    <t>An0</t>
  </si>
  <si>
    <t>An50</t>
  </si>
  <si>
    <t>An100</t>
  </si>
  <si>
    <t>cannot reproduce reuss bound in paper</t>
  </si>
  <si>
    <t>3.65 Ang phase</t>
  </si>
  <si>
    <t>MgSi(OH)6</t>
  </si>
  <si>
    <t>my VRH calcs a bit different than paper'; also high P data</t>
  </si>
  <si>
    <t>Ba2TiSi2O8</t>
  </si>
  <si>
    <t>Check?</t>
  </si>
  <si>
    <t xml:space="preserve">Isaak(G89) </t>
  </si>
  <si>
    <t>Humbert and Plique 72</t>
  </si>
  <si>
    <t>check?</t>
  </si>
  <si>
    <t>Neighborite</t>
  </si>
  <si>
    <t>C1</t>
  </si>
  <si>
    <t>NS</t>
  </si>
  <si>
    <t>Cadmoselite</t>
  </si>
  <si>
    <t>Macedonite</t>
  </si>
  <si>
    <t>Na2MgSi5O13</t>
  </si>
  <si>
    <t>Bridgmanite - Theory</t>
  </si>
  <si>
    <t>C44/C66</t>
  </si>
  <si>
    <t>1 bar</t>
  </si>
  <si>
    <t>Or93Ab7</t>
  </si>
  <si>
    <t>Or89Ab11</t>
  </si>
  <si>
    <t>Haussuhl 93</t>
  </si>
  <si>
    <t>Waeselmann et al 16</t>
  </si>
  <si>
    <t>Cccm</t>
  </si>
  <si>
    <t>Haussuhl et al 93</t>
  </si>
  <si>
    <t>Na0.03Fe0.15Mg1.91Al3.93Si5.01O10.0.38H2O</t>
  </si>
  <si>
    <t>Fddd</t>
  </si>
  <si>
    <t>US + RUS</t>
  </si>
  <si>
    <t>Hopeite</t>
  </si>
  <si>
    <t>Zn3(PO4)3.4H2O</t>
  </si>
  <si>
    <t>Pnma</t>
  </si>
  <si>
    <t>Haussuhl and Friedrich, 1993</t>
  </si>
  <si>
    <t>Are a,b axes reversed relative to Toohill?; high T data (cracking)</t>
  </si>
  <si>
    <t>Modified from Brown et al 06 with modified Ecs</t>
  </si>
  <si>
    <t>McNeil and Grimsditch 93</t>
  </si>
  <si>
    <t>Bezacier et al 10</t>
  </si>
  <si>
    <t>Mookherjee and Mainprice,  14</t>
  </si>
  <si>
    <t>Sinogeikin and Bass 99</t>
  </si>
  <si>
    <t>Weidner and Carleton 77</t>
  </si>
  <si>
    <t>DFT-LDA</t>
  </si>
  <si>
    <t>Chheda et al, 14</t>
  </si>
  <si>
    <t>Chheda et al 14</t>
  </si>
  <si>
    <t>Militzer et al 11</t>
  </si>
  <si>
    <t>Ye et al 15</t>
  </si>
  <si>
    <t>a/a</t>
  </si>
  <si>
    <r>
      <rPr>
        <sz val="11"/>
        <color rgb="FFFFC000"/>
        <rFont val="Calibri"/>
        <family val="2"/>
        <scheme val="minor"/>
      </rPr>
      <t>Rhyzova 69</t>
    </r>
    <r>
      <rPr>
        <sz val="11"/>
        <color theme="1"/>
        <rFont val="Calibri"/>
        <family val="2"/>
        <scheme val="minor"/>
      </rPr>
      <t>; Swol 78</t>
    </r>
  </si>
  <si>
    <t>Kaercher et al 14</t>
  </si>
  <si>
    <t>Sato et al 05</t>
  </si>
  <si>
    <t>Mookherjee et al, 15</t>
  </si>
  <si>
    <t>Kumazawa and Anderson 69</t>
  </si>
  <si>
    <t>Yoneda and Morioka, 92</t>
  </si>
  <si>
    <t>Isaak et al 89</t>
  </si>
  <si>
    <t>Abramson et al 97</t>
  </si>
  <si>
    <t>Kumazawa and Anderson69</t>
  </si>
  <si>
    <t>Suzuki et al 83</t>
  </si>
  <si>
    <t>Sumino et al 77</t>
  </si>
  <si>
    <t>Graham and Barsch 69</t>
  </si>
  <si>
    <t>Brown et al  89</t>
  </si>
  <si>
    <t>Isaak et al 93</t>
  </si>
  <si>
    <t>Graham et al 88</t>
  </si>
  <si>
    <t>Wang et al 75</t>
  </si>
  <si>
    <t>Weinder and Hamaya 83</t>
  </si>
  <si>
    <t>Sawamoto et al 84</t>
  </si>
  <si>
    <t>Zha et al 97</t>
  </si>
  <si>
    <t>Sinogeikin et al 98</t>
  </si>
  <si>
    <t>Weidner et al 78</t>
  </si>
  <si>
    <t>Jackson et al 99</t>
  </si>
  <si>
    <t>Webb and Jackson 93</t>
  </si>
  <si>
    <t>Frisillo and Barsch 72</t>
  </si>
  <si>
    <t>Duffy and Vaughan 88 88</t>
  </si>
  <si>
    <t>Chai et al 97</t>
  </si>
  <si>
    <t>Bass and Weidner 84</t>
  </si>
  <si>
    <t>Vaughan and Bass 83</t>
  </si>
  <si>
    <t>Mao et al 07</t>
  </si>
  <si>
    <t>Bhimasenachar and Rao57</t>
  </si>
  <si>
    <t>Sinogeikin et al 00</t>
  </si>
  <si>
    <t>Pacalo and Weidner 96</t>
  </si>
  <si>
    <t>Rosa et al 15</t>
  </si>
  <si>
    <t>Vaughan and Weidner 78</t>
  </si>
  <si>
    <t>Hildman et al  01</t>
  </si>
  <si>
    <t>Toohill et al 99</t>
  </si>
  <si>
    <t>Haussuhl  93</t>
  </si>
  <si>
    <t>Zhao and Weidner 93</t>
  </si>
  <si>
    <t>Yoneda et al 14</t>
  </si>
  <si>
    <t>Schwerdtner et al  65</t>
  </si>
  <si>
    <t>Arbeck et al 12</t>
  </si>
  <si>
    <t>Dubinin et al 04</t>
  </si>
  <si>
    <t>Stackhouse et al 05</t>
  </si>
  <si>
    <t>Stackhouse et al  05</t>
  </si>
  <si>
    <t>Oganov et al 01</t>
  </si>
  <si>
    <t>Tsuchiya and Tsuchiya 09</t>
  </si>
  <si>
    <t>Rosa et al 2015</t>
  </si>
  <si>
    <t>Mao et al 2015</t>
  </si>
  <si>
    <t>Dutta et al, unpub</t>
  </si>
  <si>
    <t>a-PbF2 Theory</t>
  </si>
  <si>
    <t>Li et al 90</t>
  </si>
  <si>
    <t>Wang and Simmmon 73</t>
  </si>
  <si>
    <t>Weidner et al 82</t>
  </si>
  <si>
    <t>Yoneda et al 12</t>
  </si>
  <si>
    <t>Brazhkin et al 02</t>
  </si>
  <si>
    <t>Jiang et al 09</t>
  </si>
  <si>
    <t>Yeganeh-Haeri et al 92</t>
  </si>
  <si>
    <t>Chang and Graham 75</t>
  </si>
  <si>
    <t>Peercy et al 75</t>
  </si>
  <si>
    <t>Uchida and Ohmachi, 69</t>
  </si>
  <si>
    <t>Isaak et al 98</t>
  </si>
  <si>
    <t>Fritz, 74</t>
  </si>
  <si>
    <t>Grimsditch and Ramdas, 76</t>
  </si>
  <si>
    <t>Manghani, 69</t>
  </si>
  <si>
    <t>Strongly piezoelectric</t>
  </si>
  <si>
    <t>Kimura, 77</t>
  </si>
  <si>
    <t>Aleksandrov et al 74</t>
  </si>
  <si>
    <t>Belikov et al, 70, Aleksandrov et al 84</t>
  </si>
  <si>
    <t>Kalinichev et al 97</t>
  </si>
  <si>
    <t>Li et al 93</t>
  </si>
  <si>
    <t>Ozkan and Jamieson 78</t>
  </si>
  <si>
    <t>Up to 1.2 GPa</t>
  </si>
  <si>
    <t>Rhyzova et al 66</t>
  </si>
  <si>
    <t>Pacalo and Weidner 97</t>
  </si>
  <si>
    <t>Every and McCurdy 92 (4)</t>
  </si>
  <si>
    <t>Every and McCurdy 92 (3)</t>
  </si>
  <si>
    <t>Scheelite, I41/a</t>
  </si>
  <si>
    <t>Nesosilicate</t>
  </si>
  <si>
    <t>Farley et al. 73</t>
  </si>
  <si>
    <t>EM compile (4?):  Alton and Barlow 67; Wachtman et al 68; Farley and Saunders 72; Chung et al 73; James 74</t>
  </si>
  <si>
    <t>EM compile (3); Wachtman 68 quoted in James, PhD thesis, 72; Farley et al 72; Gluyas et al 73</t>
  </si>
  <si>
    <t>EM compile (3): Colquin et al 71; Gabrielyan et al 75;  Wu and Hu, 1987</t>
  </si>
  <si>
    <t>EM compile (3): James 72; Farley et al 73; Lee and  Kok 89</t>
  </si>
  <si>
    <t>Mookherjee 14</t>
  </si>
  <si>
    <t>EM92</t>
  </si>
  <si>
    <t>Piezoelectric coefficients also measured; data up to 70 Mpa; updated values from Bayh et al 66</t>
  </si>
  <si>
    <t>Goto et al 89</t>
  </si>
  <si>
    <t>Gieske and Barsch 68</t>
  </si>
  <si>
    <t>Alberts and Boeyens 76</t>
  </si>
  <si>
    <t>Rimai et al 78, 79</t>
  </si>
  <si>
    <t>See Isaak notes</t>
  </si>
  <si>
    <t>, 81Ecolivet and Poignant</t>
  </si>
  <si>
    <t>Chang and Barsch 76</t>
  </si>
  <si>
    <t>Eimerl et al 87</t>
  </si>
  <si>
    <t>Every and McCurdy</t>
  </si>
  <si>
    <t>Hearmon</t>
  </si>
  <si>
    <t>Kaga 68</t>
  </si>
  <si>
    <t>Jantz et al 76</t>
  </si>
  <si>
    <t>Hearmon/Bass</t>
  </si>
  <si>
    <t>Ozkan 79</t>
  </si>
  <si>
    <t>Tatli and Ozkan 87</t>
  </si>
  <si>
    <t>Ohno 95</t>
  </si>
  <si>
    <t>Ohno 90</t>
  </si>
  <si>
    <t>McSkimin 65</t>
  </si>
  <si>
    <t>Yeganeh-Haeri and Weidner 89</t>
  </si>
  <si>
    <t>Weidner and Ito, 85</t>
  </si>
  <si>
    <t>Kobiakov, 1980</t>
  </si>
  <si>
    <t>piezoelectric, constant electric field</t>
  </si>
  <si>
    <t>resonance</t>
  </si>
  <si>
    <t>Every and McCurdy (5)</t>
  </si>
  <si>
    <t>avg of 5 measurements, lrge uncertainty in C33</t>
  </si>
  <si>
    <t>Katz and Ukraincik, 1971</t>
  </si>
  <si>
    <t>Chang and Barsch 73</t>
  </si>
  <si>
    <t>Uchita and Saito 72</t>
  </si>
  <si>
    <t>Every and McCurdy 92 (10)</t>
  </si>
  <si>
    <t xml:space="preserve">avg ov 10 measurements, </t>
  </si>
  <si>
    <t>avg of 9 measurements</t>
  </si>
  <si>
    <t>Bentle   62</t>
  </si>
  <si>
    <t>Kobiakov, 80</t>
  </si>
  <si>
    <t>Bosak et al 08</t>
  </si>
  <si>
    <t>IXS</t>
  </si>
  <si>
    <t>Density not reported; error bars provided</t>
  </si>
  <si>
    <t>from XRD: Bragg intensites</t>
  </si>
  <si>
    <t>Gammon etal 83</t>
  </si>
  <si>
    <t>Sirota et al 90</t>
  </si>
  <si>
    <t>Gagnon et al 88</t>
  </si>
  <si>
    <t>Bass 95 (slightly diff values)</t>
  </si>
  <si>
    <t>Every and McCurdy (12)</t>
  </si>
  <si>
    <t>Every and McCurdy 92 (9)</t>
  </si>
  <si>
    <t>Tan 73</t>
  </si>
  <si>
    <t>xray diffuse scattering</t>
  </si>
  <si>
    <t>U (poly)</t>
  </si>
  <si>
    <t>Sha et al, JAP, 1994</t>
  </si>
  <si>
    <t>Cerro de Mercado, Durango Mexico, natural fluorapatite; Not included in EM92</t>
  </si>
  <si>
    <t>Suspect values, not included in EM92</t>
  </si>
  <si>
    <t>Durango, Mexico; Included in EM92</t>
  </si>
  <si>
    <t>torsion?</t>
  </si>
  <si>
    <t xml:space="preserve">U </t>
  </si>
  <si>
    <t>Yoon and Newnham, 69</t>
  </si>
  <si>
    <t>Feldspathoid</t>
  </si>
  <si>
    <t>P63/mmc</t>
  </si>
  <si>
    <t xml:space="preserve">Silvestrova et al 82 </t>
  </si>
  <si>
    <t>Bass 95 (Hearmon), EM</t>
  </si>
  <si>
    <t>In Rusian; piezoelectric, synthetic, 2 samples with different results</t>
  </si>
  <si>
    <t>U+Res</t>
  </si>
  <si>
    <r>
      <t>Na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[Al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](CO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</si>
  <si>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 xml:space="preserve"> Avg of 4 meas. (EM92) Typos in Isaak:  ECs off by a factor of 10, typo in Isaak reference - should be Cline 67</t>
  </si>
  <si>
    <t>2samples:  aquamarine, goshenite</t>
  </si>
  <si>
    <t>Yoon and Newnham 73</t>
  </si>
  <si>
    <t>Aleksandrov and Rhyzhova 93</t>
  </si>
  <si>
    <t>Quasi-hexagonalOriginal ref: Aleksandrov and Rhyzova, 1961</t>
  </si>
  <si>
    <t>Every and McCurdy 92(4)</t>
  </si>
  <si>
    <t>Piezoelectric; appears to be sig. discrepancies among measurements: Rhyzhova 62, Aleksandrov 62, Bonczar 75</t>
  </si>
  <si>
    <t>Bonczar and Barsch 75</t>
  </si>
  <si>
    <t>P6_3</t>
  </si>
  <si>
    <t>Composition given; T dependence also measured</t>
  </si>
  <si>
    <t>Rejected</t>
  </si>
  <si>
    <t>Rosa et al, 12</t>
  </si>
  <si>
    <t>Sanchez-Valle, 06</t>
  </si>
  <si>
    <r>
      <t>(Mg</t>
    </r>
    <r>
      <rPr>
        <vertAlign val="subscript"/>
        <sz val="11"/>
        <color theme="1"/>
        <rFont val="Calibri"/>
        <family val="2"/>
        <scheme val="minor"/>
      </rPr>
      <t>0.98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</si>
  <si>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t>K2Mg2Si2O7</t>
  </si>
  <si>
    <t>Na2Mg2Si2O7</t>
  </si>
  <si>
    <t>P6_3cm</t>
  </si>
  <si>
    <t>DF; anhydrous version;  also has values for AS_pol; exp density is 3.38</t>
  </si>
  <si>
    <t>Pamato et al, 14</t>
  </si>
  <si>
    <t>P6_3/m</t>
  </si>
  <si>
    <t>Ice (257 K)</t>
  </si>
  <si>
    <t xml:space="preserve">NAL  </t>
  </si>
  <si>
    <t>NaNa2Al3Si3O12</t>
  </si>
  <si>
    <t>KNa2Al3Si3O12</t>
  </si>
  <si>
    <t>Mookherjee et al 12</t>
  </si>
  <si>
    <t>Finite strain fit</t>
  </si>
  <si>
    <r>
      <rPr>
        <sz val="11"/>
        <color indexed="8"/>
        <rFont val="Calibri"/>
        <family val="2"/>
        <scheme val="minor"/>
      </rPr>
      <t>P</t>
    </r>
    <r>
      <rPr>
        <sz val="11"/>
        <color indexed="8"/>
        <rFont val="Symbol"/>
        <family val="1"/>
        <charset val="2"/>
      </rPr>
      <t>6_422</t>
    </r>
  </si>
  <si>
    <t>Kammer et al 48</t>
  </si>
  <si>
    <t>Appears to be accurate - 1948!</t>
  </si>
  <si>
    <t>Lakshtanov et al 07</t>
  </si>
  <si>
    <t>averageof 3; pyrolytic graphite; slight correction to Bass values</t>
  </si>
  <si>
    <t>SiC</t>
  </si>
  <si>
    <t>Carbide</t>
  </si>
  <si>
    <t>6H P63mc</t>
  </si>
  <si>
    <t>Kamitani et al , 97</t>
  </si>
  <si>
    <t xml:space="preserve">average of 3 crystals;  </t>
  </si>
  <si>
    <t>Moissanite</t>
  </si>
  <si>
    <t>Al2SiO4F2</t>
  </si>
  <si>
    <t>Al2SiO4(OH)2</t>
  </si>
  <si>
    <t>Pbmn</t>
  </si>
  <si>
    <t>Pbnm</t>
  </si>
  <si>
    <t>Calcium ferrite phase</t>
  </si>
  <si>
    <t>Topaz-OH</t>
  </si>
  <si>
    <t>Topaz-F</t>
  </si>
  <si>
    <t>Mookherjee et al 16</t>
  </si>
  <si>
    <t>Kawai and Tsuchiya, 12</t>
  </si>
  <si>
    <t>Kawai and Tsuchiya 12</t>
  </si>
  <si>
    <t>Na3Al2Si3O12</t>
  </si>
  <si>
    <t>MgAl2O4</t>
  </si>
  <si>
    <t>Silicate (High P)</t>
  </si>
  <si>
    <t>Kawai and Tsuchiya, 10</t>
  </si>
  <si>
    <t>Tsuchiya 11</t>
  </si>
  <si>
    <t>Thaumasite</t>
  </si>
  <si>
    <t>Ca3Si(OH)6(CO3)(SO4)·12H2O</t>
  </si>
  <si>
    <t>Cmcm</t>
  </si>
  <si>
    <t>lrge error bars</t>
  </si>
  <si>
    <t>BaTiO3</t>
  </si>
  <si>
    <t>piezoelectric, constant E, also constant P values</t>
  </si>
  <si>
    <t xml:space="preserve"> Perovsktie</t>
  </si>
  <si>
    <t>Berlincourt and Jaffe 58</t>
  </si>
  <si>
    <t>B4C</t>
  </si>
  <si>
    <t>Boron Carbide</t>
  </si>
  <si>
    <t>McClellan et al 01</t>
  </si>
  <si>
    <t>b-Si3N4</t>
  </si>
  <si>
    <t>Si3N4</t>
  </si>
  <si>
    <t>Nitride</t>
  </si>
  <si>
    <t>Vogelgesang et al 00</t>
  </si>
  <si>
    <t>Scholtzova et al 15</t>
  </si>
  <si>
    <t>Mookherjee 09</t>
  </si>
  <si>
    <t>MgF2</t>
  </si>
  <si>
    <t>Sellaite</t>
  </si>
  <si>
    <t>Fluoride</t>
  </si>
  <si>
    <t>Zircon (non-metamict)</t>
  </si>
  <si>
    <t>Strontianite</t>
  </si>
  <si>
    <t>SrCO3</t>
  </si>
  <si>
    <t>aragonite</t>
  </si>
  <si>
    <t>BS +IXS</t>
  </si>
  <si>
    <t>Biedermann etal 17</t>
  </si>
  <si>
    <t>Poor constraints on C13 and C23; AU is paper incorrect?</t>
  </si>
  <si>
    <t>Voigt, Ann. Phys. 24, 290 1907</t>
  </si>
  <si>
    <t>Density calculated from lattice parameters and composition</t>
  </si>
  <si>
    <t>Or83Ab15</t>
  </si>
  <si>
    <t>Rotated by 26 degrees; See Brown et al (2006)</t>
  </si>
  <si>
    <t>natural sanidine; 1.8% celsian, 0.5% Sr-feldspar</t>
  </si>
  <si>
    <t>natural orthoclase</t>
  </si>
  <si>
    <t>x</t>
  </si>
  <si>
    <t>Na1.14Mg1.83Al4.74Si1.23O12</t>
  </si>
  <si>
    <t>Na0.71Mg2.05Al4.62Si1.16Fe0.26O12</t>
  </si>
  <si>
    <t>Wu et al 16</t>
  </si>
  <si>
    <t>To 16 GPa</t>
  </si>
  <si>
    <t>To 20 GPa</t>
  </si>
  <si>
    <t>An67</t>
  </si>
  <si>
    <t>Brown et al 16</t>
  </si>
  <si>
    <t>Yeganeh-Haeri et al 89</t>
  </si>
  <si>
    <t>Sinogeikin et al 04</t>
  </si>
  <si>
    <t>(Mg0.9Fe0.1)(Si0.9Al0.1)O3</t>
  </si>
  <si>
    <t>Kurnosov et al 17</t>
  </si>
  <si>
    <t>data up to 40.2 GPa; 0 -P density obtained by fit, not specified in paper</t>
  </si>
  <si>
    <t>Removed</t>
  </si>
  <si>
    <t>Individual meas.</t>
  </si>
  <si>
    <t>Average of 2 (Bateman 62; Kaobiakov 80)</t>
  </si>
  <si>
    <t>N/A</t>
  </si>
  <si>
    <t>AL</t>
  </si>
  <si>
    <t>Sphalerite, F-43m</t>
  </si>
  <si>
    <t>Monophosphide</t>
  </si>
  <si>
    <t>BP</t>
  </si>
  <si>
    <t>Phosphides</t>
  </si>
  <si>
    <t>Spinel, Fd-3m</t>
  </si>
  <si>
    <t>Complex Nitride</t>
  </si>
  <si>
    <t>c-Si3N4</t>
  </si>
  <si>
    <t>Mononitride</t>
  </si>
  <si>
    <t>BN</t>
  </si>
  <si>
    <t>Qingsongite</t>
  </si>
  <si>
    <t>Rocksalt, Fm-3m</t>
  </si>
  <si>
    <t>VN</t>
  </si>
  <si>
    <t>NbN</t>
  </si>
  <si>
    <t>1.BC</t>
  </si>
  <si>
    <t>TiN</t>
  </si>
  <si>
    <t>Osbornite</t>
  </si>
  <si>
    <t>Nitrides</t>
  </si>
  <si>
    <t>1.CB</t>
  </si>
  <si>
    <t>Diamond, Fd-3m</t>
  </si>
  <si>
    <t>Diamond</t>
  </si>
  <si>
    <t>1.DA</t>
  </si>
  <si>
    <t>Monocarbide</t>
  </si>
  <si>
    <t>Moissanite (3C)</t>
  </si>
  <si>
    <t>1.BA</t>
  </si>
  <si>
    <t>Nb0.865C</t>
  </si>
  <si>
    <t>Niobcarbide</t>
  </si>
  <si>
    <t>TaC</t>
  </si>
  <si>
    <t>Tantalcarbide</t>
  </si>
  <si>
    <t>Carbon and Carbides</t>
  </si>
  <si>
    <t>Pyrite, Pa-3</t>
  </si>
  <si>
    <t>Pb(NO3)2</t>
  </si>
  <si>
    <t>lead nitrate</t>
  </si>
  <si>
    <t>Sr(NO3)2</t>
  </si>
  <si>
    <t>strontium nitrate</t>
  </si>
  <si>
    <t>5.NA</t>
  </si>
  <si>
    <t>Ba(NO3)2</t>
  </si>
  <si>
    <t>Nitrobarite</t>
  </si>
  <si>
    <t>Nitrates</t>
  </si>
  <si>
    <t>2.DA</t>
  </si>
  <si>
    <t>Complex Sulfide</t>
  </si>
  <si>
    <t>Fe3S4</t>
  </si>
  <si>
    <t>Greigite</t>
  </si>
  <si>
    <t>2.EB</t>
  </si>
  <si>
    <t>Disulfide</t>
  </si>
  <si>
    <t>MnS2</t>
  </si>
  <si>
    <t>Hauerite</t>
  </si>
  <si>
    <t>FeS2</t>
  </si>
  <si>
    <t>Pyrite</t>
  </si>
  <si>
    <t>2.CB</t>
  </si>
  <si>
    <t>Monoselenide</t>
  </si>
  <si>
    <t>ZnSe</t>
  </si>
  <si>
    <t>Stilleite</t>
  </si>
  <si>
    <t>HgSe</t>
  </si>
  <si>
    <t>Tiemannite</t>
  </si>
  <si>
    <t>Monotelluride</t>
  </si>
  <si>
    <t>HgTe</t>
  </si>
  <si>
    <t>Coloradoite</t>
  </si>
  <si>
    <t>Monosulfide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</si>
  <si>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</si>
  <si>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Metacinnabar</t>
  </si>
  <si>
    <t>Sphalerite</t>
  </si>
  <si>
    <t>2.CD</t>
  </si>
  <si>
    <t>PbSe</t>
  </si>
  <si>
    <t>Clausthalite</t>
  </si>
  <si>
    <t>PbTe</t>
  </si>
  <si>
    <t>Altaite</t>
  </si>
  <si>
    <t>MnS</t>
  </si>
  <si>
    <t>Alabandite</t>
  </si>
  <si>
    <t>MgS</t>
  </si>
  <si>
    <t>Niningerite</t>
  </si>
  <si>
    <t>CaS</t>
  </si>
  <si>
    <t>Oldhamite</t>
  </si>
  <si>
    <t>PbS</t>
  </si>
  <si>
    <t>Galena</t>
  </si>
  <si>
    <t>Sulfides</t>
  </si>
  <si>
    <t>3.AA</t>
  </si>
  <si>
    <t>Monohalide</t>
  </si>
  <si>
    <t>CuI</t>
  </si>
  <si>
    <t>Marshite</t>
  </si>
  <si>
    <t>CuBr</t>
  </si>
  <si>
    <t>CuCl</t>
  </si>
  <si>
    <t>Nantokite</t>
  </si>
  <si>
    <t>CsCl, Pm-3m</t>
  </si>
  <si>
    <t>NH4Cl</t>
  </si>
  <si>
    <t>Salammoniac</t>
  </si>
  <si>
    <t>CsI</t>
  </si>
  <si>
    <t>CsBr</t>
  </si>
  <si>
    <t>CsCl</t>
  </si>
  <si>
    <t>AgBr</t>
  </si>
  <si>
    <t>Bromaargyrite</t>
  </si>
  <si>
    <t>AgCl</t>
  </si>
  <si>
    <t>Chlorargyrite</t>
  </si>
  <si>
    <t>CsF</t>
  </si>
  <si>
    <t>RbI</t>
  </si>
  <si>
    <t>RbBr</t>
  </si>
  <si>
    <t>RbCl</t>
  </si>
  <si>
    <t>RbF</t>
  </si>
  <si>
    <t>KI</t>
  </si>
  <si>
    <t>KBr</t>
  </si>
  <si>
    <t>KCl</t>
  </si>
  <si>
    <t>Sylvite</t>
  </si>
  <si>
    <t>KF</t>
  </si>
  <si>
    <t>Carobbiite</t>
  </si>
  <si>
    <t>NaI</t>
  </si>
  <si>
    <t>NaBr</t>
  </si>
  <si>
    <t>NaCl</t>
  </si>
  <si>
    <t>Halite</t>
  </si>
  <si>
    <t>NaF</t>
  </si>
  <si>
    <t>Villiaumite</t>
  </si>
  <si>
    <t>LiI</t>
  </si>
  <si>
    <t>LiBr</t>
  </si>
  <si>
    <t>LiCl</t>
  </si>
  <si>
    <t>LiF</t>
  </si>
  <si>
    <t>Griceite</t>
  </si>
  <si>
    <t>Perovskite, Pm-3m</t>
  </si>
  <si>
    <t>Complex Halide</t>
  </si>
  <si>
    <t>LiBaF3</t>
  </si>
  <si>
    <t>CsCdF3</t>
  </si>
  <si>
    <t>TlMnCl3</t>
  </si>
  <si>
    <t>TlCdF3</t>
  </si>
  <si>
    <t>RbMnF3</t>
  </si>
  <si>
    <t>RbCoF3</t>
  </si>
  <si>
    <t>RbCaF3</t>
  </si>
  <si>
    <t>RbCdF3</t>
  </si>
  <si>
    <t>KZnF3</t>
  </si>
  <si>
    <t>KNiF3</t>
  </si>
  <si>
    <t>KMnF3</t>
  </si>
  <si>
    <t>KMgF3</t>
  </si>
  <si>
    <t>Parascandolaite</t>
  </si>
  <si>
    <t>Fluorite, Fm-3m</t>
  </si>
  <si>
    <t>Dihalide</t>
  </si>
  <si>
    <t>PbF2</t>
  </si>
  <si>
    <t>Fluorocronite</t>
  </si>
  <si>
    <t>3.AB</t>
  </si>
  <si>
    <t>SrF2</t>
  </si>
  <si>
    <t>Strontiofluorite</t>
  </si>
  <si>
    <t>CaF2</t>
  </si>
  <si>
    <t>Fluorite</t>
  </si>
  <si>
    <t>CdF2</t>
  </si>
  <si>
    <t>BaF2</t>
  </si>
  <si>
    <t>Frankdicksonite</t>
  </si>
  <si>
    <t>Halides</t>
  </si>
  <si>
    <t>Sillenite, I23</t>
  </si>
  <si>
    <t>Multiple Oxide</t>
  </si>
  <si>
    <t>Bi12TiO20</t>
  </si>
  <si>
    <t>BTO</t>
  </si>
  <si>
    <t>Bi12GeO20</t>
  </si>
  <si>
    <t>BGO</t>
  </si>
  <si>
    <t>4.CB</t>
  </si>
  <si>
    <t>Bi12SiO20</t>
  </si>
  <si>
    <t>Sillenite (BSO)</t>
  </si>
  <si>
    <t>KNbO3  (733 K)</t>
  </si>
  <si>
    <t>KTaO3</t>
  </si>
  <si>
    <t>4.CC</t>
  </si>
  <si>
    <t>SrTIO3</t>
  </si>
  <si>
    <t>Tausonite</t>
  </si>
  <si>
    <t>4.BB</t>
  </si>
  <si>
    <t>ZnCr2O4</t>
  </si>
  <si>
    <t>Zincochromite</t>
  </si>
  <si>
    <t>Ni0.37Zn0.63Cr2O4</t>
  </si>
  <si>
    <t>(Ni,Zn)Cr2O4</t>
  </si>
  <si>
    <t>Ni0.73Zn0.27Cr2O4</t>
  </si>
  <si>
    <t>NiCr2O4</t>
  </si>
  <si>
    <t>FeCr2O4</t>
  </si>
  <si>
    <t>Chromite</t>
  </si>
  <si>
    <t>Fe2TiO4</t>
  </si>
  <si>
    <t>Ulvospinel</t>
  </si>
  <si>
    <t>Fe3O4</t>
  </si>
  <si>
    <t>Magnetite</t>
  </si>
  <si>
    <t>ZnFe2O4</t>
  </si>
  <si>
    <t>Franklinite</t>
  </si>
  <si>
    <t>NiFe2O4</t>
  </si>
  <si>
    <t>Trevorite</t>
  </si>
  <si>
    <t>(Mn0.62Zn0.34)Fe2.04O4</t>
  </si>
  <si>
    <t>Jacobsite-Zincochromite</t>
  </si>
  <si>
    <t>(Mn0.49Zn0.45)Fe2.06O4</t>
  </si>
  <si>
    <t>(Mn0.40Fe0.16Zn0.37Mg0.03)(Fe1.94Al0.08)O4</t>
  </si>
  <si>
    <t>Franklinite-Jacobsite</t>
  </si>
  <si>
    <t>MnFe2O4</t>
  </si>
  <si>
    <t>Jacobsite</t>
  </si>
  <si>
    <t>CoFe2O4</t>
  </si>
  <si>
    <t>CoAl2O4</t>
  </si>
  <si>
    <t>(Zn0.74Fe0.18Mg0.08)Al2O4</t>
  </si>
  <si>
    <t>Gahnite-Hercynite</t>
  </si>
  <si>
    <t>MnAl2O4</t>
  </si>
  <si>
    <t>Galaxite</t>
  </si>
  <si>
    <t>(Mg0.24Mn0.76)Al2O4</t>
  </si>
  <si>
    <t>Spinel-Galaxite</t>
  </si>
  <si>
    <t>(Mg0.53Mn0.47)Al2O4</t>
  </si>
  <si>
    <t>(Mg0.74Mn0.26)Al2O4</t>
  </si>
  <si>
    <t>FeAl2O4</t>
  </si>
  <si>
    <t>Hercynite</t>
  </si>
  <si>
    <t>(Mg0.75Fe0.36)Al1.9O4</t>
  </si>
  <si>
    <t>Spinel-Hercynite</t>
  </si>
  <si>
    <t>(Mg0.82Fe3+0.09Fe2+0.09)(Al1.76Fe0.06Cr0.18)O4</t>
  </si>
  <si>
    <t>MgO 2.6Al2O3</t>
  </si>
  <si>
    <t>MgO 3.0Al2O3</t>
  </si>
  <si>
    <t>MgO 3.5Al2O3</t>
  </si>
  <si>
    <t>Spinel (Natural)</t>
  </si>
  <si>
    <t xml:space="preserve">Spinel </t>
  </si>
  <si>
    <t>Bixbyite, Ia-3</t>
  </si>
  <si>
    <t>Sesquioxide</t>
  </si>
  <si>
    <t>Tl2O3</t>
  </si>
  <si>
    <t>Avicennite</t>
  </si>
  <si>
    <t>Y2O3</t>
  </si>
  <si>
    <t>Yttriaite</t>
  </si>
  <si>
    <t>Dioxide</t>
  </si>
  <si>
    <t>ZrO2x12%Y2O3</t>
  </si>
  <si>
    <t>Yttria stabilitzed Zirconia</t>
  </si>
  <si>
    <t>ZrO2x8.5%Y2O3</t>
  </si>
  <si>
    <t>4.DL</t>
  </si>
  <si>
    <t>CeO2</t>
  </si>
  <si>
    <t>Cerianite</t>
  </si>
  <si>
    <t>ThO2</t>
  </si>
  <si>
    <t>Thorianite</t>
  </si>
  <si>
    <t>UO2</t>
  </si>
  <si>
    <t>Uraninite</t>
  </si>
  <si>
    <t>4.AA</t>
  </si>
  <si>
    <t>Cuprite, Pn-3m</t>
  </si>
  <si>
    <t>Hemioxide</t>
  </si>
  <si>
    <t>Cu2O</t>
  </si>
  <si>
    <t>Cuprite</t>
  </si>
  <si>
    <t>4.AB</t>
  </si>
  <si>
    <t>Monoxide</t>
  </si>
  <si>
    <t>CdO</t>
  </si>
  <si>
    <t>Monteponite</t>
  </si>
  <si>
    <t>SrO</t>
  </si>
  <si>
    <t>MnO</t>
  </si>
  <si>
    <t>Manganosite</t>
  </si>
  <si>
    <t>CoO</t>
  </si>
  <si>
    <t>Cobalt oxide</t>
  </si>
  <si>
    <t>CaO</t>
  </si>
  <si>
    <t>Lime</t>
  </si>
  <si>
    <t>BaO</t>
  </si>
  <si>
    <t>Fe(0.94-0.95_0.05-0.06)O  (Fe#100)</t>
  </si>
  <si>
    <t>Wustite</t>
  </si>
  <si>
    <t>(Mg0.211Fe0.762_0.027)O  (Fe#78)</t>
  </si>
  <si>
    <t>Ferropericlase</t>
  </si>
  <si>
    <t>(Mg0.240Fe0.717_0.043)O  (Fe#75)</t>
  </si>
  <si>
    <t>(Mg0.423Fe0.541_0.0036)O  (Fe#56)</t>
  </si>
  <si>
    <t>(Mg0.462Fe0.515_0.009)O  (Fe#53)</t>
  </si>
  <si>
    <t>(Mg0.628Fe0.363_0.009)O  (Fe#37)</t>
  </si>
  <si>
    <t>(Mg0.725Fe0.268_0.007)O  (Fe#27)</t>
  </si>
  <si>
    <t>(Mg0.760Fe0.239_0.001)O  (Fe#24)</t>
  </si>
  <si>
    <t>(Mg0.850Fe0.149_0.001)O  (Fe#15)</t>
  </si>
  <si>
    <t>(Mg0.94F1e0.058_0.001)O  (Fe#6)</t>
  </si>
  <si>
    <t>MgO  (Fe#0)</t>
  </si>
  <si>
    <t>Periclase</t>
  </si>
  <si>
    <t>Garnet, Ia-3d</t>
  </si>
  <si>
    <t>(La2Nd0.3Lu0.7)3Lu2Ga3O12</t>
  </si>
  <si>
    <t>LNLLGG</t>
  </si>
  <si>
    <t>(Gd0.67Er0.33)3(ScGa)2Ga3O12</t>
  </si>
  <si>
    <t>GESGG</t>
  </si>
  <si>
    <t>Gd3(ScGa)2Ga3O12</t>
  </si>
  <si>
    <t>GSGG</t>
  </si>
  <si>
    <t>Y3Ga5O12</t>
  </si>
  <si>
    <t>YGG</t>
  </si>
  <si>
    <t>Sm3Ga5O12</t>
  </si>
  <si>
    <t>SGG</t>
  </si>
  <si>
    <t>Nd3Ga5O12</t>
  </si>
  <si>
    <t>NGG</t>
  </si>
  <si>
    <t>(Gd0.85Er0.15)3Ga5O12</t>
  </si>
  <si>
    <t>GEGG</t>
  </si>
  <si>
    <t>Gd3Ga5O12</t>
  </si>
  <si>
    <t>GGG</t>
  </si>
  <si>
    <t>Gd3Fe5O12</t>
  </si>
  <si>
    <t>GIG</t>
  </si>
  <si>
    <t>Eu3Fe5O12</t>
  </si>
  <si>
    <t>EIG</t>
  </si>
  <si>
    <t>Tb3Fe5O12</t>
  </si>
  <si>
    <t>TIG</t>
  </si>
  <si>
    <t>Y3Fe5O12</t>
  </si>
  <si>
    <t>YIG</t>
  </si>
  <si>
    <t>Lu3Al5O12</t>
  </si>
  <si>
    <t>LuAG</t>
  </si>
  <si>
    <t>Yb3Al5O12</t>
  </si>
  <si>
    <t>YbAG</t>
  </si>
  <si>
    <t>(Y0.19Yb0.89)3Al5O12</t>
  </si>
  <si>
    <t>YYbAG</t>
  </si>
  <si>
    <t>(Y0.61,Yb0.39)3Al5O12</t>
  </si>
  <si>
    <t xml:space="preserve">Y3(Al0.6Ga0.4)5O12 </t>
  </si>
  <si>
    <t>YAGG</t>
  </si>
  <si>
    <t xml:space="preserve">Y3(Al0.8Ga0.2)5O12 </t>
  </si>
  <si>
    <t xml:space="preserve">Y3(Al0.9Ga0.1)5O12 </t>
  </si>
  <si>
    <t>(Y0.74Er0.26)3Al5O12</t>
  </si>
  <si>
    <t>YEAG</t>
  </si>
  <si>
    <t>Y3Al5O12</t>
  </si>
  <si>
    <t>YAG</t>
  </si>
  <si>
    <t>Oxides</t>
  </si>
  <si>
    <t>Eulytine, I-43d</t>
  </si>
  <si>
    <t>Bi4Ge3O12</t>
  </si>
  <si>
    <t>Bismuth germanate</t>
  </si>
  <si>
    <t>9.AD</t>
  </si>
  <si>
    <t>Bi4Si3O12</t>
  </si>
  <si>
    <t>Eulytine</t>
  </si>
  <si>
    <t>9.GB</t>
  </si>
  <si>
    <t>Zeolite, Fdd2</t>
  </si>
  <si>
    <t>Na1.05(Al0.95)Si2.0O6).H2O</t>
  </si>
  <si>
    <t>Analcime</t>
  </si>
  <si>
    <t>Zeolite, Ia-3d</t>
  </si>
  <si>
    <t>(Cs,Na)AlSi2O6.H2O</t>
  </si>
  <si>
    <t>Pollucite</t>
  </si>
  <si>
    <t>9.AC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</si>
  <si>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</si>
  <si>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Ringwoodite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</si>
  <si>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</si>
  <si>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</si>
  <si>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</si>
  <si>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</si>
  <si>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</si>
  <si>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t>Ca3Nb1.5Ge3.5O12</t>
  </si>
  <si>
    <t>CNGG</t>
  </si>
  <si>
    <t>Ca3Ga2Ge3O12</t>
  </si>
  <si>
    <t>CGGG</t>
  </si>
  <si>
    <t>(Na0.62Mg0.38)3(Si0.97Mg0.03)2Si3O12</t>
  </si>
  <si>
    <t>Na-Maj</t>
  </si>
  <si>
    <t>Mg3.16Fe0.32Al1.2Si3.36O12  (Prp54Alm10Maj36)</t>
  </si>
  <si>
    <t>Prp-Maj</t>
  </si>
  <si>
    <t>Mg3.01Fe0.17Al1.68Si3.15O12 (Prp78Alm6Maj16)</t>
  </si>
  <si>
    <t>Mg3.24Al1.53Si3.23O12 (Prp76Maj24)</t>
  </si>
  <si>
    <t>Ca3Al2(SiO4)1.72(H4O4)1.28</t>
  </si>
  <si>
    <t>Hgr</t>
  </si>
  <si>
    <t>Ca3Cr2Si3O12</t>
  </si>
  <si>
    <t>Uv</t>
  </si>
  <si>
    <t>Ca3(Fe0.98Al0.02)2Si3O12</t>
  </si>
  <si>
    <t>Adr</t>
  </si>
  <si>
    <t>Ca3(Fe0.96Al0.04)2Si3O12</t>
  </si>
  <si>
    <t>(Ca0.93Fe0.04Mg0.03)3(Fe0.70Al0.30)2Si3O12</t>
  </si>
  <si>
    <t>Ard-Grs</t>
  </si>
  <si>
    <t>(Ca0.94Fe0.03Mg0.02Mn0.01)3(Al0.86Fe0.14)2Si3O12</t>
  </si>
  <si>
    <t>Grs-Adr</t>
  </si>
  <si>
    <t>Ca0.97Mg0.02Fe0.01)3(Al0.91Fe0.09)2Si3O12</t>
  </si>
  <si>
    <t>(Ca0.49Mg0.28Fe0.23)3Al2Si3O12</t>
  </si>
  <si>
    <t>Grs-Pyr-Alm</t>
  </si>
  <si>
    <t>(Ca0.85Fe0.08Mn0.07)3Al2Si3O12</t>
  </si>
  <si>
    <t>Grs-Alm-Spr</t>
  </si>
  <si>
    <t>Ca3(Al0.99Fe0.01)2Si3O12</t>
  </si>
  <si>
    <t>Grs</t>
  </si>
  <si>
    <t>(Ca0.99Mg0.01)3(Al0.98Fe0.02)2Si3O12</t>
  </si>
  <si>
    <t>Mn3Al2Si3O12</t>
  </si>
  <si>
    <t>Spr</t>
  </si>
  <si>
    <t>(Mn0.95Fe0.05)3Al2Si3O12</t>
  </si>
  <si>
    <t>Spr-Alm</t>
  </si>
  <si>
    <t>(Mn0.75Fe0.18Ca0.05Mg0.02)3Al2Si3O12</t>
  </si>
  <si>
    <t>Spr-Alm-Grs</t>
  </si>
  <si>
    <t>(Mn0.55Fe0.44Ca0.01)3Al2Si3O12</t>
  </si>
  <si>
    <t>(Mn0.54Fe0.46)3Al2Si3O12</t>
  </si>
  <si>
    <t>(Fe0.52Mn0.46Ca0.01)3Al2Si3O12</t>
  </si>
  <si>
    <t>Alm-Spr</t>
  </si>
  <si>
    <t>(Fe0.81Mg0.14Ca0.04Mn0.01)3Al2Si3O12</t>
  </si>
  <si>
    <t>Alm-Prp</t>
  </si>
  <si>
    <t>(Fe0.72Mg0.20Ca0.05Mn0.05)3(Al0.98Fe0.02)2Si3O12</t>
  </si>
  <si>
    <t>Alm-Prp-Grs-Spr</t>
  </si>
  <si>
    <t>(Fe0.76Mg0.21Ca0.03)3Al2Si3O12</t>
  </si>
  <si>
    <t>(Fe0.64Mg0.22Mn0.11Ca0.03)3(Al0.98Fe0.02)2Si3O12</t>
  </si>
  <si>
    <t>Alm-Prp-Spr</t>
  </si>
  <si>
    <t>(Fe0.60Mg0.28Mn0.09Ca0.03)3(Al0.97Fe0.03)2Si3O12</t>
  </si>
  <si>
    <t>(Fe0.54Mg0.39Ca0.06Mn0.01)3(Al0.99Fe0.01)2Si3O12</t>
  </si>
  <si>
    <t>Alm-Prp-Grs</t>
  </si>
  <si>
    <t>(Fe0.51Mg0.39Ca0.09Mn0.01)3(Al0.99Fe0.01)Si3O12</t>
  </si>
  <si>
    <t>(Fe0.48Mg0.41Ca0.10Mn0.01)3(Al0.99Fe0.01)2Si3O12</t>
  </si>
  <si>
    <t>(Fe0.50Mg0.35Ca0.14Mn0.01)3Al2Si3O12</t>
  </si>
  <si>
    <t>Prp-Alm-Grs</t>
  </si>
  <si>
    <t>(Mg0.50Fe0.45Ca0.04Mn0.01)3(Al0.99Fe0.01)2Si3O12</t>
  </si>
  <si>
    <t>Prp-Alm</t>
  </si>
  <si>
    <t>(Mg0.51Fe0.32Ca0.16Mn0.01)3(Al0.98Fe0.02)2(Si0.99Ti0.01)3O12</t>
  </si>
  <si>
    <t>(Mg0.55Fe0.37Ca0.06Mn0.01)3Al2Si3O12</t>
  </si>
  <si>
    <t>(Mg0.62Fe0.36Ca0.02)3Al2Si3O12</t>
  </si>
  <si>
    <t>(Mg0.68Fe0.25Ca0.05Mn0.02)3Al2Si3O12</t>
  </si>
  <si>
    <t>(Mg0.70Fe0.16Ca0.13Mn0.01)3(Al0.89Cr0.09Fe0.02)2Si3O12</t>
  </si>
  <si>
    <t>Prp-Alm-Uv</t>
  </si>
  <si>
    <t>(Mg0.73Fe0.14Ca0.12Mn0.01)3(Al0.88Cr0.09Fe0.03)Si3O12</t>
  </si>
  <si>
    <t>(Mg0.73Fe0.16Ca0.11Mn0.01)3(Al0.90Cr0.06Fe0.04)Si3O12</t>
  </si>
  <si>
    <t>(Mg0.73Fe0.16Ca0.10Mn0.01)3(Al0.91Cr0.05Fe0.04)2Si3O12</t>
  </si>
  <si>
    <t>(Mg0.90Fe0.08Ca0.02)3Al2Si3O12</t>
  </si>
  <si>
    <t>Mg3(Al0.985Mg0.015)2Si3O12</t>
  </si>
  <si>
    <t>Prp</t>
  </si>
  <si>
    <t>Mg3Al2Si3O12</t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</si>
  <si>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</si>
  <si>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t>%</t>
  </si>
  <si>
    <t>km/s</t>
  </si>
  <si>
    <t>GPa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</si>
  <si>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</si>
  <si>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</si>
  <si>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</si>
  <si>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</si>
  <si>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t>n_001</t>
  </si>
  <si>
    <t>n_110</t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</si>
  <si>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</si>
  <si>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</si>
  <si>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</si>
  <si>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</si>
  <si>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</si>
  <si>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</si>
  <si>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</si>
  <si>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</si>
  <si>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</si>
  <si>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</si>
  <si>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</si>
  <si>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</si>
  <si>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</si>
  <si>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</si>
  <si>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</si>
  <si>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</si>
  <si>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</si>
  <si>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t>r</t>
  </si>
  <si>
    <t>DUFFY: SINGLE-CRYSTAL ELASTIC PROPERTIES OF CUBIC MINERALS</t>
  </si>
  <si>
    <t>American Mineralogist: June 2018 Deposit AM-18-66285</t>
  </si>
  <si>
    <t>Anisotropy Calculations</t>
  </si>
  <si>
    <t>Wettling and Windscheif 84</t>
  </si>
  <si>
    <t>synthetic CVD-grown sample</t>
  </si>
  <si>
    <t>Kiefer et al 05</t>
  </si>
  <si>
    <t>DFT with GGA, also high P Ecs</t>
  </si>
  <si>
    <t>Zhang et al 11</t>
  </si>
  <si>
    <t>Goncharov et al 07</t>
  </si>
  <si>
    <t>Grimsditch et al 94</t>
  </si>
  <si>
    <t>Multiple (3)</t>
  </si>
  <si>
    <t>Kim and Achenbach 92</t>
  </si>
  <si>
    <t>thin film on MgO</t>
  </si>
  <si>
    <t>SAW</t>
  </si>
  <si>
    <t>thin film onMgO</t>
  </si>
  <si>
    <t>Grimsditch and Ramdas 75</t>
  </si>
  <si>
    <t>McSkimin et al 72</t>
  </si>
  <si>
    <t>McSkimin and Bond 57</t>
  </si>
  <si>
    <t>Zhuralev et al13</t>
  </si>
  <si>
    <t>Brillouin scattering and Xray diffraction  to 75 GPa</t>
  </si>
  <si>
    <t>Ledbetter et al 86</t>
  </si>
  <si>
    <t>Lopez-de-la-Torre et al 05</t>
  </si>
  <si>
    <t>U+Th</t>
  </si>
  <si>
    <t>Every and McCurdy 92  (3)</t>
  </si>
  <si>
    <t>Roldan et al 13</t>
  </si>
  <si>
    <t>Every and McCurdy 92 (1)</t>
  </si>
  <si>
    <t>Every and McCurdy 92 (8)</t>
  </si>
  <si>
    <t>piezoelectric</t>
  </si>
  <si>
    <t>Prieur et al 88</t>
  </si>
  <si>
    <t>Walker et al 87</t>
  </si>
  <si>
    <t>Lippmann et al 71</t>
  </si>
  <si>
    <t>Multiple (2)</t>
  </si>
  <si>
    <t>Kavci and Cabuk 14</t>
  </si>
  <si>
    <t>Th</t>
  </si>
  <si>
    <t>Yuan and Ding 08</t>
  </si>
  <si>
    <t>Guo et al 08</t>
  </si>
  <si>
    <t>Every and McCurdy 92  (4)</t>
  </si>
  <si>
    <t>Hanson et al 72</t>
  </si>
  <si>
    <t>Piezoelectric, const E (also const D reported)</t>
  </si>
  <si>
    <t>Chang et al 67</t>
  </si>
  <si>
    <t>Slagle and McKinstry 67</t>
  </si>
  <si>
    <t>Vallin et al 64</t>
  </si>
  <si>
    <t>Reinitz 61</t>
  </si>
  <si>
    <t>Bolef and Menes 60</t>
  </si>
  <si>
    <t>Haussuhl 60</t>
  </si>
  <si>
    <t>Multiple (6)</t>
  </si>
  <si>
    <t>Marshall 61</t>
  </si>
  <si>
    <t>Multiple (7)</t>
  </si>
  <si>
    <t>Every and McCurdy 92 (6)</t>
  </si>
  <si>
    <t>Buhrer 73</t>
  </si>
  <si>
    <t>Haussuhl 73</t>
  </si>
  <si>
    <t>Rolandson 72</t>
  </si>
  <si>
    <t>Asenbaum et al 86</t>
  </si>
  <si>
    <t>Chang and Barsch 71</t>
  </si>
  <si>
    <t>Fontanella and Schuele 70</t>
  </si>
  <si>
    <t>Ghafelehbashi et al 70</t>
  </si>
  <si>
    <t>Lewis et al 67</t>
  </si>
  <si>
    <t>Spangenberg 56</t>
  </si>
  <si>
    <t>Multiple (9)</t>
  </si>
  <si>
    <t>Bergmann 57</t>
  </si>
  <si>
    <t>Multiple (8)</t>
  </si>
  <si>
    <t>Novikov and Botaki 71</t>
  </si>
  <si>
    <t>Potter et al 71</t>
  </si>
  <si>
    <t>Gluyas et al 70</t>
  </si>
  <si>
    <t>Marshall et al 67</t>
  </si>
  <si>
    <t>Multiple (10)</t>
  </si>
  <si>
    <t>W. N Potter et al, Pressure derivatives of elastic constants of LiCl and RbCl. Texas Journal of Science Vol. 22. No. 2-3. 1971</t>
  </si>
  <si>
    <t>Cleavelin et al 72</t>
  </si>
  <si>
    <t>Botaki et al 72</t>
  </si>
  <si>
    <t>Barsch and Shull 71</t>
  </si>
  <si>
    <t>Benedek and Fritsdch 66</t>
  </si>
  <si>
    <t>Norwood and Briscoe 58</t>
  </si>
  <si>
    <t>Braul and Plint 81</t>
  </si>
  <si>
    <t>Matsuura and Miyazawa 73</t>
  </si>
  <si>
    <t>Sharko and Botaki 71</t>
  </si>
  <si>
    <t>Hart 69</t>
  </si>
  <si>
    <t>Merkulov 60</t>
  </si>
  <si>
    <t>Galt 48</t>
  </si>
  <si>
    <t>Huntington 47</t>
  </si>
  <si>
    <t>Multiple (11)</t>
  </si>
  <si>
    <t>LG Merkulov, Soviet Phys.-Acoustics, 5, 444 (1960).</t>
  </si>
  <si>
    <t>Yamamoto and Anderson 1987</t>
  </si>
  <si>
    <t>Benckert and Backstrom 75</t>
  </si>
  <si>
    <t>Botaki et al 73</t>
  </si>
  <si>
    <t>Sharko and Botaki 70</t>
  </si>
  <si>
    <t>Hart 68</t>
  </si>
  <si>
    <t>Drabble and Strathen 67</t>
  </si>
  <si>
    <t>Bartels and Schuele 65</t>
  </si>
  <si>
    <t>Eros and Reitz 58</t>
  </si>
  <si>
    <t>Multiple (13)</t>
  </si>
  <si>
    <t>Marshall and Miller 67</t>
  </si>
  <si>
    <t>Koliwad et al 67</t>
  </si>
  <si>
    <t>Multiple (5)</t>
  </si>
  <si>
    <t>Clayton and Marshall 60</t>
  </si>
  <si>
    <t>Dalven and Garland 59</t>
  </si>
  <si>
    <t>Yamamoto and Anderson 87</t>
  </si>
  <si>
    <t>Kinoshita et al 79</t>
  </si>
  <si>
    <t>Whitfield et al 76</t>
  </si>
  <si>
    <t>Spetzler et al 72</t>
  </si>
  <si>
    <t>Ghafelehbashi and Koliwad 70</t>
  </si>
  <si>
    <t>Hausshul 60</t>
  </si>
  <si>
    <t>Overton and Swim 51</t>
  </si>
  <si>
    <t>Multiple (21)</t>
  </si>
  <si>
    <t>Jones 76</t>
  </si>
  <si>
    <t>Bensch 72</t>
  </si>
  <si>
    <t>Vallin et al 66</t>
  </si>
  <si>
    <t>Miller and Smith 64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</si>
  <si>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</si>
  <si>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McLean and Smith 72</t>
  </si>
  <si>
    <t>Ching et al 73</t>
  </si>
  <si>
    <t>Marshall and Cleavelin 69</t>
  </si>
  <si>
    <t>Multiple (4)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</si>
  <si>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</si>
  <si>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Hart 77</t>
  </si>
  <si>
    <t>Chernov and Stepanov 61</t>
  </si>
  <si>
    <t>Briscoe and Squire 57</t>
  </si>
  <si>
    <t>Y. M. Chernov and A. V. Stepanov, Soviet Physics Soldi State 3, 2097 (1962)</t>
  </si>
  <si>
    <t>Haussuhl et al 72</t>
  </si>
  <si>
    <t>Rousseau et al 75</t>
  </si>
  <si>
    <t>Aleksandrov et al 75</t>
  </si>
  <si>
    <t>K.S. Aleksandrov et al., X-ray, optical, and ultrasound studies of phase
transitions in TlMnCl3, Fizika Tverdogo Tea, 17, 735-740, 1075</t>
  </si>
  <si>
    <t>?</t>
  </si>
  <si>
    <t>Rosseau et al 74</t>
  </si>
  <si>
    <t>Primary source: Nouet and Plicquet 71</t>
  </si>
  <si>
    <t>Fischer et al78</t>
  </si>
  <si>
    <t>Every and McCurdy 92  (2)</t>
  </si>
  <si>
    <t>Nouet 73</t>
  </si>
  <si>
    <t>Cao and Barsch 88</t>
  </si>
  <si>
    <t>Jamieson et al 86</t>
  </si>
  <si>
    <t>Manasreh and Pederson 84</t>
  </si>
  <si>
    <t>Ramai et al 80</t>
  </si>
  <si>
    <t xml:space="preserve">Ramai and Sladek 80 </t>
  </si>
  <si>
    <t>Hart 70</t>
  </si>
  <si>
    <t>Wasilik and Wheat 65</t>
  </si>
  <si>
    <t>Every and McCurdy 92  (5)</t>
  </si>
  <si>
    <t>Burimov et al 95</t>
  </si>
  <si>
    <t>Also low T data</t>
  </si>
  <si>
    <t>Avg of 5 measurements</t>
  </si>
  <si>
    <t>Wiesendanger 73</t>
  </si>
  <si>
    <t>Estimated accuracy: 20%</t>
  </si>
  <si>
    <t>INS</t>
  </si>
  <si>
    <t>Comes and Shirane 72</t>
  </si>
  <si>
    <t xml:space="preserve">Error in Every and McCurdy 1992 </t>
  </si>
  <si>
    <t>U+INS</t>
  </si>
  <si>
    <t>Migliori et al 93</t>
  </si>
  <si>
    <t>Chung and Li 76</t>
  </si>
  <si>
    <t>Luthi and Moran 70</t>
  </si>
  <si>
    <t>Bell and Rupprecht 63</t>
  </si>
  <si>
    <t>Kino et al. 72</t>
  </si>
  <si>
    <t>Values approximate (Every and McCurdy 1992 )</t>
  </si>
  <si>
    <t>Ni0.73Zn0.23CrO4</t>
  </si>
  <si>
    <t>Values approximate (Every and McCurdy 1992 ); Coop. Jahn-Teller distortion</t>
  </si>
  <si>
    <t>Doraiswami 47</t>
  </si>
  <si>
    <t>Syono et al 71</t>
  </si>
  <si>
    <t>Reichman and Jacobsen 04</t>
  </si>
  <si>
    <t>Other: Doraiswami 74</t>
  </si>
  <si>
    <t>GU</t>
  </si>
  <si>
    <t>Li and Fisher 90</t>
  </si>
  <si>
    <t>Liebermann 72</t>
  </si>
  <si>
    <t>Data from: EB Royce, pers. Comm., 1968</t>
  </si>
  <si>
    <t>unk</t>
  </si>
  <si>
    <t>Every and McCurdy 92  (1)</t>
  </si>
  <si>
    <t>S.S. Gendelev, Elastic constants of Mn-Zn ferrite single crystals, 
Kristallografiya, 30, 739, 1985</t>
  </si>
  <si>
    <t>De With and Damen 81</t>
  </si>
  <si>
    <t>Reichmann et al. 13</t>
  </si>
  <si>
    <t>to 9.8 GPa</t>
  </si>
  <si>
    <t>Sakurai 64</t>
  </si>
  <si>
    <t>Li et al 91</t>
  </si>
  <si>
    <t>Reichmann and Jacobsen 06</t>
  </si>
  <si>
    <t>Bruschini et al. 15</t>
  </si>
  <si>
    <t>Wang and Simmons 72</t>
  </si>
  <si>
    <t>Pulse echo overlap; Nestola 2015 questions bulk modulus, K0 =194 GPa</t>
  </si>
  <si>
    <t>variety Pleonaste, Pulse echo overlap</t>
  </si>
  <si>
    <t>US</t>
  </si>
  <si>
    <t>Ono et al 17</t>
  </si>
  <si>
    <t xml:space="preserve">Natural chromian sample from mantle xenolith;  -14 to 45 C </t>
  </si>
  <si>
    <t>Schreiber 67</t>
  </si>
  <si>
    <t>England 70</t>
  </si>
  <si>
    <t>Cynn et al 93</t>
  </si>
  <si>
    <t>Natural sample; Before heat treatment</t>
  </si>
  <si>
    <t>Duan et al 18</t>
  </si>
  <si>
    <t>Suzuki et al 00</t>
  </si>
  <si>
    <t>Askarpour et al 93</t>
  </si>
  <si>
    <t>Yoneda 90</t>
  </si>
  <si>
    <t>Liu et al 75</t>
  </si>
  <si>
    <t>O'Connell and Graham 71</t>
  </si>
  <si>
    <t>Lewis 66</t>
  </si>
  <si>
    <t>O'Connell and Graham data reported by Askarpour et al 93</t>
  </si>
  <si>
    <t>Spinel</t>
  </si>
  <si>
    <t>Gomis et al 14</t>
  </si>
  <si>
    <t>DFT, also high P, C44 soft</t>
  </si>
  <si>
    <t>Palko et al 01</t>
  </si>
  <si>
    <t>Ingel and Lewis 88</t>
  </si>
  <si>
    <t>Nakajima et al 94</t>
  </si>
  <si>
    <t>Macedo et al 64</t>
  </si>
  <si>
    <t>Every and McCurdy 92 (2)</t>
  </si>
  <si>
    <t>up to 2 GPa</t>
  </si>
  <si>
    <t>Peng et al 09</t>
  </si>
  <si>
    <t>Chang and Graham 77</t>
  </si>
  <si>
    <t>Pai and Sivertsen 76</t>
  </si>
  <si>
    <t>Son and Bartels 72</t>
  </si>
  <si>
    <t>Pacalo and Graham 91</t>
  </si>
  <si>
    <t>Webb et al 88</t>
  </si>
  <si>
    <t>Sumino et al 80</t>
  </si>
  <si>
    <t>Herrmann-Ronzaud et al 77</t>
  </si>
  <si>
    <t>Uchida and Saito 72</t>
  </si>
  <si>
    <t>Oliver 69</t>
  </si>
  <si>
    <t>Speziale et al 06</t>
  </si>
  <si>
    <t>Oda et al 92</t>
  </si>
  <si>
    <t>Drago and Spain 77</t>
  </si>
  <si>
    <t>Park and Sivertsen 75</t>
  </si>
  <si>
    <t>Other: Vetter and Bartels 73 – “not of high precision”</t>
  </si>
  <si>
    <t>Isaak and Moser 13</t>
  </si>
  <si>
    <t>Kantor et al 04</t>
  </si>
  <si>
    <t>Jacobsen et al 02</t>
  </si>
  <si>
    <t>Jackson et al 90</t>
  </si>
  <si>
    <t>Berger et al 81</t>
  </si>
  <si>
    <t>Samples with compositions ranging b/w Fe94 and Fe95</t>
  </si>
  <si>
    <t>Zha et al 00</t>
  </si>
  <si>
    <t>Sinogeikin and Bass 00</t>
  </si>
  <si>
    <t>Bass 89</t>
  </si>
  <si>
    <t>Sumino et al 83</t>
  </si>
  <si>
    <t>Jackson and Niesler 82</t>
  </si>
  <si>
    <t>Sumino et al 76</t>
  </si>
  <si>
    <t>Marklund and Mahmoud 71</t>
  </si>
  <si>
    <t>Spetzler 70</t>
  </si>
  <si>
    <t>Chang and Barsch 69</t>
  </si>
  <si>
    <t>Anderson and Andreatch 66</t>
  </si>
  <si>
    <t>Bogardus 65</t>
  </si>
  <si>
    <t>Multiple (15)</t>
  </si>
  <si>
    <t>Fe#=Fe/(Fe+Mg);  _ = vacancy</t>
  </si>
  <si>
    <t>Kitaeva et al 85</t>
  </si>
  <si>
    <t>Primary source: Zharikov et al 83</t>
  </si>
  <si>
    <t>Primary source: Ershova et al 84</t>
  </si>
  <si>
    <t>Zharikov et al 85</t>
  </si>
  <si>
    <t>Zharikov et al 84</t>
  </si>
  <si>
    <t>Spencer et al 63</t>
  </si>
  <si>
    <t>Haussuhl et al 76</t>
  </si>
  <si>
    <t>Primary source: Kitaeva et al 80</t>
  </si>
  <si>
    <t>Every and McCurdy 1992 (6)</t>
  </si>
  <si>
    <t>Comstock et al 66</t>
  </si>
  <si>
    <t>Kvashnin et al 87</t>
  </si>
  <si>
    <t>Bateman 66</t>
  </si>
  <si>
    <t>Saunders et al 92</t>
  </si>
  <si>
    <t>Data reported as fn. Of T, P, and magnetic field</t>
  </si>
  <si>
    <t>Burkenov and Nikanorov 02</t>
  </si>
  <si>
    <t>Clark and Strakna 61</t>
  </si>
  <si>
    <t>Dragic et al 16</t>
  </si>
  <si>
    <t>Marquardt et al 09</t>
  </si>
  <si>
    <t>Hubbell et al 74</t>
  </si>
  <si>
    <t>Krzesinksa and Szuta-Buchaze 84</t>
  </si>
  <si>
    <t>Yogurtcu et al 80</t>
  </si>
  <si>
    <t>Christyi et al 75</t>
  </si>
  <si>
    <t>Alton and Barlow 67</t>
  </si>
  <si>
    <t>Rehwald and Widmer 73</t>
  </si>
  <si>
    <t>Sanchez-Valle et al. 05</t>
  </si>
  <si>
    <t>Sanchez-Valle et al. 10</t>
  </si>
  <si>
    <t>Weidner and Hamaya 83</t>
  </si>
  <si>
    <t>Bs</t>
  </si>
  <si>
    <t>Mao et al 12</t>
  </si>
  <si>
    <t>1 wt% H2O; to 673 K and 16.3 GPa</t>
  </si>
  <si>
    <t>Jacobsen et al 04</t>
  </si>
  <si>
    <t>1 wt% H2O</t>
  </si>
  <si>
    <t>Inoue et al 98</t>
  </si>
  <si>
    <t>2.2 wt% H2O</t>
  </si>
  <si>
    <t>Wang et al 03</t>
  </si>
  <si>
    <t>2.34 wt% H2O</t>
  </si>
  <si>
    <t>Singogeikin et al 98</t>
  </si>
  <si>
    <t>Sinogeikin 03: to 13 GPa, 923 K</t>
  </si>
  <si>
    <t>Jackson et al 00</t>
  </si>
  <si>
    <t>Weidner et al 84</t>
  </si>
  <si>
    <t>Castellano-Hernandez et al 16</t>
  </si>
  <si>
    <t>Primary Source: G. A. Smolenskii  et al., Fiz. tverd. Tela 23, 1727 (1981)</t>
  </si>
  <si>
    <t>Pacalo et al 92</t>
  </si>
  <si>
    <t>Na1.87Mg1.18Si4.94O12</t>
  </si>
  <si>
    <t>Murakami et al 08</t>
  </si>
  <si>
    <t>Pamato et al 16</t>
  </si>
  <si>
    <t>Data to 12.4 GPa and 470 K</t>
  </si>
  <si>
    <t>Data to 16.2 GPa and 558 K</t>
  </si>
  <si>
    <t>O'Neill et al 93</t>
  </si>
  <si>
    <t>Bass 86</t>
  </si>
  <si>
    <t>Jiang et al 04</t>
  </si>
  <si>
    <t>Babuska et al 78</t>
  </si>
  <si>
    <t>minor Ti present, spec. AN-1</t>
  </si>
  <si>
    <t>minor Ti present, spec. GR-1</t>
  </si>
  <si>
    <t>O'Neill et al 89</t>
  </si>
  <si>
    <t>minor Mn, Fe, Ti</t>
  </si>
  <si>
    <t>Halleck 73</t>
  </si>
  <si>
    <t>Halleck, P.M.  PhD Thesis, U. of Chicago (1973)</t>
  </si>
  <si>
    <t>Isaak et al 92</t>
  </si>
  <si>
    <t>300-1350 K</t>
  </si>
  <si>
    <t>specimen SP-2</t>
  </si>
  <si>
    <t>specimen SP-1</t>
  </si>
  <si>
    <t>Wang and Simmons 74</t>
  </si>
  <si>
    <t>0-0.5 GPa</t>
  </si>
  <si>
    <t>Isaak and Graham 76</t>
  </si>
  <si>
    <t>298-473 K; 0-0.5 GPa</t>
  </si>
  <si>
    <t>Soga 67</t>
  </si>
  <si>
    <t>specimen AL-3</t>
  </si>
  <si>
    <t>speimen AL-5</t>
  </si>
  <si>
    <t>Specimen AL-Y</t>
  </si>
  <si>
    <t>specimen AL-X</t>
  </si>
  <si>
    <t>specimen AL-4</t>
  </si>
  <si>
    <t>Goto et al 76</t>
  </si>
  <si>
    <t>sample AR</t>
  </si>
  <si>
    <t>specimen AL-6</t>
  </si>
  <si>
    <t>to 20 GPa</t>
  </si>
  <si>
    <t>sample TA</t>
  </si>
  <si>
    <t>reanalysis of Bonczar et al 77</t>
  </si>
  <si>
    <t>Lu et al 13</t>
  </si>
  <si>
    <t>to 20 GPa and 750 K</t>
  </si>
  <si>
    <t>specimen PY-A</t>
  </si>
  <si>
    <t>Minor Ti; specimen PY-2</t>
  </si>
  <si>
    <t>specimen PY-1</t>
  </si>
  <si>
    <t>Minor Ti; specimen PY-0</t>
  </si>
  <si>
    <t>O'Neill et al 91</t>
  </si>
  <si>
    <t>Sinogeikin etal 00</t>
  </si>
  <si>
    <t>Synthetic, to 20 GPa,  800  C; alternative: Leitner  et al 80</t>
  </si>
  <si>
    <t>Compostion</t>
  </si>
  <si>
    <t>For a given mineral, the number in parentheses after Every and McCurdy (1992) represents the number of individual measurements included.</t>
  </si>
  <si>
    <t>References</t>
  </si>
  <si>
    <t>Density functional theory</t>
  </si>
  <si>
    <t>Theoretical calculation (DFT)</t>
  </si>
  <si>
    <t>Inelastic x-ray scattering</t>
  </si>
  <si>
    <t>Inelastic neutron scattering</t>
  </si>
  <si>
    <t>Resonance</t>
  </si>
  <si>
    <t>Surface acoustic wave</t>
  </si>
  <si>
    <t>Impulsive stimulated scattering</t>
  </si>
  <si>
    <t>Brillouin scattering</t>
  </si>
  <si>
    <t>Ultrasonics (gigahertz)</t>
  </si>
  <si>
    <t>Ultrasonics  (megahertz)</t>
  </si>
  <si>
    <t>Theoretical calculation</t>
  </si>
  <si>
    <t>Blue</t>
  </si>
  <si>
    <t>Colors</t>
  </si>
  <si>
    <t>Maj</t>
  </si>
  <si>
    <t>Hydrogrossular</t>
  </si>
  <si>
    <t>Uvarovite</t>
  </si>
  <si>
    <t>Andradite</t>
  </si>
  <si>
    <t>Spessartine</t>
  </si>
  <si>
    <t>Grossular</t>
  </si>
  <si>
    <t>Almandine</t>
  </si>
  <si>
    <t>Alm</t>
  </si>
  <si>
    <t>Pyrope</t>
  </si>
  <si>
    <t>Mineral Abbreviations</t>
  </si>
  <si>
    <t>Adiabatic elastic compliances</t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</si>
  <si>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</si>
  <si>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Poisson's ratio in (110) plane and [001]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</si>
  <si>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</si>
  <si>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t>Poisson's ratio in (110) plane and [1-10] 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</si>
  <si>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</si>
  <si>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t>Chung and Buessem percent anisotropy</t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</si>
  <si>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</si>
  <si>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t>Kube log-Euclidean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</si>
  <si>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</si>
  <si>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t>Universal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</si>
  <si>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</si>
  <si>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t>Zener anisotropy ratio</t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</si>
  <si>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</si>
  <si>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t>Ratio of elastic moduli</t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</si>
  <si>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</si>
  <si>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</si>
  <si>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t>Ratio of compressional to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</si>
  <si>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</si>
  <si>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t>Aggregate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</si>
  <si>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</si>
  <si>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t>Aggregate bulk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</si>
  <si>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</si>
  <si>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t>Aggregate compressional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</si>
  <si>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</si>
  <si>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t>Young's modulus (Hill average)</t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</si>
  <si>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</si>
  <si>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t>Poisson's ratio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</si>
  <si>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</si>
  <si>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t>Ratio of bulk to shear modulus (Hill average)</t>
  </si>
  <si>
    <t>Hashin-Shtrikman average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</si>
  <si>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</si>
  <si>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t>Hashin-Shtrikman bounds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</si>
  <si>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</si>
  <si>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t>Hill average of Voigt and Reuss bounds on shear modulus</t>
  </si>
  <si>
    <t>Voigt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</si>
  <si>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</si>
  <si>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t>Reuss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</si>
  <si>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</si>
  <si>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t>Adiabatic bulk modulus</t>
  </si>
  <si>
    <t>2nd order adiabatic elastic stiffnesses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</si>
  <si>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</si>
  <si>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t>density</t>
  </si>
  <si>
    <t>Nickel-Strunz class</t>
  </si>
  <si>
    <t>Symmetry code, 7=cubic</t>
  </si>
  <si>
    <t>Space group</t>
  </si>
  <si>
    <t>SG</t>
  </si>
  <si>
    <t>Column headings</t>
  </si>
  <si>
    <t>Unorganized references</t>
  </si>
  <si>
    <t>Unorganized References</t>
  </si>
  <si>
    <r>
      <rPr>
        <b/>
        <sz val="11"/>
        <color theme="3"/>
        <rFont val="Symbol"/>
        <family val="1"/>
        <charset val="2"/>
      </rPr>
      <t>n</t>
    </r>
    <r>
      <rPr>
        <b/>
        <vertAlign val="subscript"/>
        <sz val="11"/>
        <color theme="3"/>
        <rFont val="Calibri"/>
        <family val="2"/>
        <scheme val="minor"/>
      </rPr>
      <t>VRH</t>
    </r>
  </si>
  <si>
    <r>
      <rPr>
        <b/>
        <sz val="11"/>
        <color rgb="FF006100"/>
        <rFont val="Calibri"/>
        <family val="2"/>
      </rPr>
      <t xml:space="preserve">ν </t>
    </r>
    <r>
      <rPr>
        <b/>
        <sz val="11"/>
        <color rgb="FF006100"/>
        <rFont val="Calibri"/>
        <family val="2"/>
        <scheme val="minor"/>
      </rPr>
      <t>min</t>
    </r>
  </si>
  <si>
    <t xml:space="preserve"> ν max</t>
  </si>
  <si>
    <t>ν min</t>
  </si>
  <si>
    <t>ν max</t>
  </si>
  <si>
    <r>
      <t>E</t>
    </r>
    <r>
      <rPr>
        <b/>
        <vertAlign val="subscript"/>
        <sz val="11"/>
        <color theme="3"/>
        <rFont val="Calibri"/>
        <family val="2"/>
        <scheme val="minor"/>
      </rPr>
      <t>VRH</t>
    </r>
  </si>
  <si>
    <t>C33/C11</t>
  </si>
  <si>
    <t>Grs-Prp-Alm</t>
  </si>
  <si>
    <t>Adr-Grs</t>
  </si>
  <si>
    <t>Yttria stabilized Zirconia</t>
  </si>
  <si>
    <t>Lead Nitrate</t>
  </si>
  <si>
    <t>Strontium Nitrate</t>
  </si>
  <si>
    <t>c-Si3N4*</t>
  </si>
  <si>
    <t>Tantalcarbide*</t>
  </si>
  <si>
    <t>Greigite*</t>
  </si>
  <si>
    <t>Alabandite*</t>
  </si>
  <si>
    <t>Niningerite*</t>
  </si>
  <si>
    <t>Oldhamite*</t>
  </si>
  <si>
    <t>Avicennite*</t>
  </si>
  <si>
    <t>Monteponite*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</si>
</sst>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0"/>
    <numFmt numFmtId="167" formatCode="0.0000"/>
    <numFmt numFmtId="168" formatCode="#,##0.000"/>
  </numFmts>
  <fonts count="5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Symbol"/>
      <family val="1"/>
      <charset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name val="Calibri"/>
      <family val="2"/>
      <scheme val="minor"/>
    </font>
    <font>
      <sz val="1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rgb="FF006100"/>
      <name val="Calibri"/>
      <family val="2"/>
      <scheme val="minor"/>
    </font>
    <font>
      <b/>
      <vertAlign val="subscript"/>
      <sz val="11"/>
      <color rgb="FF006100"/>
      <name val="Calibri"/>
      <family val="2"/>
      <scheme val="minor"/>
    </font>
    <font>
      <b/>
      <sz val="11"/>
      <color rgb="FF006100"/>
      <name val="Symbol"/>
      <family val="1"/>
      <charset val="2"/>
    </font>
    <font>
      <sz val="12"/>
      <color rgb="FF000000"/>
      <name val="Lucida Grande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6100"/>
      <name val="Calibri"/>
      <family val="1"/>
      <charset val="2"/>
      <scheme val="minor"/>
    </font>
    <font>
      <b/>
      <sz val="11"/>
      <color theme="3"/>
      <name val="Calibri"/>
      <family val="1"/>
      <charset val="2"/>
      <scheme val="minor"/>
    </font>
    <font>
      <b/>
      <sz val="11"/>
      <color theme="3"/>
      <name val="Symbol"/>
      <family val="1"/>
      <charset val="2"/>
    </font>
    <font>
      <b/>
      <vertAlign val="subscript"/>
      <sz val="11"/>
      <color theme="3"/>
      <name val="Calibri"/>
      <family val="2"/>
      <scheme val="minor"/>
    </font>
    <font>
      <sz val="12"/>
      <color theme="3"/>
      <name val="Arial"/>
      <family val="2"/>
    </font>
    <font>
      <b/>
      <sz val="11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95">
    <xf numFmtId="0" fontId="0" fillId="0" borderId="0"/>
    <xf numFmtId="0" fontId="7" fillId="0" borderId="1" applyNumberFormat="0" applyFill="0" applyAlignment="0" applyProtection="0"/>
    <xf numFmtId="0" fontId="8" fillId="3" borderId="0" applyNumberFormat="0" applyBorder="0" applyAlignment="0" applyProtection="0"/>
    <xf numFmtId="164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47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6" fontId="5" fillId="0" borderId="0" xfId="0" applyNumberFormat="1" applyFont="1"/>
    <xf numFmtId="0" fontId="5" fillId="0" borderId="0" xfId="0" applyFont="1"/>
    <xf numFmtId="0" fontId="6" fillId="0" borderId="0" xfId="0" applyFont="1"/>
    <xf numFmtId="165" fontId="5" fillId="0" borderId="0" xfId="0" applyNumberFormat="1" applyFont="1"/>
    <xf numFmtId="11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7" fontId="0" fillId="0" borderId="0" xfId="0" applyNumberFormat="1"/>
    <xf numFmtId="165" fontId="0" fillId="0" borderId="0" xfId="0" applyNumberFormat="1" applyAlignment="1">
      <alignment horizontal="right"/>
    </xf>
    <xf numFmtId="0" fontId="9" fillId="3" borderId="0" xfId="2" applyFont="1"/>
    <xf numFmtId="3" fontId="0" fillId="0" borderId="0" xfId="0" applyNumberFormat="1"/>
    <xf numFmtId="0" fontId="9" fillId="3" borderId="0" xfId="2" applyFont="1" applyAlignment="1">
      <alignment horizontal="center"/>
    </xf>
    <xf numFmtId="0" fontId="7" fillId="3" borderId="1" xfId="1" applyFill="1" applyAlignment="1">
      <alignment horizontal="center"/>
    </xf>
    <xf numFmtId="0" fontId="9" fillId="3" borderId="0" xfId="2" quotePrefix="1" applyFont="1" applyAlignment="1">
      <alignment horizontal="center"/>
    </xf>
    <xf numFmtId="165" fontId="9" fillId="3" borderId="0" xfId="2" applyNumberFormat="1" applyFont="1" applyAlignment="1">
      <alignment horizontal="center"/>
    </xf>
    <xf numFmtId="166" fontId="9" fillId="3" borderId="0" xfId="2" applyNumberFormat="1" applyFont="1" applyAlignment="1">
      <alignment horizontal="center"/>
    </xf>
    <xf numFmtId="2" fontId="9" fillId="3" borderId="0" xfId="2" applyNumberFormat="1" applyFont="1" applyAlignment="1">
      <alignment horizontal="center"/>
    </xf>
    <xf numFmtId="166" fontId="0" fillId="0" borderId="0" xfId="0" quotePrefix="1" applyNumberFormat="1"/>
    <xf numFmtId="168" fontId="0" fillId="0" borderId="0" xfId="0" applyNumberFormat="1"/>
    <xf numFmtId="2" fontId="10" fillId="0" borderId="0" xfId="0" applyNumberFormat="1" applyFont="1"/>
    <xf numFmtId="2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3" fillId="0" borderId="0" xfId="0" applyFont="1" applyAlignment="1">
      <alignment vertical="center"/>
    </xf>
    <xf numFmtId="0" fontId="18" fillId="0" borderId="0" xfId="0" applyFont="1"/>
    <xf numFmtId="0" fontId="21" fillId="0" borderId="0" xfId="0" applyFont="1"/>
    <xf numFmtId="0" fontId="27" fillId="0" borderId="0" xfId="0" applyFont="1"/>
    <xf numFmtId="0" fontId="0" fillId="4" borderId="0" xfId="0" applyFill="1"/>
    <xf numFmtId="2" fontId="5" fillId="0" borderId="0" xfId="0" applyNumberFormat="1" applyFont="1" applyAlignment="1">
      <alignment vertical="center"/>
    </xf>
    <xf numFmtId="165" fontId="0" fillId="0" borderId="0" xfId="3" applyNumberFormat="1" applyFont="1"/>
    <xf numFmtId="165" fontId="5" fillId="0" borderId="0" xfId="3" applyNumberFormat="1" applyFont="1"/>
    <xf numFmtId="165" fontId="6" fillId="0" borderId="0" xfId="3" applyNumberFormat="1" applyFont="1"/>
    <xf numFmtId="0" fontId="0" fillId="5" borderId="0" xfId="0" applyFill="1"/>
    <xf numFmtId="11" fontId="0" fillId="5" borderId="0" xfId="0" applyNumberFormat="1" applyFill="1"/>
    <xf numFmtId="0" fontId="5" fillId="5" borderId="0" xfId="0" applyFont="1" applyFill="1"/>
    <xf numFmtId="0" fontId="6" fillId="5" borderId="0" xfId="0" applyFont="1" applyFill="1"/>
    <xf numFmtId="0" fontId="29" fillId="6" borderId="0" xfId="0" applyFont="1" applyFill="1"/>
    <xf numFmtId="0" fontId="29" fillId="6" borderId="0" xfId="0" applyFont="1" applyFill="1" applyAlignment="1">
      <alignment horizontal="right"/>
    </xf>
    <xf numFmtId="3" fontId="29" fillId="6" borderId="0" xfId="0" applyNumberFormat="1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30" fillId="0" borderId="0" xfId="0" applyNumberFormat="1" applyFont="1" applyFill="1" applyBorder="1" applyAlignment="1">
      <alignment vertical="top" wrapText="1"/>
    </xf>
    <xf numFmtId="165" fontId="30" fillId="0" borderId="0" xfId="0" applyNumberFormat="1" applyFont="1" applyFill="1" applyBorder="1" applyAlignment="1">
      <alignment vertical="top" wrapText="1"/>
    </xf>
    <xf numFmtId="3" fontId="0" fillId="7" borderId="0" xfId="0" applyNumberFormat="1" applyFill="1"/>
    <xf numFmtId="0" fontId="31" fillId="7" borderId="0" xfId="0" applyFont="1" applyFill="1"/>
    <xf numFmtId="0" fontId="32" fillId="0" borderId="0" xfId="0" applyFont="1"/>
    <xf numFmtId="0" fontId="33" fillId="6" borderId="0" xfId="0" applyFont="1" applyFill="1"/>
    <xf numFmtId="0" fontId="10" fillId="0" borderId="0" xfId="0" applyFont="1"/>
    <xf numFmtId="0" fontId="31" fillId="0" borderId="0" xfId="0" applyFont="1"/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34" fillId="0" borderId="0" xfId="0" applyFont="1"/>
    <xf numFmtId="0" fontId="6" fillId="7" borderId="0" xfId="0" applyFont="1" applyFill="1"/>
    <xf numFmtId="0" fontId="35" fillId="6" borderId="0" xfId="0" applyFont="1" applyFill="1"/>
    <xf numFmtId="0" fontId="29" fillId="6" borderId="0" xfId="0" applyFont="1" applyFill="1" applyAlignment="1">
      <alignment horizontal="left"/>
    </xf>
    <xf numFmtId="3" fontId="29" fillId="6" borderId="0" xfId="0" applyNumberFormat="1" applyFont="1" applyFill="1" applyAlignment="1">
      <alignment horizontal="left"/>
    </xf>
    <xf numFmtId="0" fontId="36" fillId="0" borderId="0" xfId="0" quotePrefix="1" applyFont="1"/>
    <xf numFmtId="0" fontId="10" fillId="7" borderId="0" xfId="0" applyFont="1" applyFill="1"/>
    <xf numFmtId="0" fontId="37" fillId="7" borderId="0" xfId="0" applyFont="1" applyFill="1"/>
    <xf numFmtId="165" fontId="0" fillId="0" borderId="0" xfId="0" applyNumberFormat="1" applyAlignment="1">
      <alignment horizontal="center"/>
    </xf>
    <xf numFmtId="2" fontId="6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/>
    </xf>
    <xf numFmtId="0" fontId="18" fillId="7" borderId="0" xfId="0" applyFont="1" applyFill="1"/>
    <xf numFmtId="0" fontId="7" fillId="7" borderId="1" xfId="1" applyFill="1" applyAlignment="1">
      <alignment horizontal="center"/>
    </xf>
    <xf numFmtId="165" fontId="7" fillId="3" borderId="1" xfId="3" applyNumberFormat="1" applyFont="1" applyFill="1" applyBorder="1" applyAlignment="1">
      <alignment horizontal="center"/>
    </xf>
    <xf numFmtId="165" fontId="7" fillId="3" borderId="1" xfId="1" applyNumberFormat="1" applyFill="1" applyAlignment="1">
      <alignment horizontal="center"/>
    </xf>
    <xf numFmtId="0" fontId="7" fillId="3" borderId="1" xfId="1" quotePrefix="1" applyFill="1" applyAlignment="1">
      <alignment horizontal="center"/>
    </xf>
    <xf numFmtId="0" fontId="29" fillId="6" borderId="0" xfId="2" applyFont="1" applyFill="1" applyAlignment="1">
      <alignment horizontal="center"/>
    </xf>
    <xf numFmtId="0" fontId="9" fillId="5" borderId="0" xfId="2" quotePrefix="1" applyFont="1" applyFill="1" applyAlignment="1">
      <alignment horizontal="center"/>
    </xf>
    <xf numFmtId="0" fontId="9" fillId="7" borderId="0" xfId="2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8" fillId="3" borderId="0" xfId="2" applyAlignment="1">
      <alignment horizontal="center"/>
    </xf>
    <xf numFmtId="0" fontId="29" fillId="3" borderId="0" xfId="2" applyFont="1" applyAlignment="1">
      <alignment horizontal="center"/>
    </xf>
    <xf numFmtId="165" fontId="29" fillId="3" borderId="0" xfId="2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5" fillId="3" borderId="0" xfId="2" applyFont="1" applyAlignment="1">
      <alignment horizontal="center"/>
    </xf>
    <xf numFmtId="0" fontId="29" fillId="0" borderId="0" xfId="0" applyFont="1"/>
    <xf numFmtId="166" fontId="0" fillId="0" borderId="0" xfId="0" applyNumberFormat="1" applyAlignment="1">
      <alignment horizontal="right"/>
    </xf>
    <xf numFmtId="0" fontId="6" fillId="3" borderId="0" xfId="2" applyFont="1" applyAlignment="1">
      <alignment horizontal="center"/>
    </xf>
    <xf numFmtId="165" fontId="35" fillId="3" borderId="0" xfId="2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" fontId="29" fillId="3" borderId="0" xfId="2" applyNumberFormat="1" applyFont="1" applyAlignment="1">
      <alignment horizontal="center"/>
    </xf>
    <xf numFmtId="2" fontId="29" fillId="3" borderId="0" xfId="2" applyNumberFormat="1" applyFont="1" applyAlignment="1">
      <alignment horizontal="center"/>
    </xf>
    <xf numFmtId="167" fontId="33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33" fillId="3" borderId="0" xfId="2" applyFont="1" applyAlignment="1">
      <alignment horizontal="center"/>
    </xf>
    <xf numFmtId="0" fontId="38" fillId="0" borderId="0" xfId="0" applyFont="1"/>
    <xf numFmtId="167" fontId="0" fillId="0" borderId="0" xfId="0" applyNumberFormat="1" applyFont="1" applyAlignment="1">
      <alignment horizontal="center"/>
    </xf>
    <xf numFmtId="166" fontId="0" fillId="0" borderId="0" xfId="0" applyNumberFormat="1" applyFont="1"/>
    <xf numFmtId="16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quotePrefix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7" fontId="9" fillId="3" borderId="0" xfId="2" applyNumberFormat="1" applyFont="1" applyAlignment="1">
      <alignment horizontal="center"/>
    </xf>
    <xf numFmtId="166" fontId="29" fillId="3" borderId="0" xfId="2" applyNumberFormat="1" applyFont="1" applyAlignment="1">
      <alignment horizontal="center"/>
    </xf>
    <xf numFmtId="0" fontId="18" fillId="4" borderId="0" xfId="2" applyFont="1" applyFill="1"/>
    <xf numFmtId="2" fontId="42" fillId="3" borderId="0" xfId="2" applyNumberFormat="1" applyFont="1" applyAlignment="1">
      <alignment horizontal="center"/>
    </xf>
    <xf numFmtId="166" fontId="9" fillId="8" borderId="0" xfId="2" applyNumberFormat="1" applyFont="1" applyFill="1" applyAlignment="1">
      <alignment horizontal="center"/>
    </xf>
    <xf numFmtId="0" fontId="42" fillId="3" borderId="0" xfId="2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43" fillId="0" borderId="0" xfId="0" applyFont="1" applyAlignment="1">
      <alignment vertical="center"/>
    </xf>
    <xf numFmtId="0" fontId="25" fillId="0" borderId="0" xfId="194" applyAlignment="1">
      <alignment horizontal="left"/>
    </xf>
    <xf numFmtId="0" fontId="25" fillId="0" borderId="0" xfId="194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0" fontId="44" fillId="0" borderId="0" xfId="0" applyFont="1"/>
    <xf numFmtId="0" fontId="6" fillId="0" borderId="0" xfId="0" applyFont="1" applyAlignment="1">
      <alignment horizontal="left"/>
    </xf>
    <xf numFmtId="0" fontId="9" fillId="4" borderId="0" xfId="2" applyFont="1" applyFill="1" applyAlignment="1">
      <alignment horizontal="left"/>
    </xf>
    <xf numFmtId="0" fontId="9" fillId="4" borderId="0" xfId="2" applyFont="1" applyFill="1" applyAlignment="1">
      <alignment horizontal="center"/>
    </xf>
    <xf numFmtId="0" fontId="9" fillId="4" borderId="0" xfId="2" applyFont="1" applyFill="1"/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9" fillId="0" borderId="0" xfId="2" applyFont="1" applyFill="1" applyAlignment="1">
      <alignment horizontal="center"/>
    </xf>
    <xf numFmtId="0" fontId="0" fillId="0" borderId="0" xfId="0" applyFill="1"/>
    <xf numFmtId="0" fontId="37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3" fontId="0" fillId="0" borderId="0" xfId="0" applyNumberFormat="1" applyFill="1"/>
    <xf numFmtId="0" fontId="18" fillId="0" borderId="0" xfId="0" applyFont="1" applyFill="1"/>
    <xf numFmtId="166" fontId="46" fillId="3" borderId="0" xfId="2" applyNumberFormat="1" applyFont="1" applyAlignment="1">
      <alignment horizontal="center"/>
    </xf>
    <xf numFmtId="166" fontId="47" fillId="3" borderId="0" xfId="2" applyNumberFormat="1" applyFont="1" applyAlignment="1">
      <alignment horizontal="center"/>
    </xf>
    <xf numFmtId="0" fontId="50" fillId="0" borderId="0" xfId="0" applyFont="1"/>
    <xf numFmtId="166" fontId="7" fillId="3" borderId="0" xfId="2" applyNumberFormat="1" applyFont="1" applyAlignment="1">
      <alignment horizontal="center"/>
    </xf>
  </cellXfs>
  <cellStyles count="195">
    <cellStyle name="Comma" xfId="3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Good" xfId="2" builtinId="26"/>
    <cellStyle name="Heading 3" xfId="1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/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95DCA5-25D7-48F4-B849-9FC4EDA9962F}"/>
            </a:ext>
          </a:extLst>
        </xdr:cNvPr>
        <xdr:cNvSpPr/>
      </xdr:nvSpPr>
      <xdr:spPr>
        <a:xfrm>
          <a:off x="3209925" y="9326880"/>
          <a:ext cx="628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4BB2-83FF-4180-9C54-11C2DC53ECB3}">
  <dimension ref="A1:AK252"/>
  <sheetViews>
    <sheetView tabSelected="1" topLeftCell="A3" workbookViewId="0">
      <pane xSplit="1" ySplit="3" topLeftCell="J6" activePane="bottomRight" state="frozen"/>
      <selection activeCell="A3" sqref="A3"/>
      <selection pane="topRight" activeCell="B3" sqref="B3"/>
      <selection pane="bottomLeft" activeCell="A4" sqref="A4"/>
      <selection pane="bottomRight" activeCell="A10" sqref="A10"/>
    </sheetView>
  </sheetViews>
  <sheetFormatPr defaultColWidth="8.83984375" defaultRowHeight="14.4" outlineLevelCol="1"/>
  <cols>
    <col min="1" max="1" width="19.83984375" customWidth="1"/>
    <col min="2" max="2" width="52" customWidth="1" outlineLevel="1"/>
    <col min="3" max="3" width="13.83984375" customWidth="1" outlineLevel="1"/>
    <col min="4" max="4" width="15.41796875" customWidth="1"/>
    <col min="5" max="5" width="4.41796875" style="57" customWidth="1"/>
    <col min="6" max="6" width="5.26171875" style="57" customWidth="1"/>
    <col min="7" max="7" width="8.83984375" style="57" customWidth="1"/>
    <col min="8" max="9" width="9.15625" style="94" customWidth="1" outlineLevel="1"/>
    <col min="10" max="10" width="9.68359375" style="94" customWidth="1" outlineLevel="1"/>
    <col min="11" max="17" width="9.15625" style="92" customWidth="1"/>
    <col min="18" max="20" width="9.15625" style="92" customWidth="1" outlineLevel="1"/>
    <col min="21" max="21" width="9.15625" style="8" customWidth="1" outlineLevel="1"/>
    <col min="22" max="22" width="9.15625" style="8" customWidth="1"/>
    <col min="23" max="23" width="10.68359375" style="8" customWidth="1"/>
    <col min="24" max="26" width="9.15625" style="93" customWidth="1"/>
    <col min="27" max="28" width="9.15625" style="92" customWidth="1"/>
    <col min="29" max="31" width="9.15625" style="91" customWidth="1"/>
    <col min="32" max="34" width="9.15625" style="90" customWidth="1"/>
  </cols>
  <sheetData>
    <row r="1" spans="1:37" hidden="1"/>
    <row r="2" spans="1:37" hidden="1">
      <c r="A2" t="s">
        <v>1394</v>
      </c>
      <c r="AC2" s="122"/>
      <c r="AD2" s="122"/>
      <c r="AE2" s="122"/>
      <c r="AF2" s="122"/>
      <c r="AG2" s="122"/>
      <c r="AH2" s="122"/>
    </row>
    <row r="3" spans="1:37" ht="15">
      <c r="A3" s="123" t="s">
        <v>1393</v>
      </c>
      <c r="U3" s="92"/>
      <c r="V3" s="92"/>
      <c r="W3" s="92"/>
      <c r="X3" s="8"/>
      <c r="Y3" s="8"/>
      <c r="Z3" s="8"/>
      <c r="AA3" s="93"/>
      <c r="AB3" s="93"/>
      <c r="AC3" s="93"/>
      <c r="AD3" s="92"/>
      <c r="AE3" s="92"/>
      <c r="AF3" s="122"/>
      <c r="AG3" s="122"/>
      <c r="AH3" s="122"/>
      <c r="AI3" s="122"/>
      <c r="AJ3" s="122"/>
      <c r="AK3" s="122"/>
    </row>
    <row r="4" spans="1:37" ht="15">
      <c r="A4" s="123" t="s">
        <v>1392</v>
      </c>
      <c r="U4" s="92"/>
      <c r="V4" s="92"/>
      <c r="W4" s="92"/>
      <c r="X4" s="8"/>
      <c r="Y4" s="8"/>
      <c r="Z4" s="8"/>
      <c r="AA4" s="93"/>
      <c r="AB4" s="93"/>
      <c r="AC4" s="93"/>
      <c r="AD4" s="92"/>
      <c r="AE4" s="92"/>
      <c r="AF4" s="122"/>
      <c r="AG4" s="122"/>
      <c r="AH4" s="122"/>
      <c r="AI4" s="122"/>
      <c r="AJ4" s="122"/>
      <c r="AK4" s="122"/>
    </row>
    <row r="5" spans="1:37" s="22" customFormat="1" ht="17.7">
      <c r="A5" s="22" t="s">
        <v>242</v>
      </c>
      <c r="B5" s="22" t="s">
        <v>412</v>
      </c>
      <c r="C5" s="22" t="s">
        <v>241</v>
      </c>
      <c r="D5" s="22" t="s">
        <v>610</v>
      </c>
      <c r="E5" s="22" t="s">
        <v>703</v>
      </c>
      <c r="F5" s="22" t="s">
        <v>704</v>
      </c>
      <c r="G5" s="121" t="s">
        <v>1391</v>
      </c>
      <c r="H5" s="95">
        <v>11</v>
      </c>
      <c r="I5" s="95">
        <v>44</v>
      </c>
      <c r="J5" s="95">
        <v>12</v>
      </c>
      <c r="K5" s="26" t="s">
        <v>121</v>
      </c>
      <c r="L5" s="26" t="s">
        <v>1390</v>
      </c>
      <c r="M5" s="26" t="s">
        <v>1389</v>
      </c>
      <c r="N5" s="26" t="s">
        <v>122</v>
      </c>
      <c r="O5" s="26" t="s">
        <v>1388</v>
      </c>
      <c r="P5" s="26" t="s">
        <v>1387</v>
      </c>
      <c r="Q5" s="26" t="s">
        <v>1386</v>
      </c>
      <c r="R5" s="26" t="s">
        <v>208</v>
      </c>
      <c r="S5" s="143" t="s">
        <v>1385</v>
      </c>
      <c r="T5" s="26" t="s">
        <v>1384</v>
      </c>
      <c r="U5" s="26" t="s">
        <v>1383</v>
      </c>
      <c r="V5" s="26" t="s">
        <v>1382</v>
      </c>
      <c r="W5" s="26" t="s">
        <v>1381</v>
      </c>
      <c r="X5" s="26" t="s">
        <v>1380</v>
      </c>
      <c r="Y5" s="26" t="s">
        <v>1379</v>
      </c>
      <c r="Z5" s="26" t="s">
        <v>1378</v>
      </c>
      <c r="AA5" s="116" t="s">
        <v>1377</v>
      </c>
      <c r="AB5" s="116" t="s">
        <v>1376</v>
      </c>
      <c r="AC5" s="116" t="s">
        <v>1375</v>
      </c>
      <c r="AD5" s="120" t="s">
        <v>1374</v>
      </c>
      <c r="AE5" s="120"/>
      <c r="AF5" s="119" t="s">
        <v>1373</v>
      </c>
      <c r="AG5" s="119" t="s">
        <v>1372</v>
      </c>
      <c r="AH5" s="27"/>
      <c r="AI5" s="27" t="s">
        <v>1371</v>
      </c>
      <c r="AJ5" s="27" t="s">
        <v>1369</v>
      </c>
      <c r="AK5" s="27" t="s">
        <v>1370</v>
      </c>
    </row>
    <row r="6" spans="1:37" s="20" customFormat="1" ht="16.5">
      <c r="A6" s="118" t="s">
        <v>592</v>
      </c>
      <c r="E6" s="22"/>
      <c r="F6" s="22"/>
      <c r="G6" s="22" t="s">
        <v>1368</v>
      </c>
      <c r="H6" s="95" t="s">
        <v>1367</v>
      </c>
      <c r="I6" s="95" t="s">
        <v>1367</v>
      </c>
      <c r="J6" s="95" t="s">
        <v>1367</v>
      </c>
      <c r="K6" s="26" t="s">
        <v>1367</v>
      </c>
      <c r="L6" s="26" t="s">
        <v>1367</v>
      </c>
      <c r="M6" s="26" t="s">
        <v>1367</v>
      </c>
      <c r="N6" s="26" t="s">
        <v>1367</v>
      </c>
      <c r="O6" s="26" t="s">
        <v>1367</v>
      </c>
      <c r="P6" s="26" t="s">
        <v>1367</v>
      </c>
      <c r="Q6" s="26" t="s">
        <v>1367</v>
      </c>
      <c r="R6" s="26" t="s">
        <v>616</v>
      </c>
      <c r="S6" s="26" t="s">
        <v>616</v>
      </c>
      <c r="T6" s="26" t="s">
        <v>1367</v>
      </c>
      <c r="U6" s="26" t="s">
        <v>1366</v>
      </c>
      <c r="V6" s="26" t="s">
        <v>1366</v>
      </c>
      <c r="W6" s="26" t="s">
        <v>1366</v>
      </c>
      <c r="X6" s="26" t="s">
        <v>616</v>
      </c>
      <c r="Y6" s="26" t="s">
        <v>616</v>
      </c>
      <c r="Z6" s="26" t="s">
        <v>616</v>
      </c>
      <c r="AA6" s="116" t="s">
        <v>616</v>
      </c>
      <c r="AB6" s="116" t="s">
        <v>616</v>
      </c>
      <c r="AC6" s="116" t="s">
        <v>616</v>
      </c>
      <c r="AD6" s="26" t="s">
        <v>1365</v>
      </c>
      <c r="AE6" s="26"/>
      <c r="AF6" s="117" t="s">
        <v>616</v>
      </c>
      <c r="AG6" s="117" t="s">
        <v>616</v>
      </c>
      <c r="AH6" s="117"/>
      <c r="AI6" s="116" t="s">
        <v>1364</v>
      </c>
      <c r="AJ6" s="116" t="s">
        <v>1364</v>
      </c>
      <c r="AK6" s="116" t="s">
        <v>1364</v>
      </c>
    </row>
    <row r="7" spans="1:37">
      <c r="A7" t="s">
        <v>1362</v>
      </c>
      <c r="B7" s="11" t="s">
        <v>1363</v>
      </c>
      <c r="C7" t="s">
        <v>591</v>
      </c>
      <c r="D7" t="s">
        <v>1234</v>
      </c>
      <c r="E7" s="57">
        <v>7</v>
      </c>
      <c r="F7" s="57" t="s">
        <v>1278</v>
      </c>
      <c r="G7" s="91">
        <v>3.5670000000000002</v>
      </c>
      <c r="H7" s="95">
        <v>297</v>
      </c>
      <c r="I7" s="95">
        <v>93</v>
      </c>
      <c r="J7" s="95">
        <v>108</v>
      </c>
      <c r="K7" s="92">
        <f t="shared" ref="K7:K50" si="0">(H7+2*J7)/3</f>
        <v>171</v>
      </c>
      <c r="L7" s="92">
        <f t="shared" ref="L7:L50" si="1">(5*(H7-J7)*I7)/(4*I7 + 3*(H7-J7))</f>
        <v>93.594249201277961</v>
      </c>
      <c r="M7" s="92">
        <f t="shared" ref="M7:M50" si="2">(H7-J7+3*I7)/5</f>
        <v>93.6</v>
      </c>
      <c r="N7" s="92">
        <f t="shared" ref="N7:N50" si="3">0.5*(M7+L7)</f>
        <v>93.597124600638978</v>
      </c>
      <c r="O7" s="92">
        <f t="shared" ref="O7:O45" si="4">0.5*(H7-J7)+3/(5/(I7-0.5*(H7-J7))-4*(-3*(K7+(H7-J7))/(5*0.5*(H7-J7)*(3*K7+2*(H7-J7)))))</f>
        <v>93.597220881983986</v>
      </c>
      <c r="P7" s="92">
        <f t="shared" ref="P7:P45" si="5">I7+2/(5/(0.5*(H7-J7)-I7)-6*(-(3*(K7+2*I7))/(5*I7*(3*K7+4*I7))))</f>
        <v>93.597202389244913</v>
      </c>
      <c r="Q7" s="92">
        <f t="shared" ref="Q7:Q50" si="6">(O7+P7)/2</f>
        <v>93.597211635614457</v>
      </c>
      <c r="R7" s="92">
        <f t="shared" ref="R7:R50" si="7">K7/N7</f>
        <v>1.8269792018678381</v>
      </c>
      <c r="S7" s="92">
        <f t="shared" ref="S7:S50" si="8">(3*K7-2*N7)/(2*(3*K7+N7))</f>
        <v>0.26855200724304495</v>
      </c>
      <c r="T7" s="92">
        <f>9*N7*K7/(N7+3*K7)</f>
        <v>237.46564056863588</v>
      </c>
      <c r="U7" s="92">
        <f t="shared" ref="U7:U50" si="9">SQRT((K7+4/3*N7)/G7)</f>
        <v>9.1063579137377264</v>
      </c>
      <c r="V7" s="92">
        <f t="shared" ref="V7:V50" si="10">SQRT(K7/G7)</f>
        <v>6.9238316640203275</v>
      </c>
      <c r="W7" s="92">
        <f t="shared" ref="W7:W50" si="11">SQRT(N7/G7)</f>
        <v>5.1224732460065052</v>
      </c>
      <c r="X7" s="8">
        <f t="shared" ref="X7:X50" si="12">SQRT((K7/N7) +4/3)</f>
        <v>1.7777267886829999</v>
      </c>
      <c r="Y7" s="8">
        <f t="shared" ref="Y7:Y50" si="13">J7/H7</f>
        <v>0.36363636363636365</v>
      </c>
      <c r="Z7" s="8">
        <f t="shared" ref="Z7:Z50" si="14">I7/H7</f>
        <v>0.31313131313131315</v>
      </c>
      <c r="AA7" s="93">
        <f t="shared" ref="AA7:AA50" si="15">2*I7/(H7-J7)</f>
        <v>0.98412698412698407</v>
      </c>
      <c r="AB7" s="93">
        <f t="shared" ref="AB7:AB50" si="16">5*M7/L7 +1 -6</f>
        <v>3.0721966205771167E-4</v>
      </c>
      <c r="AC7" s="93">
        <f t="shared" ref="AC7:AC50" si="17">SQRT(5)*LN(M7/L7)</f>
        <v>1.3738858887284906E-4</v>
      </c>
      <c r="AD7" s="92">
        <f t="shared" ref="AD7:AD50" si="18">100*(M7-L7)/(M7+L7)</f>
        <v>3.07210223955644E-3</v>
      </c>
      <c r="AE7" s="92"/>
      <c r="AF7" s="91">
        <f t="shared" ref="AF7:AF50" si="19">-(2*H7*I7-(H7-J7)*(H7+2*J7))/(2*H7*I7+(H7-J7)*(H7+2*J7))</f>
        <v>0.27408195848855776</v>
      </c>
      <c r="AG7" s="91">
        <f t="shared" ref="AG7:AG50" si="20">(4*J7*I7)/(2*H7*I7+(H7-J7)*(H7+2*J7))</f>
        <v>0.26397019691325174</v>
      </c>
      <c r="AH7" s="91"/>
      <c r="AI7" s="90">
        <f t="shared" ref="AI7:AI50" si="21">(H7+J7)/((H7-J7)*(H7+2*J7))</f>
        <v>4.1771094402673348E-3</v>
      </c>
      <c r="AJ7" s="90">
        <f t="shared" ref="AJ7:AJ50" si="22">1/I7</f>
        <v>1.0752688172043012E-2</v>
      </c>
      <c r="AK7" s="90">
        <f t="shared" ref="AK7:AK50" si="23">-J7/((H7-J7)*(H7+2*J7))</f>
        <v>-1.1138958507379559E-3</v>
      </c>
    </row>
    <row r="8" spans="1:37">
      <c r="A8" t="s">
        <v>1362</v>
      </c>
      <c r="B8" s="11" t="s">
        <v>1361</v>
      </c>
      <c r="C8" t="s">
        <v>591</v>
      </c>
      <c r="D8" t="s">
        <v>1234</v>
      </c>
      <c r="E8" s="57">
        <v>7</v>
      </c>
      <c r="F8" s="57" t="s">
        <v>1278</v>
      </c>
      <c r="G8" s="69">
        <v>3.5670000000000002</v>
      </c>
      <c r="H8" s="95">
        <v>296.2</v>
      </c>
      <c r="I8" s="95">
        <v>91.6</v>
      </c>
      <c r="J8" s="95">
        <v>111.1</v>
      </c>
      <c r="K8" s="92">
        <f t="shared" si="0"/>
        <v>172.79999999999998</v>
      </c>
      <c r="L8" s="92">
        <f t="shared" si="1"/>
        <v>91.977649994575231</v>
      </c>
      <c r="M8" s="92">
        <f t="shared" si="2"/>
        <v>91.97999999999999</v>
      </c>
      <c r="N8" s="92">
        <f t="shared" si="3"/>
        <v>91.978824997287603</v>
      </c>
      <c r="O8" s="92">
        <f t="shared" si="4"/>
        <v>91.978866604813319</v>
      </c>
      <c r="P8" s="92">
        <f t="shared" si="5"/>
        <v>91.978861727490639</v>
      </c>
      <c r="Q8" s="92">
        <f t="shared" si="6"/>
        <v>91.978864166151979</v>
      </c>
      <c r="R8" s="92">
        <f t="shared" si="7"/>
        <v>1.8786932753826302</v>
      </c>
      <c r="S8" s="92">
        <f t="shared" si="8"/>
        <v>0.27396293605607219</v>
      </c>
      <c r="T8" s="92">
        <f t="shared" ref="T8:T50" si="24">9*N8*K8/(N8+3*K8)</f>
        <v>234.35522789706434</v>
      </c>
      <c r="U8" s="92">
        <f t="shared" si="9"/>
        <v>9.1008496805961805</v>
      </c>
      <c r="V8" s="92">
        <f t="shared" si="10"/>
        <v>6.9601774867888979</v>
      </c>
      <c r="W8" s="92">
        <f t="shared" si="11"/>
        <v>5.0779962284254845</v>
      </c>
      <c r="X8" s="8">
        <f t="shared" si="12"/>
        <v>1.7922127688184692</v>
      </c>
      <c r="Y8" s="8">
        <f t="shared" si="13"/>
        <v>0.37508440243079</v>
      </c>
      <c r="Z8" s="8">
        <f t="shared" si="14"/>
        <v>0.30925050641458474</v>
      </c>
      <c r="AA8" s="93">
        <f t="shared" si="15"/>
        <v>0.98973527822798479</v>
      </c>
      <c r="AB8" s="93">
        <f t="shared" si="16"/>
        <v>1.2774872074405863E-4</v>
      </c>
      <c r="AC8" s="93">
        <f t="shared" si="17"/>
        <v>5.7130234895639442E-5</v>
      </c>
      <c r="AD8" s="92">
        <f t="shared" si="18"/>
        <v>1.2774708879073314E-3</v>
      </c>
      <c r="AE8" s="92"/>
      <c r="AF8" s="91">
        <f t="shared" si="19"/>
        <v>0.27754019979273026</v>
      </c>
      <c r="AG8" s="91">
        <f t="shared" si="20"/>
        <v>0.27098340244101171</v>
      </c>
      <c r="AH8" s="91"/>
      <c r="AI8" s="90">
        <f t="shared" si="21"/>
        <v>4.2446608773369079E-3</v>
      </c>
      <c r="AJ8" s="90">
        <f t="shared" si="22"/>
        <v>1.0917030567685591E-2</v>
      </c>
      <c r="AK8" s="90">
        <f t="shared" si="23"/>
        <v>-1.1578242658289481E-3</v>
      </c>
    </row>
    <row r="9" spans="1:37">
      <c r="A9" t="s">
        <v>1350</v>
      </c>
      <c r="B9" s="11" t="s">
        <v>1360</v>
      </c>
      <c r="C9" t="s">
        <v>591</v>
      </c>
      <c r="D9" t="s">
        <v>1234</v>
      </c>
      <c r="E9" s="57">
        <v>7</v>
      </c>
      <c r="F9" s="57" t="s">
        <v>1278</v>
      </c>
      <c r="G9" s="69">
        <v>3.609</v>
      </c>
      <c r="H9" s="95">
        <v>297.60000000000002</v>
      </c>
      <c r="I9" s="95">
        <v>92.7</v>
      </c>
      <c r="J9" s="95">
        <v>109.8</v>
      </c>
      <c r="K9" s="92">
        <f t="shared" si="0"/>
        <v>172.4</v>
      </c>
      <c r="L9" s="92">
        <f t="shared" si="1"/>
        <v>93.176300578034684</v>
      </c>
      <c r="M9" s="92">
        <f t="shared" si="2"/>
        <v>93.18</v>
      </c>
      <c r="N9" s="92">
        <f t="shared" si="3"/>
        <v>93.178150289017339</v>
      </c>
      <c r="O9" s="92">
        <f t="shared" si="4"/>
        <v>93.178213697301643</v>
      </c>
      <c r="P9" s="92">
        <f t="shared" si="5"/>
        <v>93.17820413080031</v>
      </c>
      <c r="Q9" s="92">
        <f t="shared" si="6"/>
        <v>93.17820891405097</v>
      </c>
      <c r="R9" s="92">
        <f t="shared" si="7"/>
        <v>1.8502191711818123</v>
      </c>
      <c r="S9" s="92">
        <f t="shared" si="8"/>
        <v>0.27101535274920069</v>
      </c>
      <c r="T9" s="92">
        <f t="shared" si="24"/>
        <v>236.86171911622679</v>
      </c>
      <c r="U9" s="92">
        <f t="shared" si="9"/>
        <v>9.0660813114593939</v>
      </c>
      <c r="V9" s="92">
        <f t="shared" si="10"/>
        <v>6.9115457913425073</v>
      </c>
      <c r="W9" s="92">
        <f t="shared" si="11"/>
        <v>5.0811685506511903</v>
      </c>
      <c r="X9" s="8">
        <f t="shared" si="12"/>
        <v>1.7842512447845302</v>
      </c>
      <c r="Y9" s="8">
        <f t="shared" si="13"/>
        <v>0.36895161290322576</v>
      </c>
      <c r="Z9" s="8">
        <f t="shared" si="14"/>
        <v>0.31149193548387094</v>
      </c>
      <c r="AA9" s="93">
        <f t="shared" si="15"/>
        <v>0.98722044728434499</v>
      </c>
      <c r="AB9" s="93">
        <f t="shared" si="16"/>
        <v>1.9851732373865616E-4</v>
      </c>
      <c r="AC9" s="93">
        <f t="shared" si="17"/>
        <v>8.8777883734967618E-5</v>
      </c>
      <c r="AD9" s="92">
        <f t="shared" si="18"/>
        <v>1.9851338290401751E-3</v>
      </c>
      <c r="AE9" s="92"/>
      <c r="AF9" s="91">
        <f t="shared" si="19"/>
        <v>0.27546741673954667</v>
      </c>
      <c r="AG9" s="91">
        <f t="shared" si="20"/>
        <v>0.26731746519488503</v>
      </c>
      <c r="AH9" s="91"/>
      <c r="AI9" s="90">
        <f t="shared" si="21"/>
        <v>4.1943717584733715E-3</v>
      </c>
      <c r="AJ9" s="90">
        <f t="shared" si="22"/>
        <v>1.0787486515641855E-2</v>
      </c>
      <c r="AK9" s="90">
        <f t="shared" si="23"/>
        <v>-1.1304418730495242E-3</v>
      </c>
    </row>
    <row r="10" spans="1:37">
      <c r="A10" t="s">
        <v>1348</v>
      </c>
      <c r="B10" s="11" t="s">
        <v>1359</v>
      </c>
      <c r="C10" t="s">
        <v>591</v>
      </c>
      <c r="D10" t="s">
        <v>1234</v>
      </c>
      <c r="E10" s="57">
        <v>7</v>
      </c>
      <c r="F10" s="57" t="s">
        <v>1278</v>
      </c>
      <c r="G10" s="69">
        <v>3.7040000000000002</v>
      </c>
      <c r="H10" s="95">
        <v>295.60000000000002</v>
      </c>
      <c r="I10" s="95">
        <v>91.6</v>
      </c>
      <c r="J10" s="95">
        <v>107.2</v>
      </c>
      <c r="K10" s="92">
        <f t="shared" si="0"/>
        <v>170</v>
      </c>
      <c r="L10" s="92">
        <f t="shared" si="1"/>
        <v>92.622584800343503</v>
      </c>
      <c r="M10" s="92">
        <f t="shared" si="2"/>
        <v>92.64</v>
      </c>
      <c r="N10" s="92">
        <f t="shared" si="3"/>
        <v>92.631292400171759</v>
      </c>
      <c r="O10" s="92">
        <f t="shared" si="4"/>
        <v>92.631602264228647</v>
      </c>
      <c r="P10" s="92">
        <f t="shared" si="5"/>
        <v>92.631504288915778</v>
      </c>
      <c r="Q10" s="92">
        <f t="shared" si="6"/>
        <v>92.63155327657222</v>
      </c>
      <c r="R10" s="92">
        <f t="shared" si="7"/>
        <v>1.8352329498501607</v>
      </c>
      <c r="S10" s="92">
        <f t="shared" si="8"/>
        <v>0.26943291801715596</v>
      </c>
      <c r="T10" s="92">
        <f t="shared" si="24"/>
        <v>235.17842362250087</v>
      </c>
      <c r="U10" s="92">
        <f t="shared" si="9"/>
        <v>8.9017372456157471</v>
      </c>
      <c r="V10" s="92">
        <f t="shared" si="10"/>
        <v>6.7746828924855595</v>
      </c>
      <c r="W10" s="92">
        <f t="shared" si="11"/>
        <v>5.000844755857214</v>
      </c>
      <c r="X10" s="8">
        <f t="shared" si="12"/>
        <v>1.7800467081465852</v>
      </c>
      <c r="Y10" s="8">
        <f t="shared" si="13"/>
        <v>0.36265223274695535</v>
      </c>
      <c r="Z10" s="8">
        <f t="shared" si="14"/>
        <v>0.30987821380243569</v>
      </c>
      <c r="AA10" s="93">
        <f t="shared" si="15"/>
        <v>0.97239915074309957</v>
      </c>
      <c r="AB10" s="93">
        <f t="shared" si="16"/>
        <v>9.401162628979165E-4</v>
      </c>
      <c r="AC10" s="93">
        <f t="shared" si="17"/>
        <v>4.203932535038038E-4</v>
      </c>
      <c r="AD10" s="92">
        <f t="shared" si="18"/>
        <v>9.400278893477363E-3</v>
      </c>
      <c r="AE10" s="92"/>
      <c r="AF10" s="91">
        <f t="shared" si="19"/>
        <v>0.27909119082585815</v>
      </c>
      <c r="AG10" s="91">
        <f t="shared" si="20"/>
        <v>0.26143918925395132</v>
      </c>
      <c r="AH10" s="91"/>
      <c r="AI10" s="90">
        <f t="shared" si="21"/>
        <v>4.1921651887931385E-3</v>
      </c>
      <c r="AJ10" s="90">
        <f t="shared" si="22"/>
        <v>1.0917030567685591E-2</v>
      </c>
      <c r="AK10" s="90">
        <f t="shared" si="23"/>
        <v>-1.1156904375338244E-3</v>
      </c>
    </row>
    <row r="11" spans="1:37">
      <c r="A11" t="s">
        <v>1348</v>
      </c>
      <c r="B11" s="11" t="s">
        <v>1358</v>
      </c>
      <c r="C11" t="s">
        <v>591</v>
      </c>
      <c r="D11" t="s">
        <v>1234</v>
      </c>
      <c r="E11" s="57">
        <v>7</v>
      </c>
      <c r="F11" s="57" t="s">
        <v>1278</v>
      </c>
      <c r="G11" s="69">
        <v>3.7050000000000001</v>
      </c>
      <c r="H11" s="95">
        <v>296.89999999999998</v>
      </c>
      <c r="I11" s="95">
        <v>91.7</v>
      </c>
      <c r="J11" s="95">
        <v>108.5</v>
      </c>
      <c r="K11" s="92">
        <f t="shared" si="0"/>
        <v>171.29999999999998</v>
      </c>
      <c r="L11" s="92">
        <f t="shared" si="1"/>
        <v>92.683905579399138</v>
      </c>
      <c r="M11" s="92">
        <f t="shared" si="2"/>
        <v>92.7</v>
      </c>
      <c r="N11" s="92">
        <f t="shared" si="3"/>
        <v>92.69195278969957</v>
      </c>
      <c r="O11" s="92">
        <f t="shared" si="4"/>
        <v>92.692243414881347</v>
      </c>
      <c r="P11" s="92">
        <f t="shared" si="5"/>
        <v>92.692156380971923</v>
      </c>
      <c r="Q11" s="92">
        <f t="shared" si="6"/>
        <v>92.692199897926628</v>
      </c>
      <c r="R11" s="92">
        <f t="shared" si="7"/>
        <v>1.8480568684171228</v>
      </c>
      <c r="S11" s="92">
        <f t="shared" si="8"/>
        <v>0.2707883717462492</v>
      </c>
      <c r="T11" s="92">
        <f t="shared" si="24"/>
        <v>235.58371151920502</v>
      </c>
      <c r="U11" s="92">
        <f t="shared" si="9"/>
        <v>8.9214486333941547</v>
      </c>
      <c r="V11" s="92">
        <f t="shared" si="10"/>
        <v>6.7996189462178815</v>
      </c>
      <c r="W11" s="92">
        <f t="shared" si="11"/>
        <v>5.0018067663989125</v>
      </c>
      <c r="X11" s="8">
        <f t="shared" si="12"/>
        <v>1.7836452006356129</v>
      </c>
      <c r="Y11" s="8">
        <f t="shared" si="13"/>
        <v>0.36544291007073093</v>
      </c>
      <c r="Z11" s="8">
        <f t="shared" si="14"/>
        <v>0.30885820141461773</v>
      </c>
      <c r="AA11" s="93">
        <f t="shared" si="15"/>
        <v>0.9734607218683653</v>
      </c>
      <c r="AB11" s="93">
        <f t="shared" si="16"/>
        <v>8.6824246886507694E-4</v>
      </c>
      <c r="AC11" s="93">
        <f t="shared" si="17"/>
        <v>3.8825612719679879E-4</v>
      </c>
      <c r="AD11" s="92">
        <f t="shared" si="18"/>
        <v>8.6816709091134692E-3</v>
      </c>
      <c r="AE11" s="92"/>
      <c r="AF11" s="91">
        <f t="shared" si="19"/>
        <v>0.28007693781366871</v>
      </c>
      <c r="AG11" s="91">
        <f t="shared" si="20"/>
        <v>0.26309077887240467</v>
      </c>
      <c r="AH11" s="91"/>
      <c r="AI11" s="90">
        <f t="shared" si="21"/>
        <v>4.1872050416675455E-3</v>
      </c>
      <c r="AJ11" s="90">
        <f t="shared" si="22"/>
        <v>1.0905125408942203E-2</v>
      </c>
      <c r="AK11" s="90">
        <f t="shared" si="23"/>
        <v>-1.1206505846594196E-3</v>
      </c>
    </row>
    <row r="12" spans="1:37">
      <c r="A12" t="s">
        <v>1350</v>
      </c>
      <c r="B12" s="11" t="s">
        <v>1357</v>
      </c>
      <c r="C12" t="s">
        <v>591</v>
      </c>
      <c r="D12" t="s">
        <v>1234</v>
      </c>
      <c r="E12" s="57">
        <v>7</v>
      </c>
      <c r="F12" s="57" t="s">
        <v>1278</v>
      </c>
      <c r="G12" s="69">
        <v>3.6989999999999998</v>
      </c>
      <c r="H12" s="95">
        <v>297.5</v>
      </c>
      <c r="I12" s="95">
        <v>90.7</v>
      </c>
      <c r="J12" s="95">
        <v>108.7</v>
      </c>
      <c r="K12" s="92">
        <f t="shared" si="0"/>
        <v>171.63333333333333</v>
      </c>
      <c r="L12" s="92">
        <f t="shared" si="1"/>
        <v>92.144640551011619</v>
      </c>
      <c r="M12" s="92">
        <f t="shared" si="2"/>
        <v>92.18</v>
      </c>
      <c r="N12" s="92">
        <f t="shared" si="3"/>
        <v>92.162320275505806</v>
      </c>
      <c r="O12" s="92">
        <f t="shared" si="4"/>
        <v>92.163003756461833</v>
      </c>
      <c r="P12" s="92">
        <f t="shared" si="5"/>
        <v>92.162719449065818</v>
      </c>
      <c r="Q12" s="92">
        <f t="shared" si="6"/>
        <v>92.162861602763826</v>
      </c>
      <c r="R12" s="92">
        <f t="shared" si="7"/>
        <v>1.8622939702501036</v>
      </c>
      <c r="S12" s="92">
        <f t="shared" si="8"/>
        <v>0.27227464825931041</v>
      </c>
      <c r="T12" s="92">
        <f t="shared" si="24"/>
        <v>234.51156722256218</v>
      </c>
      <c r="U12" s="92">
        <f t="shared" si="9"/>
        <v>8.9230349882762781</v>
      </c>
      <c r="V12" s="92">
        <f t="shared" si="10"/>
        <v>6.8117492546660676</v>
      </c>
      <c r="W12" s="92">
        <f t="shared" si="11"/>
        <v>4.9915397544414271</v>
      </c>
      <c r="X12" s="8">
        <f t="shared" si="12"/>
        <v>1.7876317583841022</v>
      </c>
      <c r="Y12" s="8">
        <f t="shared" si="13"/>
        <v>0.36537815126050421</v>
      </c>
      <c r="Z12" s="8">
        <f t="shared" si="14"/>
        <v>0.30487394957983194</v>
      </c>
      <c r="AA12" s="93">
        <f t="shared" si="15"/>
        <v>0.96080508474576265</v>
      </c>
      <c r="AB12" s="93">
        <f t="shared" si="16"/>
        <v>1.918692654122367E-3</v>
      </c>
      <c r="AC12" s="93">
        <f t="shared" si="17"/>
        <v>8.5790084622937616E-4</v>
      </c>
      <c r="AD12" s="92">
        <f t="shared" si="18"/>
        <v>1.9183245865927411E-2</v>
      </c>
      <c r="AE12" s="92"/>
      <c r="AF12" s="91">
        <f t="shared" si="19"/>
        <v>0.28606117676443421</v>
      </c>
      <c r="AG12" s="91">
        <f t="shared" si="20"/>
        <v>0.26085764734691091</v>
      </c>
      <c r="AH12" s="91"/>
      <c r="AI12" s="90">
        <f t="shared" si="21"/>
        <v>4.1784483411292633E-3</v>
      </c>
      <c r="AJ12" s="90">
        <f t="shared" si="22"/>
        <v>1.1025358324145534E-2</v>
      </c>
      <c r="AK12" s="90">
        <f t="shared" si="23"/>
        <v>-1.1181618283622624E-3</v>
      </c>
    </row>
    <row r="13" spans="1:37">
      <c r="A13" t="s">
        <v>1356</v>
      </c>
      <c r="B13" s="11" t="s">
        <v>1355</v>
      </c>
      <c r="C13" t="s">
        <v>591</v>
      </c>
      <c r="D13" t="s">
        <v>1234</v>
      </c>
      <c r="E13" s="57">
        <v>7</v>
      </c>
      <c r="F13" s="57" t="s">
        <v>1278</v>
      </c>
      <c r="G13" s="69">
        <v>3.7229999999999999</v>
      </c>
      <c r="H13" s="96">
        <v>296</v>
      </c>
      <c r="I13" s="95">
        <v>90.8</v>
      </c>
      <c r="J13" s="95">
        <v>108.2</v>
      </c>
      <c r="K13" s="92">
        <f t="shared" si="0"/>
        <v>170.79999999999998</v>
      </c>
      <c r="L13" s="92">
        <f t="shared" si="1"/>
        <v>92.015109000647513</v>
      </c>
      <c r="M13" s="92">
        <f t="shared" si="2"/>
        <v>92.039999999999992</v>
      </c>
      <c r="N13" s="92">
        <f t="shared" si="3"/>
        <v>92.02755450032376</v>
      </c>
      <c r="O13" s="92">
        <f t="shared" si="4"/>
        <v>92.028020581756991</v>
      </c>
      <c r="P13" s="92">
        <f t="shared" si="5"/>
        <v>92.027852561495379</v>
      </c>
      <c r="Q13" s="92">
        <f t="shared" si="6"/>
        <v>92.027936571626185</v>
      </c>
      <c r="R13" s="92">
        <f t="shared" si="7"/>
        <v>1.8559658672598878</v>
      </c>
      <c r="S13" s="92">
        <f t="shared" si="8"/>
        <v>0.27161641503156903</v>
      </c>
      <c r="T13" s="92">
        <f t="shared" si="24"/>
        <v>234.04749787564805</v>
      </c>
      <c r="U13" s="92">
        <f t="shared" si="9"/>
        <v>8.878918193627543</v>
      </c>
      <c r="V13" s="92">
        <f t="shared" si="10"/>
        <v>6.7732548253670508</v>
      </c>
      <c r="W13" s="92">
        <f t="shared" si="11"/>
        <v>4.9717859487139133</v>
      </c>
      <c r="X13" s="8">
        <f t="shared" si="12"/>
        <v>1.7858609130033676</v>
      </c>
      <c r="Y13" s="8">
        <f t="shared" si="13"/>
        <v>0.36554054054054053</v>
      </c>
      <c r="Z13" s="8">
        <f t="shared" si="14"/>
        <v>0.30675675675675673</v>
      </c>
      <c r="AA13" s="93">
        <f t="shared" si="15"/>
        <v>0.96698615548455791</v>
      </c>
      <c r="AB13" s="93">
        <f t="shared" si="16"/>
        <v>1.3525495770645435E-3</v>
      </c>
      <c r="AC13" s="93">
        <f t="shared" si="17"/>
        <v>6.047967613783318E-4</v>
      </c>
      <c r="AD13" s="92">
        <f t="shared" si="18"/>
        <v>1.3523666627690027E-2</v>
      </c>
      <c r="AE13" s="92"/>
      <c r="AF13" s="91">
        <f t="shared" si="19"/>
        <v>0.28320084660645334</v>
      </c>
      <c r="AG13" s="91">
        <f t="shared" si="20"/>
        <v>0.26201914999047887</v>
      </c>
      <c r="AH13" s="91"/>
      <c r="AI13" s="90">
        <f t="shared" si="21"/>
        <v>4.2004091917672813E-3</v>
      </c>
      <c r="AJ13" s="90">
        <f t="shared" si="22"/>
        <v>1.1013215859030838E-2</v>
      </c>
      <c r="AK13" s="90">
        <f t="shared" si="23"/>
        <v>-1.1244044397556157E-3</v>
      </c>
    </row>
    <row r="14" spans="1:37">
      <c r="A14" t="s">
        <v>1348</v>
      </c>
      <c r="B14" s="11" t="s">
        <v>1354</v>
      </c>
      <c r="C14" t="s">
        <v>591</v>
      </c>
      <c r="D14" t="s">
        <v>1234</v>
      </c>
      <c r="E14" s="57">
        <v>7</v>
      </c>
      <c r="F14" s="57" t="s">
        <v>1278</v>
      </c>
      <c r="G14" s="69">
        <v>3.831</v>
      </c>
      <c r="H14" s="96">
        <v>290.39999999999998</v>
      </c>
      <c r="I14" s="95">
        <v>92.2</v>
      </c>
      <c r="J14" s="95">
        <v>106.2</v>
      </c>
      <c r="K14" s="92">
        <f t="shared" si="0"/>
        <v>167.6</v>
      </c>
      <c r="L14" s="92">
        <f t="shared" si="1"/>
        <v>92.159973952680716</v>
      </c>
      <c r="M14" s="92">
        <f t="shared" si="2"/>
        <v>92.16</v>
      </c>
      <c r="N14" s="92">
        <f t="shared" si="3"/>
        <v>92.159986976340349</v>
      </c>
      <c r="O14" s="92">
        <f t="shared" si="4"/>
        <v>92.159987375347399</v>
      </c>
      <c r="P14" s="92">
        <f t="shared" si="5"/>
        <v>92.159987381027449</v>
      </c>
      <c r="Q14" s="92">
        <f t="shared" si="6"/>
        <v>92.159987378187424</v>
      </c>
      <c r="R14" s="92">
        <f t="shared" si="7"/>
        <v>1.818576645882414</v>
      </c>
      <c r="S14" s="92">
        <f t="shared" si="8"/>
        <v>0.26764827300897481</v>
      </c>
      <c r="T14" s="92">
        <f t="shared" si="24"/>
        <v>233.65289666217492</v>
      </c>
      <c r="U14" s="92">
        <f t="shared" si="9"/>
        <v>8.7076713439157718</v>
      </c>
      <c r="V14" s="92">
        <f t="shared" si="10"/>
        <v>6.6142549521600964</v>
      </c>
      <c r="W14" s="92">
        <f t="shared" si="11"/>
        <v>4.9047302419305545</v>
      </c>
      <c r="X14" s="8">
        <f t="shared" si="12"/>
        <v>1.7753619290769269</v>
      </c>
      <c r="Y14" s="8">
        <f t="shared" si="13"/>
        <v>0.36570247933884303</v>
      </c>
      <c r="Z14" s="8">
        <f t="shared" si="14"/>
        <v>0.31749311294765842</v>
      </c>
      <c r="AA14" s="93">
        <f t="shared" si="15"/>
        <v>1.001085776330076</v>
      </c>
      <c r="AB14" s="93">
        <f t="shared" si="16"/>
        <v>1.413157912466545E-6</v>
      </c>
      <c r="AC14" s="93">
        <f t="shared" si="17"/>
        <v>6.3198334193275943E-7</v>
      </c>
      <c r="AD14" s="92">
        <f t="shared" si="18"/>
        <v>1.4131577127775917E-5</v>
      </c>
      <c r="AE14" s="92"/>
      <c r="AF14" s="91">
        <f t="shared" si="19"/>
        <v>0.2672723361843477</v>
      </c>
      <c r="AG14" s="91">
        <f t="shared" si="20"/>
        <v>0.26796032333754238</v>
      </c>
      <c r="AH14" s="91"/>
      <c r="AI14" s="90">
        <f t="shared" si="21"/>
        <v>4.2822085571613301E-3</v>
      </c>
      <c r="AJ14" s="90">
        <f t="shared" si="22"/>
        <v>1.0845986984815618E-2</v>
      </c>
      <c r="AK14" s="90">
        <f t="shared" si="23"/>
        <v>-1.1466730932186923E-3</v>
      </c>
    </row>
    <row r="15" spans="1:37">
      <c r="A15" t="s">
        <v>1350</v>
      </c>
      <c r="B15" s="11" t="s">
        <v>1353</v>
      </c>
      <c r="C15" t="s">
        <v>591</v>
      </c>
      <c r="D15" t="s">
        <v>1234</v>
      </c>
      <c r="E15" s="57">
        <v>7</v>
      </c>
      <c r="F15" s="57" t="s">
        <v>1278</v>
      </c>
      <c r="G15" s="69">
        <v>3.839</v>
      </c>
      <c r="H15" s="95">
        <v>301.39999999999998</v>
      </c>
      <c r="I15" s="95">
        <v>94.3</v>
      </c>
      <c r="J15" s="95">
        <v>110</v>
      </c>
      <c r="K15" s="92">
        <f t="shared" si="0"/>
        <v>173.79999999999998</v>
      </c>
      <c r="L15" s="92">
        <f t="shared" si="1"/>
        <v>94.855055707378611</v>
      </c>
      <c r="M15" s="92">
        <f t="shared" si="2"/>
        <v>94.859999999999985</v>
      </c>
      <c r="N15" s="92">
        <f t="shared" si="3"/>
        <v>94.857527853689305</v>
      </c>
      <c r="O15" s="92">
        <f t="shared" si="4"/>
        <v>94.85761088890105</v>
      </c>
      <c r="P15" s="92">
        <f t="shared" si="5"/>
        <v>94.85759624360044</v>
      </c>
      <c r="Q15" s="92">
        <f t="shared" si="6"/>
        <v>94.857603566250745</v>
      </c>
      <c r="R15" s="92">
        <f t="shared" si="7"/>
        <v>1.8322214792280227</v>
      </c>
      <c r="S15" s="92">
        <f t="shared" si="8"/>
        <v>0.26911228609881532</v>
      </c>
      <c r="T15" s="92">
        <f t="shared" si="24"/>
        <v>240.76970805615537</v>
      </c>
      <c r="U15" s="92">
        <f t="shared" si="9"/>
        <v>8.8440617028744697</v>
      </c>
      <c r="V15" s="92">
        <f t="shared" si="10"/>
        <v>6.7284624026388764</v>
      </c>
      <c r="W15" s="92">
        <f t="shared" si="11"/>
        <v>4.9708063556524156</v>
      </c>
      <c r="X15" s="8">
        <f t="shared" si="12"/>
        <v>1.7792006105443412</v>
      </c>
      <c r="Y15" s="8">
        <f t="shared" si="13"/>
        <v>0.36496350364963509</v>
      </c>
      <c r="Z15" s="8">
        <f t="shared" si="14"/>
        <v>0.31287325812873262</v>
      </c>
      <c r="AA15" s="93">
        <f t="shared" si="15"/>
        <v>0.98537095088819238</v>
      </c>
      <c r="AB15" s="93">
        <f t="shared" si="16"/>
        <v>2.6062356848033374E-4</v>
      </c>
      <c r="AC15" s="93">
        <f t="shared" si="17"/>
        <v>1.1655136555552559E-4</v>
      </c>
      <c r="AD15" s="92">
        <f t="shared" si="18"/>
        <v>2.606167761930559E-3</v>
      </c>
      <c r="AE15" s="92"/>
      <c r="AF15" s="91">
        <f t="shared" si="19"/>
        <v>0.27420786516853929</v>
      </c>
      <c r="AG15" s="91">
        <f t="shared" si="20"/>
        <v>0.26488764044943824</v>
      </c>
      <c r="AH15" s="91"/>
      <c r="AI15" s="90">
        <f t="shared" si="21"/>
        <v>4.1224113681555853E-3</v>
      </c>
      <c r="AJ15" s="90">
        <f t="shared" si="22"/>
        <v>1.0604453870625663E-2</v>
      </c>
      <c r="AK15" s="90">
        <f t="shared" si="23"/>
        <v>-1.1022490289186058E-3</v>
      </c>
    </row>
    <row r="16" spans="1:37">
      <c r="A16" t="s">
        <v>1348</v>
      </c>
      <c r="B16" s="11" t="s">
        <v>1352</v>
      </c>
      <c r="C16" t="s">
        <v>591</v>
      </c>
      <c r="D16" t="s">
        <v>1234</v>
      </c>
      <c r="E16" s="57">
        <v>7</v>
      </c>
      <c r="F16" s="57" t="s">
        <v>1278</v>
      </c>
      <c r="G16" s="69">
        <v>3.8679999999999999</v>
      </c>
      <c r="H16" s="95">
        <v>300.2</v>
      </c>
      <c r="I16" s="95">
        <v>94.6</v>
      </c>
      <c r="J16" s="95">
        <v>108.2</v>
      </c>
      <c r="K16" s="92">
        <f t="shared" si="0"/>
        <v>172.20000000000002</v>
      </c>
      <c r="L16" s="92">
        <f t="shared" si="1"/>
        <v>95.155071248952225</v>
      </c>
      <c r="M16" s="92">
        <f t="shared" si="2"/>
        <v>95.16</v>
      </c>
      <c r="N16" s="92">
        <f t="shared" si="3"/>
        <v>95.157535624476111</v>
      </c>
      <c r="O16" s="92">
        <f t="shared" si="4"/>
        <v>95.157615394945452</v>
      </c>
      <c r="P16" s="92">
        <f t="shared" si="5"/>
        <v>95.157600847063222</v>
      </c>
      <c r="Q16" s="92">
        <f t="shared" si="6"/>
        <v>95.15760812100433</v>
      </c>
      <c r="R16" s="92">
        <f t="shared" si="7"/>
        <v>1.8096307230943809</v>
      </c>
      <c r="S16" s="92">
        <f t="shared" si="8"/>
        <v>0.26667830778576301</v>
      </c>
      <c r="T16" s="92">
        <f t="shared" si="24"/>
        <v>241.06797239574979</v>
      </c>
      <c r="U16" s="92">
        <f t="shared" si="9"/>
        <v>8.7932226029527811</v>
      </c>
      <c r="V16" s="92">
        <f t="shared" si="10"/>
        <v>6.672265832086036</v>
      </c>
      <c r="W16" s="92">
        <f t="shared" si="11"/>
        <v>4.9599621277074979</v>
      </c>
      <c r="X16" s="8">
        <f t="shared" si="12"/>
        <v>1.7728406742930156</v>
      </c>
      <c r="Y16" s="8">
        <f t="shared" si="13"/>
        <v>0.36042638241172553</v>
      </c>
      <c r="Z16" s="8">
        <f t="shared" si="14"/>
        <v>0.31512325116588941</v>
      </c>
      <c r="AA16" s="93">
        <f t="shared" si="15"/>
        <v>0.98541666666666661</v>
      </c>
      <c r="AB16" s="93">
        <f t="shared" si="16"/>
        <v>2.5898520084499665E-4</v>
      </c>
      <c r="AC16" s="93">
        <f t="shared" si="17"/>
        <v>1.1581870334404881E-4</v>
      </c>
      <c r="AD16" s="92">
        <f t="shared" si="18"/>
        <v>2.5897849368554751E-3</v>
      </c>
      <c r="AE16" s="92"/>
      <c r="AF16" s="91">
        <f t="shared" si="19"/>
        <v>0.27175272705638959</v>
      </c>
      <c r="AG16" s="91">
        <f t="shared" si="20"/>
        <v>0.26247953008826996</v>
      </c>
      <c r="AH16" s="91"/>
      <c r="AI16" s="90">
        <f t="shared" si="21"/>
        <v>4.1174667699057938E-3</v>
      </c>
      <c r="AJ16" s="90">
        <f t="shared" si="22"/>
        <v>1.0570824524312896E-2</v>
      </c>
      <c r="AK16" s="90">
        <f t="shared" si="23"/>
        <v>-1.090866563427539E-3</v>
      </c>
    </row>
    <row r="17" spans="1:37">
      <c r="A17" t="s">
        <v>1348</v>
      </c>
      <c r="B17" s="11" t="s">
        <v>1351</v>
      </c>
      <c r="C17" t="s">
        <v>591</v>
      </c>
      <c r="D17" t="s">
        <v>1234</v>
      </c>
      <c r="E17" s="57">
        <v>7</v>
      </c>
      <c r="F17" s="57" t="s">
        <v>1278</v>
      </c>
      <c r="G17" s="91">
        <v>3.81</v>
      </c>
      <c r="H17" s="95">
        <v>299.10000000000002</v>
      </c>
      <c r="I17" s="95">
        <v>93.7</v>
      </c>
      <c r="J17" s="95">
        <v>106.7</v>
      </c>
      <c r="K17" s="92">
        <f t="shared" si="0"/>
        <v>170.83333333333334</v>
      </c>
      <c r="L17" s="92">
        <f t="shared" si="1"/>
        <v>94.684243697479019</v>
      </c>
      <c r="M17" s="92">
        <f t="shared" si="2"/>
        <v>94.700000000000017</v>
      </c>
      <c r="N17" s="92">
        <f t="shared" si="3"/>
        <v>94.692121848739518</v>
      </c>
      <c r="O17" s="92">
        <f t="shared" si="4"/>
        <v>94.692387207080046</v>
      </c>
      <c r="P17" s="92">
        <f t="shared" si="5"/>
        <v>94.692303857392815</v>
      </c>
      <c r="Q17" s="92">
        <f t="shared" si="6"/>
        <v>94.69234553223643</v>
      </c>
      <c r="R17" s="92">
        <f t="shared" si="7"/>
        <v>1.8040923574003467</v>
      </c>
      <c r="S17" s="92">
        <f t="shared" si="8"/>
        <v>0.26607373899937869</v>
      </c>
      <c r="T17" s="92">
        <f t="shared" si="24"/>
        <v>239.77441752563681</v>
      </c>
      <c r="U17" s="92">
        <f t="shared" si="9"/>
        <v>8.8304159367697288</v>
      </c>
      <c r="V17" s="92">
        <f t="shared" si="10"/>
        <v>6.6961291229968092</v>
      </c>
      <c r="W17" s="92">
        <f t="shared" si="11"/>
        <v>4.985336025623857</v>
      </c>
      <c r="X17" s="8">
        <f t="shared" si="12"/>
        <v>1.7712779823431668</v>
      </c>
      <c r="Y17" s="8">
        <f t="shared" si="13"/>
        <v>0.35673687729856235</v>
      </c>
      <c r="Z17" s="8">
        <f t="shared" si="14"/>
        <v>0.31327315279170842</v>
      </c>
      <c r="AA17" s="93">
        <f t="shared" si="15"/>
        <v>0.97401247401247382</v>
      </c>
      <c r="AB17" s="93">
        <f t="shared" si="16"/>
        <v>8.320445887148864E-4</v>
      </c>
      <c r="AC17" s="93">
        <f t="shared" si="17"/>
        <v>3.7207069505296712E-4</v>
      </c>
      <c r="AD17" s="92">
        <f t="shared" si="18"/>
        <v>8.3197536465425981E-3</v>
      </c>
      <c r="AE17" s="92"/>
      <c r="AF17" s="91">
        <f t="shared" si="19"/>
        <v>0.27514979340646495</v>
      </c>
      <c r="AG17" s="91">
        <f t="shared" si="20"/>
        <v>0.25858079920939547</v>
      </c>
      <c r="AH17" s="91"/>
      <c r="AI17" s="90">
        <f t="shared" si="21"/>
        <v>4.1154099690685056E-3</v>
      </c>
      <c r="AJ17" s="90">
        <f t="shared" si="22"/>
        <v>1.0672358591248666E-2</v>
      </c>
      <c r="AK17" s="90">
        <f t="shared" si="23"/>
        <v>-1.0820952284366918E-3</v>
      </c>
    </row>
    <row r="18" spans="1:37">
      <c r="A18" t="s">
        <v>1350</v>
      </c>
      <c r="B18" s="11" t="s">
        <v>1349</v>
      </c>
      <c r="C18" t="s">
        <v>591</v>
      </c>
      <c r="D18" t="s">
        <v>1234</v>
      </c>
      <c r="E18" s="57">
        <v>7</v>
      </c>
      <c r="F18" s="57" t="s">
        <v>1278</v>
      </c>
      <c r="G18" s="69">
        <v>3.9159999999999999</v>
      </c>
      <c r="H18" s="95">
        <v>301.7</v>
      </c>
      <c r="I18" s="96">
        <v>95</v>
      </c>
      <c r="J18" s="95">
        <v>109.7</v>
      </c>
      <c r="K18" s="92">
        <f t="shared" si="0"/>
        <v>173.70000000000002</v>
      </c>
      <c r="L18" s="92">
        <f t="shared" si="1"/>
        <v>95.39748953974896</v>
      </c>
      <c r="M18" s="92">
        <f t="shared" si="2"/>
        <v>95.4</v>
      </c>
      <c r="N18" s="92">
        <f t="shared" si="3"/>
        <v>95.398744769874483</v>
      </c>
      <c r="O18" s="92">
        <f t="shared" si="4"/>
        <v>95.39878541501642</v>
      </c>
      <c r="P18" s="92">
        <f t="shared" si="5"/>
        <v>95.398780132346118</v>
      </c>
      <c r="Q18" s="92">
        <f t="shared" si="6"/>
        <v>95.398782773681262</v>
      </c>
      <c r="R18" s="92">
        <f t="shared" si="7"/>
        <v>1.8207786739648164</v>
      </c>
      <c r="S18" s="92">
        <f t="shared" si="8"/>
        <v>0.26788579316860223</v>
      </c>
      <c r="T18" s="92">
        <f t="shared" si="24"/>
        <v>241.90942635968273</v>
      </c>
      <c r="U18" s="92">
        <f t="shared" si="9"/>
        <v>8.7657391840189565</v>
      </c>
      <c r="V18" s="92">
        <f t="shared" si="10"/>
        <v>6.6600665319814034</v>
      </c>
      <c r="W18" s="92">
        <f t="shared" si="11"/>
        <v>4.9357140237122623</v>
      </c>
      <c r="X18" s="8">
        <f t="shared" si="12"/>
        <v>1.7759819839452622</v>
      </c>
      <c r="Y18" s="8">
        <f t="shared" si="13"/>
        <v>0.36360623135565134</v>
      </c>
      <c r="Z18" s="8">
        <f t="shared" si="14"/>
        <v>0.31488233344381839</v>
      </c>
      <c r="AA18" s="93">
        <f t="shared" si="15"/>
        <v>0.98958333333333337</v>
      </c>
      <c r="AB18" s="93">
        <f t="shared" si="16"/>
        <v>1.3157894736792741E-4</v>
      </c>
      <c r="AC18" s="93">
        <f t="shared" si="17"/>
        <v>5.8843119896725962E-5</v>
      </c>
      <c r="AD18" s="92">
        <f t="shared" si="18"/>
        <v>1.3157721608922333E-3</v>
      </c>
      <c r="AE18" s="92"/>
      <c r="AF18" s="91">
        <f t="shared" si="19"/>
        <v>0.27150701957500029</v>
      </c>
      <c r="AG18" s="91">
        <f t="shared" si="20"/>
        <v>0.26488458718138042</v>
      </c>
      <c r="AH18" s="91"/>
      <c r="AI18" s="90">
        <f t="shared" si="21"/>
        <v>4.1118947099085265E-3</v>
      </c>
      <c r="AJ18" s="90">
        <f t="shared" si="22"/>
        <v>1.0526315789473684E-2</v>
      </c>
      <c r="AK18" s="90">
        <f t="shared" si="23"/>
        <v>-1.0964386234248065E-3</v>
      </c>
    </row>
    <row r="19" spans="1:37">
      <c r="A19" t="s">
        <v>1348</v>
      </c>
      <c r="B19" s="11" t="s">
        <v>1347</v>
      </c>
      <c r="C19" t="s">
        <v>591</v>
      </c>
      <c r="D19" t="s">
        <v>1234</v>
      </c>
      <c r="E19" s="57">
        <v>7</v>
      </c>
      <c r="F19" s="57" t="s">
        <v>1278</v>
      </c>
      <c r="G19" s="69">
        <v>3.9369999999999998</v>
      </c>
      <c r="H19" s="95">
        <v>304.5</v>
      </c>
      <c r="I19" s="96">
        <v>95.4</v>
      </c>
      <c r="J19" s="95">
        <v>109.9</v>
      </c>
      <c r="K19" s="92">
        <f t="shared" si="0"/>
        <v>174.76666666666665</v>
      </c>
      <c r="L19" s="92">
        <f t="shared" si="1"/>
        <v>96.151025481665641</v>
      </c>
      <c r="M19" s="92">
        <f t="shared" si="2"/>
        <v>96.160000000000011</v>
      </c>
      <c r="N19" s="92">
        <f t="shared" si="3"/>
        <v>96.155512740832819</v>
      </c>
      <c r="O19" s="92">
        <f t="shared" si="4"/>
        <v>96.155663043458674</v>
      </c>
      <c r="P19" s="92">
        <f t="shared" si="5"/>
        <v>96.155627480092861</v>
      </c>
      <c r="Q19" s="92">
        <f t="shared" si="6"/>
        <v>96.15564526177576</v>
      </c>
      <c r="R19" s="92">
        <f t="shared" si="7"/>
        <v>1.8175418307810791</v>
      </c>
      <c r="S19" s="92">
        <f t="shared" si="8"/>
        <v>0.26753648545387948</v>
      </c>
      <c r="T19" s="92">
        <f t="shared" si="24"/>
        <v>243.76124135306191</v>
      </c>
      <c r="U19" s="92">
        <f t="shared" si="9"/>
        <v>8.7724314888178991</v>
      </c>
      <c r="V19" s="92">
        <f t="shared" si="10"/>
        <v>6.66264377818427</v>
      </c>
      <c r="W19" s="92">
        <f t="shared" si="11"/>
        <v>4.9420187255077961</v>
      </c>
      <c r="X19" s="8">
        <f t="shared" si="12"/>
        <v>1.7750704673658486</v>
      </c>
      <c r="Y19" s="8">
        <f t="shared" si="13"/>
        <v>0.36091954022988509</v>
      </c>
      <c r="Z19" s="8">
        <f t="shared" si="14"/>
        <v>0.31330049261083748</v>
      </c>
      <c r="AA19" s="93">
        <f t="shared" si="15"/>
        <v>0.98047276464542665</v>
      </c>
      <c r="AB19" s="93">
        <f t="shared" si="16"/>
        <v>4.6668864369436847E-4</v>
      </c>
      <c r="AC19" s="93">
        <f t="shared" si="17"/>
        <v>2.086997666959592E-4</v>
      </c>
      <c r="AD19" s="92">
        <f t="shared" si="18"/>
        <v>4.6666686488160128E-3</v>
      </c>
      <c r="AE19" s="92"/>
      <c r="AF19" s="91">
        <f t="shared" si="19"/>
        <v>0.27434521191816152</v>
      </c>
      <c r="AG19" s="91">
        <f t="shared" si="20"/>
        <v>0.26190299248011178</v>
      </c>
      <c r="AH19" s="91"/>
      <c r="AI19" s="90">
        <f t="shared" si="21"/>
        <v>4.0615990899822586E-3</v>
      </c>
      <c r="AJ19" s="90">
        <f t="shared" si="22"/>
        <v>1.0482180293501047E-2</v>
      </c>
      <c r="AK19" s="90">
        <f t="shared" si="23"/>
        <v>-1.0771470559581327E-3</v>
      </c>
    </row>
    <row r="20" spans="1:37">
      <c r="A20" t="s">
        <v>1344</v>
      </c>
      <c r="B20" s="11" t="s">
        <v>1346</v>
      </c>
      <c r="C20" t="s">
        <v>591</v>
      </c>
      <c r="D20" t="s">
        <v>1234</v>
      </c>
      <c r="E20" s="57">
        <v>7</v>
      </c>
      <c r="F20" s="57" t="s">
        <v>1278</v>
      </c>
      <c r="G20" s="91">
        <v>3.93</v>
      </c>
      <c r="H20" s="95">
        <v>303.60000000000002</v>
      </c>
      <c r="I20" s="95">
        <v>94.9</v>
      </c>
      <c r="J20" s="95">
        <v>110.6</v>
      </c>
      <c r="K20" s="92">
        <f t="shared" si="0"/>
        <v>174.93333333333331</v>
      </c>
      <c r="L20" s="92">
        <f t="shared" si="1"/>
        <v>95.533590653035674</v>
      </c>
      <c r="M20" s="92">
        <f t="shared" si="2"/>
        <v>95.54</v>
      </c>
      <c r="N20" s="92">
        <f t="shared" si="3"/>
        <v>95.536795326517847</v>
      </c>
      <c r="O20" s="92">
        <f t="shared" si="4"/>
        <v>95.536903652068048</v>
      </c>
      <c r="P20" s="92">
        <f t="shared" si="5"/>
        <v>95.536882114076874</v>
      </c>
      <c r="Q20" s="92">
        <f t="shared" si="6"/>
        <v>95.536892883072454</v>
      </c>
      <c r="R20" s="92">
        <f t="shared" si="7"/>
        <v>1.8310571621694078</v>
      </c>
      <c r="S20" s="92">
        <f t="shared" si="8"/>
        <v>0.26898808184617312</v>
      </c>
      <c r="T20" s="92">
        <f t="shared" si="24"/>
        <v>242.47010929425662</v>
      </c>
      <c r="U20" s="92">
        <f t="shared" si="9"/>
        <v>8.7706967454134475</v>
      </c>
      <c r="V20" s="92">
        <f t="shared" si="10"/>
        <v>6.6717537842834158</v>
      </c>
      <c r="W20" s="92">
        <f t="shared" si="11"/>
        <v>4.9304783876850609</v>
      </c>
      <c r="X20" s="8">
        <f t="shared" si="12"/>
        <v>1.7788733781533583</v>
      </c>
      <c r="Y20" s="8">
        <f t="shared" si="13"/>
        <v>0.36429512516469031</v>
      </c>
      <c r="Z20" s="8">
        <f t="shared" si="14"/>
        <v>0.31258234519104083</v>
      </c>
      <c r="AA20" s="93">
        <f t="shared" si="15"/>
        <v>0.98341968911917088</v>
      </c>
      <c r="AB20" s="93">
        <f t="shared" si="16"/>
        <v>3.354499145551415E-4</v>
      </c>
      <c r="AC20" s="93">
        <f t="shared" si="17"/>
        <v>1.5001273027867072E-4</v>
      </c>
      <c r="AD20" s="92">
        <f t="shared" si="18"/>
        <v>3.3543866226761862E-3</v>
      </c>
      <c r="AE20" s="92"/>
      <c r="AF20" s="91">
        <f t="shared" si="19"/>
        <v>0.27476689903346352</v>
      </c>
      <c r="AG20" s="91">
        <f t="shared" si="20"/>
        <v>0.26419888329018093</v>
      </c>
      <c r="AH20" s="91"/>
      <c r="AI20" s="90">
        <f t="shared" si="21"/>
        <v>4.089394035132061E-3</v>
      </c>
      <c r="AJ20" s="90">
        <f t="shared" si="22"/>
        <v>1.053740779768177E-2</v>
      </c>
      <c r="AK20" s="90">
        <f t="shared" si="23"/>
        <v>-1.0919531151270061E-3</v>
      </c>
    </row>
    <row r="21" spans="1:37">
      <c r="A21" t="s">
        <v>1344</v>
      </c>
      <c r="B21" s="11" t="s">
        <v>1345</v>
      </c>
      <c r="C21" t="s">
        <v>591</v>
      </c>
      <c r="D21" t="s">
        <v>1234</v>
      </c>
      <c r="E21" s="57">
        <v>7</v>
      </c>
      <c r="F21" s="57" t="s">
        <v>1278</v>
      </c>
      <c r="G21" s="91">
        <v>3.9449999999999998</v>
      </c>
      <c r="H21" s="95">
        <v>302.7</v>
      </c>
      <c r="I21" s="95">
        <v>95.1</v>
      </c>
      <c r="J21" s="95">
        <v>108.7</v>
      </c>
      <c r="K21" s="92">
        <f t="shared" si="0"/>
        <v>173.36666666666667</v>
      </c>
      <c r="L21" s="92">
        <f t="shared" si="1"/>
        <v>95.850997506234421</v>
      </c>
      <c r="M21" s="92">
        <f t="shared" si="2"/>
        <v>95.859999999999985</v>
      </c>
      <c r="N21" s="92">
        <f t="shared" si="3"/>
        <v>95.855498753117203</v>
      </c>
      <c r="O21" s="92">
        <f t="shared" si="4"/>
        <v>95.855647397192953</v>
      </c>
      <c r="P21" s="92">
        <f t="shared" si="5"/>
        <v>95.855611616758978</v>
      </c>
      <c r="Q21" s="92">
        <f t="shared" si="6"/>
        <v>95.855629506975959</v>
      </c>
      <c r="R21" s="92">
        <f t="shared" si="7"/>
        <v>1.8086251589299547</v>
      </c>
      <c r="S21" s="92">
        <f t="shared" si="8"/>
        <v>0.26656877254811884</v>
      </c>
      <c r="T21" s="92">
        <f t="shared" si="24"/>
        <v>242.81516279544678</v>
      </c>
      <c r="U21" s="92">
        <f t="shared" si="9"/>
        <v>8.737460663343219</v>
      </c>
      <c r="V21" s="92">
        <f t="shared" si="10"/>
        <v>6.6291721285105583</v>
      </c>
      <c r="W21" s="92">
        <f t="shared" si="11"/>
        <v>4.9292972927727421</v>
      </c>
      <c r="X21" s="8">
        <f t="shared" si="12"/>
        <v>1.772557049085667</v>
      </c>
      <c r="Y21" s="8">
        <f t="shared" si="13"/>
        <v>0.35910142054839778</v>
      </c>
      <c r="Z21" s="8">
        <f t="shared" si="14"/>
        <v>0.31417244796828542</v>
      </c>
      <c r="AA21" s="93">
        <f t="shared" si="15"/>
        <v>0.98041237113402058</v>
      </c>
      <c r="AB21" s="93">
        <f t="shared" si="16"/>
        <v>4.6960876776402927E-4</v>
      </c>
      <c r="AC21" s="93">
        <f t="shared" si="17"/>
        <v>2.1000556361883173E-4</v>
      </c>
      <c r="AD21" s="92">
        <f t="shared" si="18"/>
        <v>4.6958671555977945E-3</v>
      </c>
      <c r="AE21" s="92"/>
      <c r="AF21" s="91">
        <f t="shared" si="19"/>
        <v>0.27339595012246265</v>
      </c>
      <c r="AG21" s="91">
        <f t="shared" si="20"/>
        <v>0.2609245464872425</v>
      </c>
      <c r="AH21" s="91"/>
      <c r="AI21" s="90">
        <f t="shared" si="21"/>
        <v>4.0773285074044039E-3</v>
      </c>
      <c r="AJ21" s="90">
        <f t="shared" si="22"/>
        <v>1.0515247108307046E-2</v>
      </c>
      <c r="AK21" s="90">
        <f t="shared" si="23"/>
        <v>-1.0773106678533271E-3</v>
      </c>
    </row>
    <row r="22" spans="1:37" ht="14.25" customHeight="1">
      <c r="A22" t="s">
        <v>1344</v>
      </c>
      <c r="B22" s="11" t="s">
        <v>1343</v>
      </c>
      <c r="C22" t="s">
        <v>591</v>
      </c>
      <c r="D22" t="s">
        <v>1234</v>
      </c>
      <c r="E22" s="57">
        <v>7</v>
      </c>
      <c r="F22" s="57" t="s">
        <v>1278</v>
      </c>
      <c r="G22" s="91">
        <v>3.976</v>
      </c>
      <c r="H22" s="95">
        <v>302.7</v>
      </c>
      <c r="I22" s="95">
        <v>94.7</v>
      </c>
      <c r="J22" s="95">
        <v>109.1</v>
      </c>
      <c r="K22" s="92">
        <f t="shared" si="0"/>
        <v>173.63333333333333</v>
      </c>
      <c r="L22" s="92">
        <f t="shared" si="1"/>
        <v>95.528970404335155</v>
      </c>
      <c r="M22" s="92">
        <f t="shared" si="2"/>
        <v>95.54</v>
      </c>
      <c r="N22" s="92">
        <f t="shared" si="3"/>
        <v>95.534485202167588</v>
      </c>
      <c r="O22" s="92">
        <f t="shared" si="4"/>
        <v>95.534671599630428</v>
      </c>
      <c r="P22" s="92">
        <f t="shared" si="5"/>
        <v>95.534622988841377</v>
      </c>
      <c r="Q22" s="92">
        <f t="shared" si="6"/>
        <v>95.534647294235896</v>
      </c>
      <c r="R22" s="92">
        <f t="shared" si="7"/>
        <v>1.8174937873574657</v>
      </c>
      <c r="S22" s="92">
        <f t="shared" si="8"/>
        <v>0.26753129287331523</v>
      </c>
      <c r="T22" s="92">
        <f t="shared" si="24"/>
        <v>242.18589908458014</v>
      </c>
      <c r="U22" s="92">
        <f t="shared" si="9"/>
        <v>8.7010002971544793</v>
      </c>
      <c r="V22" s="92">
        <f t="shared" si="10"/>
        <v>6.6083549742829426</v>
      </c>
      <c r="W22" s="92">
        <f t="shared" si="11"/>
        <v>4.9018147689110183</v>
      </c>
      <c r="X22" s="8">
        <f t="shared" si="12"/>
        <v>1.77505693449275</v>
      </c>
      <c r="Y22" s="8">
        <f t="shared" si="13"/>
        <v>0.36042286091840103</v>
      </c>
      <c r="Z22" s="8">
        <f t="shared" si="14"/>
        <v>0.31285100759828216</v>
      </c>
      <c r="AA22" s="93">
        <f t="shared" si="15"/>
        <v>0.97830578512396704</v>
      </c>
      <c r="AB22" s="93">
        <f t="shared" si="16"/>
        <v>5.7729061760891653E-4</v>
      </c>
      <c r="AC22" s="93">
        <f t="shared" si="17"/>
        <v>2.5815730985695435E-4</v>
      </c>
      <c r="AD22" s="92">
        <f t="shared" si="18"/>
        <v>5.7725729308693383E-3</v>
      </c>
      <c r="AE22" s="92"/>
      <c r="AF22" s="91">
        <f t="shared" si="19"/>
        <v>0.27510124377898715</v>
      </c>
      <c r="AG22" s="91">
        <f t="shared" si="20"/>
        <v>0.26127008359336801</v>
      </c>
      <c r="AH22" s="91"/>
      <c r="AI22" s="90">
        <f t="shared" si="21"/>
        <v>4.0834442612833156E-3</v>
      </c>
      <c r="AJ22" s="90">
        <f t="shared" si="22"/>
        <v>1.0559662090813094E-2</v>
      </c>
      <c r="AK22" s="90">
        <f t="shared" si="23"/>
        <v>-1.081844994915031E-3</v>
      </c>
    </row>
    <row r="23" spans="1:37">
      <c r="A23" t="s">
        <v>1341</v>
      </c>
      <c r="B23" s="11" t="s">
        <v>1342</v>
      </c>
      <c r="C23" t="s">
        <v>591</v>
      </c>
      <c r="D23" t="s">
        <v>1234</v>
      </c>
      <c r="E23" s="57">
        <v>7</v>
      </c>
      <c r="F23" s="57" t="s">
        <v>1278</v>
      </c>
      <c r="G23" s="91">
        <v>4.0430000000000001</v>
      </c>
      <c r="H23" s="95">
        <v>305.5</v>
      </c>
      <c r="I23" s="95">
        <v>95.3</v>
      </c>
      <c r="J23" s="95">
        <v>110.3</v>
      </c>
      <c r="K23" s="92">
        <f t="shared" si="0"/>
        <v>175.36666666666667</v>
      </c>
      <c r="L23" s="92">
        <f t="shared" si="1"/>
        <v>96.206868018204389</v>
      </c>
      <c r="M23" s="92">
        <f t="shared" si="2"/>
        <v>96.22</v>
      </c>
      <c r="N23" s="92">
        <f t="shared" si="3"/>
        <v>96.213434009102201</v>
      </c>
      <c r="O23" s="92">
        <f t="shared" si="4"/>
        <v>96.213659506728817</v>
      </c>
      <c r="P23" s="92">
        <f t="shared" si="5"/>
        <v>96.213596572264294</v>
      </c>
      <c r="Q23" s="92">
        <f t="shared" si="6"/>
        <v>96.213628039496555</v>
      </c>
      <c r="R23" s="92">
        <f t="shared" si="7"/>
        <v>1.8226837912268701</v>
      </c>
      <c r="S23" s="92">
        <f t="shared" si="8"/>
        <v>0.26809089579843071</v>
      </c>
      <c r="T23" s="92">
        <f t="shared" si="24"/>
        <v>244.0147594408912</v>
      </c>
      <c r="U23" s="92">
        <f t="shared" si="9"/>
        <v>8.6663387878344</v>
      </c>
      <c r="V23" s="92">
        <f t="shared" si="10"/>
        <v>6.585998885325103</v>
      </c>
      <c r="W23" s="92">
        <f t="shared" si="11"/>
        <v>4.8782717227533192</v>
      </c>
      <c r="X23" s="8">
        <f t="shared" si="12"/>
        <v>1.7765182589999471</v>
      </c>
      <c r="Y23" s="8">
        <f t="shared" si="13"/>
        <v>0.36104746317512276</v>
      </c>
      <c r="Z23" s="8">
        <f t="shared" si="14"/>
        <v>0.31194762684124383</v>
      </c>
      <c r="AA23" s="93">
        <f t="shared" si="15"/>
        <v>0.97643442622950827</v>
      </c>
      <c r="AB23" s="93">
        <f t="shared" si="16"/>
        <v>6.8248671150605844E-4</v>
      </c>
      <c r="AC23" s="93">
        <f t="shared" si="17"/>
        <v>3.0519650735142366E-4</v>
      </c>
      <c r="AD23" s="92">
        <f t="shared" si="18"/>
        <v>6.8244013587371605E-3</v>
      </c>
      <c r="AE23" s="92"/>
      <c r="AF23" s="91">
        <f t="shared" si="19"/>
        <v>0.27632106332580642</v>
      </c>
      <c r="AG23" s="91">
        <f t="shared" si="20"/>
        <v>0.26128244423948793</v>
      </c>
      <c r="AH23" s="91"/>
      <c r="AI23" s="90">
        <f t="shared" si="21"/>
        <v>4.0488936529550889E-3</v>
      </c>
      <c r="AJ23" s="90">
        <f t="shared" si="22"/>
        <v>1.0493179433368312E-2</v>
      </c>
      <c r="AK23" s="90">
        <f t="shared" si="23"/>
        <v>-1.0740571667170425E-3</v>
      </c>
    </row>
    <row r="24" spans="1:37">
      <c r="A24" t="s">
        <v>1341</v>
      </c>
      <c r="B24" s="11" t="s">
        <v>1340</v>
      </c>
      <c r="C24" t="s">
        <v>591</v>
      </c>
      <c r="D24" t="s">
        <v>1234</v>
      </c>
      <c r="E24" s="57">
        <v>7</v>
      </c>
      <c r="F24" s="57" t="s">
        <v>1278</v>
      </c>
      <c r="G24" s="91">
        <v>4.1310000000000002</v>
      </c>
      <c r="H24" s="95">
        <v>306.7</v>
      </c>
      <c r="I24" s="95">
        <v>94.9</v>
      </c>
      <c r="J24" s="95">
        <v>111.9</v>
      </c>
      <c r="K24" s="92">
        <f t="shared" si="0"/>
        <v>176.83333333333334</v>
      </c>
      <c r="L24" s="92">
        <f t="shared" si="1"/>
        <v>95.884439834024889</v>
      </c>
      <c r="M24" s="92">
        <f t="shared" si="2"/>
        <v>95.9</v>
      </c>
      <c r="N24" s="92">
        <f t="shared" si="3"/>
        <v>95.892219917012454</v>
      </c>
      <c r="O24" s="92">
        <f t="shared" si="4"/>
        <v>95.892498299349867</v>
      </c>
      <c r="P24" s="92">
        <f t="shared" si="5"/>
        <v>95.892416960756393</v>
      </c>
      <c r="Q24" s="92">
        <f t="shared" si="6"/>
        <v>95.89245763005313</v>
      </c>
      <c r="R24" s="92">
        <f t="shared" si="7"/>
        <v>1.8440842592482412</v>
      </c>
      <c r="S24" s="92">
        <f t="shared" si="8"/>
        <v>0.27037018452340439</v>
      </c>
      <c r="T24" s="92">
        <f t="shared" si="24"/>
        <v>243.63723422066798</v>
      </c>
      <c r="U24" s="92">
        <f t="shared" si="9"/>
        <v>8.5881819480941211</v>
      </c>
      <c r="V24" s="92">
        <f t="shared" si="10"/>
        <v>6.5426617657276855</v>
      </c>
      <c r="W24" s="92">
        <f t="shared" si="11"/>
        <v>4.8179699713303652</v>
      </c>
      <c r="X24" s="8">
        <f t="shared" si="12"/>
        <v>1.7825312318670812</v>
      </c>
      <c r="Y24" s="8">
        <f t="shared" si="13"/>
        <v>0.36485164656015656</v>
      </c>
      <c r="Z24" s="8">
        <f t="shared" si="14"/>
        <v>0.30942288881643304</v>
      </c>
      <c r="AA24" s="93">
        <f t="shared" si="15"/>
        <v>0.97433264887063664</v>
      </c>
      <c r="AB24" s="93">
        <f t="shared" si="16"/>
        <v>8.1140203780982745E-4</v>
      </c>
      <c r="AC24" s="93">
        <f t="shared" si="17"/>
        <v>3.6284058256253241E-4</v>
      </c>
      <c r="AD24" s="92">
        <f t="shared" si="18"/>
        <v>8.113362058247876E-3</v>
      </c>
      <c r="AE24" s="92"/>
      <c r="AF24" s="91">
        <f t="shared" si="19"/>
        <v>0.27934933575383836</v>
      </c>
      <c r="AG24" s="91">
        <f t="shared" si="20"/>
        <v>0.26293058144488263</v>
      </c>
      <c r="AH24" s="91"/>
      <c r="AI24" s="90">
        <f t="shared" si="21"/>
        <v>4.0506515297838042E-3</v>
      </c>
      <c r="AJ24" s="90">
        <f t="shared" si="22"/>
        <v>1.053740779768177E-2</v>
      </c>
      <c r="AK24" s="90">
        <f t="shared" si="23"/>
        <v>-1.0828186960888861E-3</v>
      </c>
    </row>
    <row r="25" spans="1:37">
      <c r="A25" t="s">
        <v>1336</v>
      </c>
      <c r="B25" s="11" t="s">
        <v>1339</v>
      </c>
      <c r="C25" t="s">
        <v>591</v>
      </c>
      <c r="D25" t="s">
        <v>1234</v>
      </c>
      <c r="E25" s="57">
        <v>7</v>
      </c>
      <c r="F25" s="57" t="s">
        <v>1278</v>
      </c>
      <c r="G25" s="90">
        <v>4.1601999999999997</v>
      </c>
      <c r="H25" s="95">
        <v>306.2</v>
      </c>
      <c r="I25" s="95">
        <v>92.7</v>
      </c>
      <c r="J25" s="95">
        <v>112.5</v>
      </c>
      <c r="K25" s="92">
        <f t="shared" si="0"/>
        <v>177.06666666666669</v>
      </c>
      <c r="L25" s="92">
        <f t="shared" si="1"/>
        <v>94.316577371572649</v>
      </c>
      <c r="M25" s="92">
        <f t="shared" si="2"/>
        <v>94.36</v>
      </c>
      <c r="N25" s="92">
        <f t="shared" si="3"/>
        <v>94.338288685786324</v>
      </c>
      <c r="O25" s="92">
        <f t="shared" si="4"/>
        <v>94.339155873365641</v>
      </c>
      <c r="P25" s="92">
        <f t="shared" si="5"/>
        <v>94.338773358243159</v>
      </c>
      <c r="Q25" s="92">
        <f t="shared" si="6"/>
        <v>94.3389646158044</v>
      </c>
      <c r="R25" s="92">
        <f t="shared" si="7"/>
        <v>1.8769332063720678</v>
      </c>
      <c r="S25" s="92">
        <f t="shared" si="8"/>
        <v>0.27378293928901293</v>
      </c>
      <c r="T25" s="92">
        <f t="shared" si="24"/>
        <v>240.33300529935269</v>
      </c>
      <c r="U25" s="92">
        <f t="shared" si="9"/>
        <v>8.5321294930475897</v>
      </c>
      <c r="V25" s="92">
        <f t="shared" si="10"/>
        <v>6.5239601708927761</v>
      </c>
      <c r="W25" s="92">
        <f t="shared" si="11"/>
        <v>4.7619725987297441</v>
      </c>
      <c r="X25" s="8">
        <f t="shared" si="12"/>
        <v>1.7917216691510434</v>
      </c>
      <c r="Y25" s="8">
        <f t="shared" si="13"/>
        <v>0.36740692357935989</v>
      </c>
      <c r="Z25" s="8">
        <f t="shared" si="14"/>
        <v>0.30274330502939256</v>
      </c>
      <c r="AA25" s="93">
        <f t="shared" si="15"/>
        <v>0.95715023231801766</v>
      </c>
      <c r="AB25" s="93">
        <f t="shared" si="16"/>
        <v>2.3019616295174572E-3</v>
      </c>
      <c r="AC25" s="93">
        <f t="shared" si="17"/>
        <v>1.029231630042892E-3</v>
      </c>
      <c r="AD25" s="92">
        <f t="shared" si="18"/>
        <v>2.3014318487363569E-2</v>
      </c>
      <c r="AE25" s="92"/>
      <c r="AF25" s="91">
        <f t="shared" si="19"/>
        <v>0.28888335500816342</v>
      </c>
      <c r="AG25" s="91">
        <f t="shared" si="20"/>
        <v>0.26126917884252648</v>
      </c>
      <c r="AH25" s="91"/>
      <c r="AI25" s="90">
        <f t="shared" si="21"/>
        <v>4.0692584483520032E-3</v>
      </c>
      <c r="AJ25" s="90">
        <f t="shared" si="22"/>
        <v>1.0787486515641855E-2</v>
      </c>
      <c r="AK25" s="90">
        <f t="shared" si="23"/>
        <v>-1.093364163935038E-3</v>
      </c>
    </row>
    <row r="26" spans="1:37">
      <c r="A26" t="s">
        <v>1338</v>
      </c>
      <c r="B26" s="11" t="s">
        <v>1337</v>
      </c>
      <c r="C26" t="s">
        <v>591</v>
      </c>
      <c r="D26" t="s">
        <v>1234</v>
      </c>
      <c r="E26" s="57">
        <v>7</v>
      </c>
      <c r="F26" s="57" t="s">
        <v>1278</v>
      </c>
      <c r="G26" s="90">
        <v>4.1319999999999997</v>
      </c>
      <c r="H26" s="95">
        <v>302.3</v>
      </c>
      <c r="I26" s="95">
        <v>94.4</v>
      </c>
      <c r="J26" s="95">
        <v>110.6</v>
      </c>
      <c r="K26" s="92">
        <f t="shared" si="0"/>
        <v>174.5</v>
      </c>
      <c r="L26" s="92">
        <f t="shared" si="1"/>
        <v>94.974703474336124</v>
      </c>
      <c r="M26" s="92">
        <f t="shared" si="2"/>
        <v>94.980000000000018</v>
      </c>
      <c r="N26" s="92">
        <f t="shared" si="3"/>
        <v>94.977351737168078</v>
      </c>
      <c r="O26" s="92">
        <f t="shared" si="4"/>
        <v>94.977441587487291</v>
      </c>
      <c r="P26" s="92">
        <f t="shared" si="5"/>
        <v>94.977425358500355</v>
      </c>
      <c r="Q26" s="92">
        <f t="shared" si="6"/>
        <v>94.977433472993823</v>
      </c>
      <c r="R26" s="92">
        <f t="shared" si="7"/>
        <v>1.837280117926386</v>
      </c>
      <c r="S26" s="92">
        <f t="shared" si="8"/>
        <v>0.2696503724742772</v>
      </c>
      <c r="T26" s="92">
        <f t="shared" si="24"/>
        <v>241.17606001943179</v>
      </c>
      <c r="U26" s="92">
        <f t="shared" si="9"/>
        <v>8.5369260699525853</v>
      </c>
      <c r="V26" s="92">
        <f t="shared" si="10"/>
        <v>6.4985663770125148</v>
      </c>
      <c r="W26" s="92">
        <f t="shared" si="11"/>
        <v>4.7943515020854388</v>
      </c>
      <c r="X26" s="8">
        <f t="shared" si="12"/>
        <v>1.7806216474197205</v>
      </c>
      <c r="Y26" s="8">
        <f t="shared" si="13"/>
        <v>0.3658617267614952</v>
      </c>
      <c r="Z26" s="8">
        <f t="shared" si="14"/>
        <v>0.31227257691035398</v>
      </c>
      <c r="AA26" s="93">
        <f t="shared" si="15"/>
        <v>0.9848721961398017</v>
      </c>
      <c r="AB26" s="93">
        <f t="shared" si="16"/>
        <v>2.7883875759204813E-4</v>
      </c>
      <c r="AC26" s="93">
        <f t="shared" si="17"/>
        <v>1.2469700634416405E-4</v>
      </c>
      <c r="AD26" s="92">
        <f t="shared" si="18"/>
        <v>2.7883098270371312E-3</v>
      </c>
      <c r="AE26" s="92"/>
      <c r="AF26" s="91">
        <f t="shared" si="19"/>
        <v>0.27492176006241287</v>
      </c>
      <c r="AG26" s="91">
        <f t="shared" si="20"/>
        <v>0.26527837690075134</v>
      </c>
      <c r="AH26" s="91"/>
      <c r="AI26" s="90">
        <f t="shared" si="21"/>
        <v>4.1143959515699017E-3</v>
      </c>
      <c r="AJ26" s="90">
        <f t="shared" si="22"/>
        <v>1.059322033898305E-2</v>
      </c>
      <c r="AK26" s="90">
        <f t="shared" si="23"/>
        <v>-1.1020881381536235E-3</v>
      </c>
    </row>
    <row r="27" spans="1:37">
      <c r="A27" t="s">
        <v>1336</v>
      </c>
      <c r="B27" s="11" t="s">
        <v>1335</v>
      </c>
      <c r="C27" t="s">
        <v>591</v>
      </c>
      <c r="D27" t="s">
        <v>1234</v>
      </c>
      <c r="E27" s="57">
        <v>7</v>
      </c>
      <c r="F27" s="57" t="s">
        <v>1278</v>
      </c>
      <c r="G27" s="91">
        <v>4.1829999999999998</v>
      </c>
      <c r="H27" s="95">
        <v>304.8</v>
      </c>
      <c r="I27" s="95">
        <v>94.4</v>
      </c>
      <c r="J27" s="95">
        <v>112.3</v>
      </c>
      <c r="K27" s="92">
        <f t="shared" si="0"/>
        <v>176.46666666666667</v>
      </c>
      <c r="L27" s="92">
        <f t="shared" si="1"/>
        <v>95.131399853418486</v>
      </c>
      <c r="M27" s="92">
        <f t="shared" si="2"/>
        <v>95.140000000000015</v>
      </c>
      <c r="N27" s="92">
        <f t="shared" si="3"/>
        <v>95.13569992670925</v>
      </c>
      <c r="O27" s="92">
        <f t="shared" si="4"/>
        <v>95.135852313666419</v>
      </c>
      <c r="P27" s="92">
        <f t="shared" si="5"/>
        <v>95.135818752872055</v>
      </c>
      <c r="Q27" s="92">
        <f t="shared" si="6"/>
        <v>95.135835533269244</v>
      </c>
      <c r="R27" s="92">
        <f t="shared" si="7"/>
        <v>1.8548942910244341</v>
      </c>
      <c r="S27" s="92">
        <f t="shared" si="8"/>
        <v>0.27150457546812701</v>
      </c>
      <c r="T27" s="92">
        <f t="shared" si="24"/>
        <v>241.93095549434716</v>
      </c>
      <c r="U27" s="92">
        <f t="shared" si="9"/>
        <v>8.5153496786895104</v>
      </c>
      <c r="V27" s="92">
        <f t="shared" si="10"/>
        <v>6.4951234335158636</v>
      </c>
      <c r="W27" s="92">
        <f t="shared" si="11"/>
        <v>4.7690055357813321</v>
      </c>
      <c r="X27" s="8">
        <f t="shared" si="12"/>
        <v>1.7855608710872244</v>
      </c>
      <c r="Y27" s="8">
        <f t="shared" si="13"/>
        <v>0.36843832020997375</v>
      </c>
      <c r="Z27" s="8">
        <f t="shared" si="14"/>
        <v>0.30971128608923887</v>
      </c>
      <c r="AA27" s="93">
        <f t="shared" si="15"/>
        <v>0.98077922077922086</v>
      </c>
      <c r="AB27" s="93">
        <f t="shared" si="16"/>
        <v>4.5201408760764394E-4</v>
      </c>
      <c r="AC27" s="93">
        <f t="shared" si="17"/>
        <v>2.0213770856451467E-4</v>
      </c>
      <c r="AD27" s="92">
        <f t="shared" si="18"/>
        <v>4.5199365685825747E-3</v>
      </c>
      <c r="AE27" s="92"/>
      <c r="AF27" s="91">
        <f t="shared" si="19"/>
        <v>0.27821676410018226</v>
      </c>
      <c r="AG27" s="91">
        <f t="shared" si="20"/>
        <v>0.26593260299064808</v>
      </c>
      <c r="AH27" s="91"/>
      <c r="AI27" s="90">
        <f t="shared" si="21"/>
        <v>4.0928470849135755E-3</v>
      </c>
      <c r="AJ27" s="90">
        <f t="shared" si="22"/>
        <v>1.059322033898305E-2</v>
      </c>
      <c r="AK27" s="90">
        <f t="shared" si="23"/>
        <v>-1.1019581098916196E-3</v>
      </c>
    </row>
    <row r="28" spans="1:37">
      <c r="A28" t="s">
        <v>1334</v>
      </c>
      <c r="B28" s="11" t="s">
        <v>1333</v>
      </c>
      <c r="C28" t="s">
        <v>591</v>
      </c>
      <c r="D28" t="s">
        <v>1234</v>
      </c>
      <c r="E28" s="57">
        <v>7</v>
      </c>
      <c r="F28" s="57" t="s">
        <v>1278</v>
      </c>
      <c r="G28" s="90">
        <v>4.2396000000000003</v>
      </c>
      <c r="H28" s="95">
        <v>306.5</v>
      </c>
      <c r="I28" s="95">
        <v>94.36</v>
      </c>
      <c r="J28" s="95">
        <v>111.3</v>
      </c>
      <c r="K28" s="92">
        <f t="shared" si="0"/>
        <v>176.36666666666667</v>
      </c>
      <c r="L28" s="92">
        <f t="shared" si="1"/>
        <v>95.629838843661744</v>
      </c>
      <c r="M28" s="92">
        <f t="shared" si="2"/>
        <v>95.655999999999992</v>
      </c>
      <c r="N28" s="92">
        <f t="shared" si="3"/>
        <v>95.642919421830868</v>
      </c>
      <c r="O28" s="92">
        <f t="shared" si="4"/>
        <v>95.643401373906414</v>
      </c>
      <c r="P28" s="92">
        <f t="shared" si="5"/>
        <v>95.643223820989121</v>
      </c>
      <c r="Q28" s="92">
        <f t="shared" si="6"/>
        <v>95.64331259744776</v>
      </c>
      <c r="R28" s="92">
        <f t="shared" si="7"/>
        <v>1.8440117442338371</v>
      </c>
      <c r="S28" s="92">
        <f t="shared" si="8"/>
        <v>0.27036253685673522</v>
      </c>
      <c r="T28" s="92">
        <f t="shared" si="24"/>
        <v>243.0023634982027</v>
      </c>
      <c r="U28" s="92">
        <f t="shared" si="9"/>
        <v>8.4663489108833723</v>
      </c>
      <c r="V28" s="92">
        <f t="shared" si="10"/>
        <v>6.4497935209244766</v>
      </c>
      <c r="W28" s="92">
        <f t="shared" si="11"/>
        <v>4.7496758377485655</v>
      </c>
      <c r="X28" s="8">
        <f t="shared" si="12"/>
        <v>1.7825108912899159</v>
      </c>
      <c r="Y28" s="8">
        <f t="shared" si="13"/>
        <v>0.36313213703099512</v>
      </c>
      <c r="Z28" s="8">
        <f t="shared" si="14"/>
        <v>0.30786296900489396</v>
      </c>
      <c r="AA28" s="93">
        <f t="shared" si="15"/>
        <v>0.96680327868852467</v>
      </c>
      <c r="AB28" s="93">
        <f t="shared" si="16"/>
        <v>1.3678343838376961E-3</v>
      </c>
      <c r="AC28" s="93">
        <f t="shared" si="17"/>
        <v>6.1163047573888898E-4</v>
      </c>
      <c r="AD28" s="92">
        <f t="shared" si="18"/>
        <v>1.3676473123360114E-2</v>
      </c>
      <c r="AE28" s="92"/>
      <c r="AF28" s="91">
        <f t="shared" si="19"/>
        <v>0.28200592094238558</v>
      </c>
      <c r="AG28" s="91">
        <f t="shared" si="20"/>
        <v>0.26072672430379273</v>
      </c>
      <c r="AH28" s="91"/>
      <c r="AI28" s="90">
        <f t="shared" si="21"/>
        <v>4.0453011764487179E-3</v>
      </c>
      <c r="AJ28" s="90">
        <f t="shared" si="22"/>
        <v>1.0597710894446799E-2</v>
      </c>
      <c r="AK28" s="90">
        <f t="shared" si="23"/>
        <v>-1.0776496432234137E-3</v>
      </c>
    </row>
    <row r="29" spans="1:37">
      <c r="A29" t="s">
        <v>1328</v>
      </c>
      <c r="B29" s="11" t="s">
        <v>1332</v>
      </c>
      <c r="C29" t="s">
        <v>591</v>
      </c>
      <c r="D29" t="s">
        <v>1234</v>
      </c>
      <c r="E29" s="57">
        <v>7</v>
      </c>
      <c r="F29" s="57" t="s">
        <v>1278</v>
      </c>
      <c r="G29" s="69">
        <v>4.2489999999999997</v>
      </c>
      <c r="H29" s="95">
        <v>308.5</v>
      </c>
      <c r="I29" s="95">
        <v>94.8</v>
      </c>
      <c r="J29" s="95">
        <v>112.3</v>
      </c>
      <c r="K29" s="92">
        <f t="shared" si="0"/>
        <v>177.70000000000002</v>
      </c>
      <c r="L29" s="92">
        <f t="shared" si="1"/>
        <v>96.09299442033479</v>
      </c>
      <c r="M29" s="92">
        <f t="shared" si="2"/>
        <v>96.11999999999999</v>
      </c>
      <c r="N29" s="92">
        <f t="shared" si="3"/>
        <v>96.10649721016739</v>
      </c>
      <c r="O29" s="92">
        <f t="shared" si="4"/>
        <v>96.106999121425474</v>
      </c>
      <c r="P29" s="92">
        <f t="shared" si="5"/>
        <v>96.106813336905901</v>
      </c>
      <c r="Q29" s="92">
        <f t="shared" si="6"/>
        <v>96.106906229165688</v>
      </c>
      <c r="R29" s="92">
        <f t="shared" si="7"/>
        <v>1.8489904965675994</v>
      </c>
      <c r="S29" s="92">
        <f t="shared" si="8"/>
        <v>0.27088643163343101</v>
      </c>
      <c r="T29" s="92">
        <f t="shared" si="24"/>
        <v>244.28088659243588</v>
      </c>
      <c r="U29" s="92">
        <f t="shared" si="9"/>
        <v>8.4840885820498446</v>
      </c>
      <c r="V29" s="92">
        <f t="shared" si="10"/>
        <v>6.4669625855999104</v>
      </c>
      <c r="W29" s="92">
        <f t="shared" si="11"/>
        <v>4.7559032252969144</v>
      </c>
      <c r="X29" s="8">
        <f t="shared" si="12"/>
        <v>1.7839069005699071</v>
      </c>
      <c r="Y29" s="8">
        <f t="shared" si="13"/>
        <v>0.36401944894651539</v>
      </c>
      <c r="Z29" s="8">
        <f t="shared" si="14"/>
        <v>0.30729335494327392</v>
      </c>
      <c r="AA29" s="93">
        <f t="shared" si="15"/>
        <v>0.96636085626911317</v>
      </c>
      <c r="AB29" s="93">
        <f t="shared" si="16"/>
        <v>1.4051794216687341E-3</v>
      </c>
      <c r="AC29" s="93">
        <f t="shared" si="17"/>
        <v>6.2832705439715456E-4</v>
      </c>
      <c r="AD29" s="92">
        <f t="shared" si="18"/>
        <v>1.4049819964899953E-2</v>
      </c>
      <c r="AE29" s="92"/>
      <c r="AF29" s="91">
        <f t="shared" si="19"/>
        <v>0.28268932271364855</v>
      </c>
      <c r="AG29" s="91">
        <f t="shared" si="20"/>
        <v>0.26111503746922937</v>
      </c>
      <c r="AH29" s="91"/>
      <c r="AI29" s="90">
        <f t="shared" si="21"/>
        <v>4.023166863331454E-3</v>
      </c>
      <c r="AJ29" s="90">
        <f t="shared" si="22"/>
        <v>1.0548523206751054E-2</v>
      </c>
      <c r="AK29" s="90">
        <f t="shared" si="23"/>
        <v>-1.0736730958938265E-3</v>
      </c>
    </row>
    <row r="30" spans="1:37">
      <c r="A30" t="s">
        <v>1328</v>
      </c>
      <c r="B30" s="11" t="s">
        <v>1331</v>
      </c>
      <c r="C30" t="s">
        <v>591</v>
      </c>
      <c r="D30" t="s">
        <v>1234</v>
      </c>
      <c r="E30" s="57">
        <v>7</v>
      </c>
      <c r="F30" s="57" t="s">
        <v>1278</v>
      </c>
      <c r="G30" s="69">
        <v>4.2469999999999999</v>
      </c>
      <c r="H30" s="95">
        <v>307.3</v>
      </c>
      <c r="I30" s="95">
        <v>95.2</v>
      </c>
      <c r="J30" s="95">
        <v>109.7</v>
      </c>
      <c r="K30" s="92">
        <f t="shared" si="0"/>
        <v>175.56666666666669</v>
      </c>
      <c r="L30" s="92">
        <f t="shared" si="1"/>
        <v>96.608052588331972</v>
      </c>
      <c r="M30" s="92">
        <f t="shared" si="2"/>
        <v>96.640000000000015</v>
      </c>
      <c r="N30" s="92">
        <f t="shared" si="3"/>
        <v>96.624026294165986</v>
      </c>
      <c r="O30" s="92">
        <f t="shared" si="4"/>
        <v>96.624599134832351</v>
      </c>
      <c r="P30" s="92">
        <f t="shared" si="5"/>
        <v>96.624360856109121</v>
      </c>
      <c r="Q30" s="92">
        <f t="shared" si="6"/>
        <v>96.624479995470736</v>
      </c>
      <c r="R30" s="92">
        <f t="shared" si="7"/>
        <v>1.8170083922208398</v>
      </c>
      <c r="S30" s="92">
        <f t="shared" si="8"/>
        <v>0.26747881787433436</v>
      </c>
      <c r="T30" s="92">
        <f t="shared" si="24"/>
        <v>244.93781325117621</v>
      </c>
      <c r="U30" s="92">
        <f t="shared" si="9"/>
        <v>8.466039051301788</v>
      </c>
      <c r="V30" s="92">
        <f t="shared" si="10"/>
        <v>6.4295399820773946</v>
      </c>
      <c r="W30" s="92">
        <f t="shared" si="11"/>
        <v>4.7698138986522638</v>
      </c>
      <c r="X30" s="8">
        <f t="shared" si="12"/>
        <v>1.7749202025877595</v>
      </c>
      <c r="Y30" s="8">
        <f t="shared" si="13"/>
        <v>0.35698014969085584</v>
      </c>
      <c r="Z30" s="8">
        <f t="shared" si="14"/>
        <v>0.30979498861047838</v>
      </c>
      <c r="AA30" s="93">
        <f t="shared" si="15"/>
        <v>0.96356275303643713</v>
      </c>
      <c r="AB30" s="93">
        <f t="shared" si="16"/>
        <v>1.6534549042290791E-3</v>
      </c>
      <c r="AC30" s="93">
        <f t="shared" si="17"/>
        <v>7.3932527535347948E-4</v>
      </c>
      <c r="AD30" s="92">
        <f t="shared" si="18"/>
        <v>1.6531815581137414E-2</v>
      </c>
      <c r="AE30" s="92"/>
      <c r="AF30" s="91">
        <f t="shared" si="19"/>
        <v>0.28025810857821332</v>
      </c>
      <c r="AG30" s="91">
        <f t="shared" si="20"/>
        <v>0.25693356813852913</v>
      </c>
      <c r="AH30" s="91"/>
      <c r="AI30" s="90">
        <f t="shared" si="21"/>
        <v>4.0066905005499819E-3</v>
      </c>
      <c r="AJ30" s="90">
        <f t="shared" si="22"/>
        <v>1.0504201680672268E-2</v>
      </c>
      <c r="AK30" s="90">
        <f t="shared" si="23"/>
        <v>-1.0540382443892879E-3</v>
      </c>
    </row>
    <row r="31" spans="1:37">
      <c r="A31" t="s">
        <v>1330</v>
      </c>
      <c r="B31" s="11" t="s">
        <v>1329</v>
      </c>
      <c r="C31" t="s">
        <v>591</v>
      </c>
      <c r="D31" t="s">
        <v>1234</v>
      </c>
      <c r="E31" s="57">
        <v>7</v>
      </c>
      <c r="F31" s="57" t="s">
        <v>1278</v>
      </c>
      <c r="G31" s="69">
        <v>4.1719999999999997</v>
      </c>
      <c r="H31" s="95">
        <v>305.5</v>
      </c>
      <c r="I31" s="95">
        <v>96.2</v>
      </c>
      <c r="J31" s="95">
        <v>111.9</v>
      </c>
      <c r="K31" s="92">
        <f t="shared" si="0"/>
        <v>176.43333333333331</v>
      </c>
      <c r="L31" s="92">
        <f t="shared" si="1"/>
        <v>96.43910521955263</v>
      </c>
      <c r="M31" s="92">
        <f t="shared" si="2"/>
        <v>96.440000000000012</v>
      </c>
      <c r="N31" s="92">
        <f t="shared" si="3"/>
        <v>96.439552609776314</v>
      </c>
      <c r="O31" s="92">
        <f t="shared" si="4"/>
        <v>96.439567037771582</v>
      </c>
      <c r="P31" s="92">
        <f t="shared" si="5"/>
        <v>96.439565919611383</v>
      </c>
      <c r="Q31" s="92">
        <f t="shared" si="6"/>
        <v>96.439566478691489</v>
      </c>
      <c r="R31" s="92">
        <f t="shared" si="7"/>
        <v>1.8294706742080824</v>
      </c>
      <c r="S31" s="92">
        <f t="shared" si="8"/>
        <v>0.26881862699691456</v>
      </c>
      <c r="T31" s="92">
        <f t="shared" si="24"/>
        <v>244.72860146106618</v>
      </c>
      <c r="U31" s="92">
        <f t="shared" si="9"/>
        <v>8.550501427376302</v>
      </c>
      <c r="V31" s="92">
        <f t="shared" si="10"/>
        <v>6.5030661205097182</v>
      </c>
      <c r="W31" s="92">
        <f t="shared" si="11"/>
        <v>4.8079001933153878</v>
      </c>
      <c r="X31" s="8">
        <f t="shared" si="12"/>
        <v>1.7784273973208509</v>
      </c>
      <c r="Y31" s="8">
        <f t="shared" si="13"/>
        <v>0.36628477905073653</v>
      </c>
      <c r="Z31" s="8">
        <f t="shared" si="14"/>
        <v>0.31489361702127661</v>
      </c>
      <c r="AA31" s="93">
        <f t="shared" si="15"/>
        <v>0.99380165289256206</v>
      </c>
      <c r="AB31" s="93">
        <f t="shared" si="16"/>
        <v>4.639095548153449E-5</v>
      </c>
      <c r="AC31" s="93">
        <f t="shared" si="17"/>
        <v>2.0746569754404969E-5</v>
      </c>
      <c r="AD31" s="92">
        <f t="shared" si="18"/>
        <v>4.6390740270361758E-4</v>
      </c>
      <c r="AE31" s="92"/>
      <c r="AF31" s="91">
        <f t="shared" si="19"/>
        <v>0.27097113636978137</v>
      </c>
      <c r="AG31" s="91">
        <f t="shared" si="20"/>
        <v>0.26703217623640413</v>
      </c>
      <c r="AH31" s="91"/>
      <c r="AI31" s="90">
        <f t="shared" si="21"/>
        <v>4.0732887503064242E-3</v>
      </c>
      <c r="AJ31" s="90">
        <f t="shared" si="22"/>
        <v>1.0395010395010394E-2</v>
      </c>
      <c r="AK31" s="90">
        <f t="shared" si="23"/>
        <v>-1.0920005058919237E-3</v>
      </c>
    </row>
    <row r="32" spans="1:37">
      <c r="A32" t="s">
        <v>1328</v>
      </c>
      <c r="B32" s="11" t="s">
        <v>1327</v>
      </c>
      <c r="C32" t="s">
        <v>591</v>
      </c>
      <c r="D32" t="s">
        <v>1234</v>
      </c>
      <c r="E32" s="57">
        <v>7</v>
      </c>
      <c r="F32" s="57" t="s">
        <v>1278</v>
      </c>
      <c r="G32" s="69">
        <v>4.1950000000000003</v>
      </c>
      <c r="H32" s="95">
        <v>309.5</v>
      </c>
      <c r="I32" s="95">
        <v>95.2</v>
      </c>
      <c r="J32" s="95">
        <v>113.5</v>
      </c>
      <c r="K32" s="92">
        <f t="shared" si="0"/>
        <v>178.83333333333334</v>
      </c>
      <c r="L32" s="92">
        <f t="shared" si="1"/>
        <v>96.30057803468209</v>
      </c>
      <c r="M32" s="92">
        <f t="shared" si="2"/>
        <v>96.320000000000007</v>
      </c>
      <c r="N32" s="92">
        <f t="shared" si="3"/>
        <v>96.310289017341049</v>
      </c>
      <c r="O32" s="92">
        <f t="shared" si="4"/>
        <v>96.310647022456507</v>
      </c>
      <c r="P32" s="92">
        <f t="shared" si="5"/>
        <v>96.310533817459685</v>
      </c>
      <c r="Q32" s="92">
        <f t="shared" si="6"/>
        <v>96.310590419958089</v>
      </c>
      <c r="R32" s="92">
        <f t="shared" si="7"/>
        <v>1.8568455681940035</v>
      </c>
      <c r="S32" s="92">
        <f t="shared" si="8"/>
        <v>0.27170814692291967</v>
      </c>
      <c r="T32" s="92">
        <f t="shared" si="24"/>
        <v>244.95715835170719</v>
      </c>
      <c r="U32" s="92">
        <f t="shared" si="9"/>
        <v>8.5581103038076449</v>
      </c>
      <c r="V32" s="92">
        <f t="shared" si="10"/>
        <v>6.5291741603764573</v>
      </c>
      <c r="W32" s="92">
        <f t="shared" si="11"/>
        <v>4.7914875108580048</v>
      </c>
      <c r="X32" s="8">
        <f t="shared" si="12"/>
        <v>1.7861071920596863</v>
      </c>
      <c r="Y32" s="8">
        <f t="shared" si="13"/>
        <v>0.3667205169628433</v>
      </c>
      <c r="Z32" s="8">
        <f t="shared" si="14"/>
        <v>0.30759289176090471</v>
      </c>
      <c r="AA32" s="93">
        <f t="shared" si="15"/>
        <v>0.97142857142857142</v>
      </c>
      <c r="AB32" s="93">
        <f t="shared" si="16"/>
        <v>1.0084033613440013E-3</v>
      </c>
      <c r="AC32" s="93">
        <f t="shared" si="17"/>
        <v>4.5092622291750329E-4</v>
      </c>
      <c r="AD32" s="92">
        <f t="shared" si="18"/>
        <v>1.0083016838637307E-2</v>
      </c>
      <c r="AE32" s="92"/>
      <c r="AF32" s="91">
        <f t="shared" si="19"/>
        <v>0.28171874200098973</v>
      </c>
      <c r="AG32" s="91">
        <f t="shared" si="20"/>
        <v>0.26340847425811847</v>
      </c>
      <c r="AH32" s="91"/>
      <c r="AI32" s="90">
        <f t="shared" si="21"/>
        <v>4.0226715103562393E-3</v>
      </c>
      <c r="AJ32" s="90">
        <f t="shared" si="22"/>
        <v>1.0504201680672268E-2</v>
      </c>
      <c r="AK32" s="90">
        <f t="shared" si="23"/>
        <v>-1.0793693059702911E-3</v>
      </c>
    </row>
    <row r="33" spans="1:37">
      <c r="A33" t="s">
        <v>1326</v>
      </c>
      <c r="B33" s="11" t="s">
        <v>1325</v>
      </c>
      <c r="C33" t="s">
        <v>591</v>
      </c>
      <c r="D33" t="s">
        <v>1234</v>
      </c>
      <c r="E33" s="57">
        <v>7</v>
      </c>
      <c r="F33" s="57" t="s">
        <v>1278</v>
      </c>
      <c r="G33" s="69">
        <v>4.1849999999999996</v>
      </c>
      <c r="H33" s="96">
        <v>299</v>
      </c>
      <c r="I33" s="96">
        <v>92</v>
      </c>
      <c r="J33" s="95">
        <v>108.2</v>
      </c>
      <c r="K33" s="92">
        <f t="shared" si="0"/>
        <v>171.79999999999998</v>
      </c>
      <c r="L33" s="92">
        <f t="shared" si="1"/>
        <v>93.330497660569961</v>
      </c>
      <c r="M33" s="92">
        <f t="shared" si="2"/>
        <v>93.36</v>
      </c>
      <c r="N33" s="92">
        <f t="shared" si="3"/>
        <v>93.345248830284987</v>
      </c>
      <c r="O33" s="92">
        <f t="shared" si="4"/>
        <v>93.345794681164904</v>
      </c>
      <c r="P33" s="92">
        <f t="shared" si="5"/>
        <v>93.345579461297476</v>
      </c>
      <c r="Q33" s="92">
        <f t="shared" si="6"/>
        <v>93.345687071231197</v>
      </c>
      <c r="R33" s="92">
        <f t="shared" si="7"/>
        <v>1.8404793190101936</v>
      </c>
      <c r="S33" s="92">
        <f t="shared" si="8"/>
        <v>0.2699893781274279</v>
      </c>
      <c r="T33" s="92">
        <f t="shared" si="24"/>
        <v>237.09494902624726</v>
      </c>
      <c r="U33" s="92">
        <f t="shared" si="9"/>
        <v>8.4137387188504515</v>
      </c>
      <c r="V33" s="92">
        <f t="shared" si="10"/>
        <v>6.4071346134289824</v>
      </c>
      <c r="W33" s="92">
        <f t="shared" si="11"/>
        <v>4.7227872020516237</v>
      </c>
      <c r="X33" s="8">
        <f t="shared" si="12"/>
        <v>1.7815197591785297</v>
      </c>
      <c r="Y33" s="8">
        <f t="shared" si="13"/>
        <v>0.36187290969899666</v>
      </c>
      <c r="Z33" s="8">
        <f t="shared" si="14"/>
        <v>0.30769230769230771</v>
      </c>
      <c r="AA33" s="93">
        <f t="shared" si="15"/>
        <v>0.96436058700209637</v>
      </c>
      <c r="AB33" s="93">
        <f t="shared" si="16"/>
        <v>1.580530489472487E-3</v>
      </c>
      <c r="AC33" s="93">
        <f t="shared" si="17"/>
        <v>7.0672302914857952E-4</v>
      </c>
      <c r="AD33" s="92">
        <f t="shared" si="18"/>
        <v>1.580280721286529E-2</v>
      </c>
      <c r="AE33" s="92"/>
      <c r="AF33" s="91">
        <f t="shared" si="19"/>
        <v>0.28249820415883953</v>
      </c>
      <c r="AG33" s="91">
        <f t="shared" si="20"/>
        <v>0.25964446257529622</v>
      </c>
      <c r="AH33" s="91"/>
      <c r="AI33" s="90">
        <f t="shared" si="21"/>
        <v>4.1408069611113957E-3</v>
      </c>
      <c r="AJ33" s="90">
        <f t="shared" si="22"/>
        <v>1.0869565217391304E-2</v>
      </c>
      <c r="AK33" s="90">
        <f t="shared" si="23"/>
        <v>-1.1002831856391283E-3</v>
      </c>
    </row>
    <row r="34" spans="1:37">
      <c r="A34" t="s">
        <v>1323</v>
      </c>
      <c r="B34" s="11" t="s">
        <v>1324</v>
      </c>
      <c r="C34" t="s">
        <v>591</v>
      </c>
      <c r="D34" t="s">
        <v>1234</v>
      </c>
      <c r="E34" s="57">
        <v>7</v>
      </c>
      <c r="F34" s="57" t="s">
        <v>1278</v>
      </c>
      <c r="G34" s="91">
        <v>3.597</v>
      </c>
      <c r="H34" s="95">
        <v>318.8</v>
      </c>
      <c r="I34" s="95">
        <v>102.9</v>
      </c>
      <c r="J34" s="95">
        <v>92.1</v>
      </c>
      <c r="K34" s="92">
        <f t="shared" si="0"/>
        <v>167.66666666666666</v>
      </c>
      <c r="L34" s="92">
        <f t="shared" si="1"/>
        <v>106.83992855179994</v>
      </c>
      <c r="M34" s="92">
        <f t="shared" si="2"/>
        <v>107.08000000000001</v>
      </c>
      <c r="N34" s="92">
        <f t="shared" si="3"/>
        <v>106.95996427589998</v>
      </c>
      <c r="O34" s="92">
        <f t="shared" si="4"/>
        <v>106.96346348262502</v>
      </c>
      <c r="P34" s="92">
        <f t="shared" si="5"/>
        <v>106.95881379426403</v>
      </c>
      <c r="Q34" s="92">
        <f t="shared" si="6"/>
        <v>106.96113863844452</v>
      </c>
      <c r="R34" s="92">
        <f t="shared" si="7"/>
        <v>1.5675647220129543</v>
      </c>
      <c r="S34" s="92">
        <f t="shared" si="8"/>
        <v>0.23696643089630876</v>
      </c>
      <c r="T34" s="92">
        <f t="shared" si="24"/>
        <v>264.61177051831339</v>
      </c>
      <c r="U34" s="92">
        <f t="shared" si="9"/>
        <v>9.2876670711268581</v>
      </c>
      <c r="V34" s="92">
        <f t="shared" si="10"/>
        <v>6.8273653902915727</v>
      </c>
      <c r="W34" s="92">
        <f t="shared" si="11"/>
        <v>5.4530616252392754</v>
      </c>
      <c r="X34" s="8">
        <f t="shared" si="12"/>
        <v>1.7032022943110097</v>
      </c>
      <c r="Y34" s="8">
        <f t="shared" si="13"/>
        <v>0.28889585947302382</v>
      </c>
      <c r="Z34" s="8">
        <f t="shared" si="14"/>
        <v>0.32277289836888334</v>
      </c>
      <c r="AA34" s="93">
        <f t="shared" si="15"/>
        <v>0.90780767534186146</v>
      </c>
      <c r="AB34" s="93">
        <f t="shared" si="16"/>
        <v>1.1235099623062794E-2</v>
      </c>
      <c r="AC34" s="93">
        <f t="shared" si="17"/>
        <v>5.0188526766028309E-3</v>
      </c>
      <c r="AD34" s="92">
        <f t="shared" si="18"/>
        <v>0.1122249104257423</v>
      </c>
      <c r="AE34" s="92"/>
      <c r="AF34" s="91">
        <f t="shared" si="19"/>
        <v>0.26954626925958336</v>
      </c>
      <c r="AG34" s="91">
        <f t="shared" si="20"/>
        <v>0.21102505834752938</v>
      </c>
      <c r="AH34" s="91"/>
      <c r="AI34" s="90">
        <f t="shared" si="21"/>
        <v>3.6034345317595964E-3</v>
      </c>
      <c r="AJ34" s="90">
        <f t="shared" si="22"/>
        <v>9.7181729834791061E-3</v>
      </c>
      <c r="AK34" s="90">
        <f t="shared" si="23"/>
        <v>-8.0768148059152793E-4</v>
      </c>
    </row>
    <row r="35" spans="1:37">
      <c r="A35" t="s">
        <v>1323</v>
      </c>
      <c r="B35" s="11" t="s">
        <v>1322</v>
      </c>
      <c r="C35" t="s">
        <v>591</v>
      </c>
      <c r="D35" t="s">
        <v>1234</v>
      </c>
      <c r="E35" s="57">
        <v>7</v>
      </c>
      <c r="F35" s="57" t="s">
        <v>1278</v>
      </c>
      <c r="G35" s="91">
        <v>3.6019999999999999</v>
      </c>
      <c r="H35" s="95">
        <v>321.7</v>
      </c>
      <c r="I35" s="95">
        <v>104.6</v>
      </c>
      <c r="J35" s="95">
        <v>91.4</v>
      </c>
      <c r="K35" s="92">
        <f t="shared" si="0"/>
        <v>168.16666666666666</v>
      </c>
      <c r="L35" s="92">
        <f t="shared" si="1"/>
        <v>108.57919408636077</v>
      </c>
      <c r="M35" s="92">
        <f t="shared" si="2"/>
        <v>108.81999999999998</v>
      </c>
      <c r="N35" s="92">
        <f t="shared" si="3"/>
        <v>108.69959704318038</v>
      </c>
      <c r="O35" s="92">
        <f t="shared" si="4"/>
        <v>108.70293927851583</v>
      </c>
      <c r="P35" s="92">
        <f t="shared" si="5"/>
        <v>108.69830671385351</v>
      </c>
      <c r="Q35" s="92">
        <f t="shared" si="6"/>
        <v>108.70062299618468</v>
      </c>
      <c r="R35" s="92">
        <f t="shared" si="7"/>
        <v>1.5470771855746925</v>
      </c>
      <c r="S35" s="92">
        <f t="shared" si="8"/>
        <v>0.23410061527928741</v>
      </c>
      <c r="T35" s="92">
        <f t="shared" si="24"/>
        <v>268.29247918319902</v>
      </c>
      <c r="U35" s="92">
        <f t="shared" si="9"/>
        <v>9.3232924436039131</v>
      </c>
      <c r="V35" s="92">
        <f t="shared" si="10"/>
        <v>6.8327904787464595</v>
      </c>
      <c r="W35" s="92">
        <f t="shared" si="11"/>
        <v>5.4934112532091719</v>
      </c>
      <c r="X35" s="8">
        <f t="shared" si="12"/>
        <v>1.6971772208311147</v>
      </c>
      <c r="Y35" s="8">
        <f t="shared" si="13"/>
        <v>0.28411563568542125</v>
      </c>
      <c r="Z35" s="8">
        <f t="shared" si="14"/>
        <v>0.32514765309294374</v>
      </c>
      <c r="AA35" s="93">
        <f t="shared" si="15"/>
        <v>0.90838037342596611</v>
      </c>
      <c r="AB35" s="93">
        <f t="shared" si="16"/>
        <v>1.1088952891273429E-2</v>
      </c>
      <c r="AC35" s="93">
        <f t="shared" si="17"/>
        <v>4.9536394535455259E-3</v>
      </c>
      <c r="AD35" s="92">
        <f t="shared" si="18"/>
        <v>0.11076670024064024</v>
      </c>
      <c r="AE35" s="92"/>
      <c r="AF35" s="91">
        <f t="shared" si="19"/>
        <v>0.26643293038340415</v>
      </c>
      <c r="AG35" s="91">
        <f t="shared" si="20"/>
        <v>0.20841787430201075</v>
      </c>
      <c r="AH35" s="91"/>
      <c r="AI35" s="90">
        <f t="shared" si="21"/>
        <v>3.5554951162507478E-3</v>
      </c>
      <c r="AJ35" s="90">
        <f t="shared" si="22"/>
        <v>9.5602294455066923E-3</v>
      </c>
      <c r="AK35" s="90">
        <f t="shared" si="23"/>
        <v>-7.8666728062289602E-4</v>
      </c>
    </row>
    <row r="36" spans="1:37">
      <c r="A36" t="s">
        <v>1321</v>
      </c>
      <c r="B36" s="11" t="s">
        <v>1320</v>
      </c>
      <c r="C36" t="s">
        <v>591</v>
      </c>
      <c r="D36" t="s">
        <v>1234</v>
      </c>
      <c r="E36" s="57">
        <v>7</v>
      </c>
      <c r="F36" s="57" t="s">
        <v>1278</v>
      </c>
      <c r="G36" s="103">
        <v>3.62</v>
      </c>
      <c r="H36" s="95">
        <v>317.7</v>
      </c>
      <c r="I36" s="95">
        <v>101.1</v>
      </c>
      <c r="J36" s="95">
        <v>98.3</v>
      </c>
      <c r="K36" s="92">
        <f t="shared" si="0"/>
        <v>171.43333333333331</v>
      </c>
      <c r="L36" s="92">
        <f t="shared" si="1"/>
        <v>104.3729531338227</v>
      </c>
      <c r="M36" s="92">
        <f t="shared" si="2"/>
        <v>104.53999999999999</v>
      </c>
      <c r="N36" s="92">
        <f t="shared" si="3"/>
        <v>104.45647656691135</v>
      </c>
      <c r="O36" s="92">
        <f t="shared" si="4"/>
        <v>104.45912959673974</v>
      </c>
      <c r="P36" s="92">
        <f t="shared" si="5"/>
        <v>104.45639640788018</v>
      </c>
      <c r="Q36" s="92">
        <f t="shared" si="6"/>
        <v>104.45776300230996</v>
      </c>
      <c r="R36" s="92">
        <f t="shared" si="7"/>
        <v>1.6411939112604359</v>
      </c>
      <c r="S36" s="92">
        <f t="shared" si="8"/>
        <v>0.24677482857276661</v>
      </c>
      <c r="T36" s="92">
        <f t="shared" si="24"/>
        <v>260.46741133005219</v>
      </c>
      <c r="U36" s="92">
        <f t="shared" si="9"/>
        <v>9.2645083386874916</v>
      </c>
      <c r="V36" s="92">
        <f t="shared" si="10"/>
        <v>6.881662183039305</v>
      </c>
      <c r="W36" s="92">
        <f t="shared" si="11"/>
        <v>5.3717204196702735</v>
      </c>
      <c r="X36" s="8">
        <f t="shared" si="12"/>
        <v>1.7246817806754293</v>
      </c>
      <c r="Y36" s="8">
        <f t="shared" si="13"/>
        <v>0.30941139439723009</v>
      </c>
      <c r="Z36" s="8">
        <f t="shared" si="14"/>
        <v>0.31822474032105758</v>
      </c>
      <c r="AA36" s="93">
        <f t="shared" si="15"/>
        <v>0.92160437556973573</v>
      </c>
      <c r="AB36" s="93">
        <f t="shared" si="16"/>
        <v>8.002402018993493E-3</v>
      </c>
      <c r="AC36" s="93">
        <f t="shared" si="17"/>
        <v>3.5759221456019693E-3</v>
      </c>
      <c r="AD36" s="92">
        <f t="shared" si="18"/>
        <v>7.9960032957019464E-2</v>
      </c>
      <c r="AE36" s="92"/>
      <c r="AF36" s="91">
        <f t="shared" si="19"/>
        <v>0.27444928278399211</v>
      </c>
      <c r="AG36" s="91">
        <f t="shared" si="20"/>
        <v>0.22449365911971536</v>
      </c>
      <c r="AH36" s="91"/>
      <c r="AI36" s="90">
        <f t="shared" si="21"/>
        <v>3.6867202387293155E-3</v>
      </c>
      <c r="AJ36" s="90">
        <f t="shared" si="22"/>
        <v>9.8911968348170138E-3</v>
      </c>
      <c r="AK36" s="90">
        <f t="shared" si="23"/>
        <v>-8.7116490256512432E-4</v>
      </c>
    </row>
    <row r="37" spans="1:37">
      <c r="A37" t="s">
        <v>1793</v>
      </c>
      <c r="B37" s="11" t="s">
        <v>1318</v>
      </c>
      <c r="C37" t="s">
        <v>591</v>
      </c>
      <c r="D37" t="s">
        <v>1234</v>
      </c>
      <c r="E37" s="57">
        <v>7</v>
      </c>
      <c r="F37" s="57" t="s">
        <v>1278</v>
      </c>
      <c r="G37" s="69">
        <v>3.7410000000000001</v>
      </c>
      <c r="H37" s="95">
        <v>310.2</v>
      </c>
      <c r="I37" s="95">
        <v>99.5</v>
      </c>
      <c r="J37" s="95">
        <v>100.4</v>
      </c>
      <c r="K37" s="92">
        <f t="shared" si="0"/>
        <v>170.33333333333334</v>
      </c>
      <c r="L37" s="92">
        <f t="shared" si="1"/>
        <v>101.59188242164687</v>
      </c>
      <c r="M37" s="92">
        <f t="shared" si="2"/>
        <v>101.66</v>
      </c>
      <c r="N37" s="92">
        <f t="shared" si="3"/>
        <v>101.62594121082344</v>
      </c>
      <c r="O37" s="92">
        <f t="shared" si="4"/>
        <v>101.62696432739854</v>
      </c>
      <c r="P37" s="92">
        <f t="shared" si="5"/>
        <v>101.62624247579501</v>
      </c>
      <c r="Q37" s="92">
        <f t="shared" si="6"/>
        <v>101.62660340159678</v>
      </c>
      <c r="R37" s="92">
        <f t="shared" si="7"/>
        <v>1.6760812377616865</v>
      </c>
      <c r="S37" s="92">
        <f t="shared" si="8"/>
        <v>0.2511713077070365</v>
      </c>
      <c r="T37" s="92">
        <f t="shared" si="24"/>
        <v>254.30292352340877</v>
      </c>
      <c r="U37" s="92">
        <f t="shared" si="9"/>
        <v>9.0416865261333434</v>
      </c>
      <c r="V37" s="92">
        <f t="shared" si="10"/>
        <v>6.7477031512199011</v>
      </c>
      <c r="W37" s="92">
        <f t="shared" si="11"/>
        <v>5.2120483559641597</v>
      </c>
      <c r="X37" s="8">
        <f t="shared" si="12"/>
        <v>1.7347664312797328</v>
      </c>
      <c r="Y37" s="8">
        <f t="shared" si="13"/>
        <v>0.32366215344938754</v>
      </c>
      <c r="Z37" s="8">
        <f t="shared" si="14"/>
        <v>0.32076079948420377</v>
      </c>
      <c r="AA37" s="93">
        <f t="shared" si="15"/>
        <v>0.94852240228789331</v>
      </c>
      <c r="AB37" s="93">
        <f t="shared" si="16"/>
        <v>3.3525108861747199E-3</v>
      </c>
      <c r="AC37" s="93">
        <f t="shared" si="17"/>
        <v>1.4987860338421431E-3</v>
      </c>
      <c r="AD37" s="92">
        <f t="shared" si="18"/>
        <v>3.3513873299246641E-2</v>
      </c>
      <c r="AE37" s="92"/>
      <c r="AF37" s="91">
        <f t="shared" si="19"/>
        <v>0.26919998863485689</v>
      </c>
      <c r="AG37" s="91">
        <f t="shared" si="20"/>
        <v>0.23653230541927914</v>
      </c>
      <c r="AH37" s="91"/>
      <c r="AI37" s="90">
        <f t="shared" si="21"/>
        <v>3.8299452092105243E-3</v>
      </c>
      <c r="AJ37" s="90">
        <f t="shared" si="22"/>
        <v>1.0050251256281407E-2</v>
      </c>
      <c r="AK37" s="90">
        <f t="shared" si="23"/>
        <v>-9.3649902339195486E-4</v>
      </c>
    </row>
    <row r="38" spans="1:37">
      <c r="A38" t="s">
        <v>1316</v>
      </c>
      <c r="B38" s="11" t="s">
        <v>1317</v>
      </c>
      <c r="C38" t="s">
        <v>591</v>
      </c>
      <c r="D38" t="s">
        <v>1234</v>
      </c>
      <c r="E38" s="57">
        <v>7</v>
      </c>
      <c r="F38" s="57" t="s">
        <v>1278</v>
      </c>
      <c r="G38" s="91">
        <v>3.605</v>
      </c>
      <c r="H38" s="95">
        <v>313.60000000000002</v>
      </c>
      <c r="I38" s="95">
        <v>99.5</v>
      </c>
      <c r="J38" s="95">
        <v>90.7</v>
      </c>
      <c r="K38" s="92">
        <f t="shared" si="0"/>
        <v>165</v>
      </c>
      <c r="L38" s="92">
        <f t="shared" si="1"/>
        <v>103.95870441548703</v>
      </c>
      <c r="M38" s="92">
        <f t="shared" si="2"/>
        <v>104.28000000000002</v>
      </c>
      <c r="N38" s="92">
        <f t="shared" si="3"/>
        <v>104.11935220774353</v>
      </c>
      <c r="O38" s="92">
        <f t="shared" si="4"/>
        <v>104.12455178358741</v>
      </c>
      <c r="P38" s="92">
        <f t="shared" si="5"/>
        <v>104.11725375069484</v>
      </c>
      <c r="Q38" s="92">
        <f t="shared" si="6"/>
        <v>104.12090276714113</v>
      </c>
      <c r="R38" s="92">
        <f t="shared" si="7"/>
        <v>1.5847198095391979</v>
      </c>
      <c r="S38" s="92">
        <f t="shared" si="8"/>
        <v>0.23931900591076133</v>
      </c>
      <c r="T38" s="92">
        <f t="shared" si="24"/>
        <v>258.07418414834632</v>
      </c>
      <c r="U38" s="92">
        <f t="shared" si="9"/>
        <v>9.1803595900983765</v>
      </c>
      <c r="V38" s="92">
        <f t="shared" si="10"/>
        <v>6.7653354843914544</v>
      </c>
      <c r="W38" s="92">
        <f t="shared" si="11"/>
        <v>5.3741909614712071</v>
      </c>
      <c r="X38" s="8">
        <f t="shared" si="12"/>
        <v>1.7082309981008221</v>
      </c>
      <c r="Y38" s="8">
        <f t="shared" si="13"/>
        <v>0.28922193877551017</v>
      </c>
      <c r="Z38" s="8">
        <f t="shared" si="14"/>
        <v>0.31728316326530609</v>
      </c>
      <c r="AA38" s="93">
        <f t="shared" si="15"/>
        <v>0.89277703005832199</v>
      </c>
      <c r="AB38" s="93">
        <f t="shared" si="16"/>
        <v>1.5453039085062237E-2</v>
      </c>
      <c r="AC38" s="93">
        <f t="shared" si="17"/>
        <v>6.9001518230179006E-3</v>
      </c>
      <c r="AD38" s="92">
        <f t="shared" si="18"/>
        <v>0.15429196287733241</v>
      </c>
      <c r="AE38" s="92"/>
      <c r="AF38" s="91">
        <f t="shared" si="19"/>
        <v>0.2774607666119222</v>
      </c>
      <c r="AG38" s="91">
        <f t="shared" si="20"/>
        <v>0.20897419792187069</v>
      </c>
      <c r="AH38" s="91"/>
      <c r="AI38" s="90">
        <f t="shared" si="21"/>
        <v>3.6642784960416184E-3</v>
      </c>
      <c r="AJ38" s="90">
        <f t="shared" si="22"/>
        <v>1.0050251256281407E-2</v>
      </c>
      <c r="AK38" s="90">
        <f t="shared" si="23"/>
        <v>-8.2203823791979908E-4</v>
      </c>
    </row>
    <row r="39" spans="1:37">
      <c r="A39" t="s">
        <v>1316</v>
      </c>
      <c r="B39" s="11" t="s">
        <v>1315</v>
      </c>
      <c r="C39" t="s">
        <v>591</v>
      </c>
      <c r="D39" t="s">
        <v>1234</v>
      </c>
      <c r="E39" s="57">
        <v>7</v>
      </c>
      <c r="F39" s="57" t="s">
        <v>1278</v>
      </c>
      <c r="G39" s="91">
        <v>3.6589999999999998</v>
      </c>
      <c r="H39" s="95">
        <v>306.10000000000002</v>
      </c>
      <c r="I39" s="95">
        <v>98.8</v>
      </c>
      <c r="J39" s="95">
        <v>88.7</v>
      </c>
      <c r="K39" s="92">
        <f t="shared" si="0"/>
        <v>161.16666666666666</v>
      </c>
      <c r="L39" s="92">
        <f t="shared" si="1"/>
        <v>102.53542104258165</v>
      </c>
      <c r="M39" s="92">
        <f t="shared" si="2"/>
        <v>102.75999999999999</v>
      </c>
      <c r="N39" s="92">
        <f t="shared" si="3"/>
        <v>102.64771052129082</v>
      </c>
      <c r="O39" s="92">
        <f t="shared" si="4"/>
        <v>102.65098421345566</v>
      </c>
      <c r="P39" s="92">
        <f t="shared" si="5"/>
        <v>102.64668970740027</v>
      </c>
      <c r="Q39" s="92">
        <f t="shared" si="6"/>
        <v>102.64883696042796</v>
      </c>
      <c r="R39" s="92">
        <f t="shared" si="7"/>
        <v>1.570095093677107</v>
      </c>
      <c r="S39" s="92">
        <f t="shared" si="8"/>
        <v>0.23731610135438125</v>
      </c>
      <c r="T39" s="92">
        <f t="shared" si="24"/>
        <v>254.01532999031329</v>
      </c>
      <c r="U39" s="92">
        <f t="shared" si="9"/>
        <v>9.025037002299868</v>
      </c>
      <c r="V39" s="92">
        <f t="shared" si="10"/>
        <v>6.6367644964077179</v>
      </c>
      <c r="W39" s="92">
        <f t="shared" si="11"/>
        <v>5.296554298228032</v>
      </c>
      <c r="X39" s="8">
        <f t="shared" si="12"/>
        <v>1.7039449600883358</v>
      </c>
      <c r="Y39" s="8">
        <f t="shared" si="13"/>
        <v>0.28977458346945439</v>
      </c>
      <c r="Z39" s="8">
        <f t="shared" si="14"/>
        <v>0.32277033649134268</v>
      </c>
      <c r="AA39" s="93">
        <f t="shared" si="15"/>
        <v>0.90892364305427764</v>
      </c>
      <c r="AB39" s="93">
        <f t="shared" si="16"/>
        <v>1.0951286644889535E-2</v>
      </c>
      <c r="AC39" s="93">
        <f t="shared" si="17"/>
        <v>4.8922086315206616E-3</v>
      </c>
      <c r="AD39" s="92">
        <f t="shared" si="18"/>
        <v>0.10939306696556247</v>
      </c>
      <c r="AE39" s="92"/>
      <c r="AF39" s="91">
        <f t="shared" si="19"/>
        <v>0.26949280747273563</v>
      </c>
      <c r="AG39" s="91">
        <f t="shared" si="20"/>
        <v>0.21168241743602859</v>
      </c>
      <c r="AH39" s="91"/>
      <c r="AI39" s="90">
        <f t="shared" si="21"/>
        <v>3.7559614471677589E-3</v>
      </c>
      <c r="AJ39" s="90">
        <f t="shared" si="22"/>
        <v>1.0121457489878543E-2</v>
      </c>
      <c r="AK39" s="90">
        <f t="shared" si="23"/>
        <v>-8.4385456019194578E-4</v>
      </c>
    </row>
    <row r="40" spans="1:37">
      <c r="A40" t="s">
        <v>1794</v>
      </c>
      <c r="B40" s="11" t="s">
        <v>1313</v>
      </c>
      <c r="C40" t="s">
        <v>591</v>
      </c>
      <c r="D40" t="s">
        <v>1234</v>
      </c>
      <c r="E40" s="57">
        <v>7</v>
      </c>
      <c r="F40" s="57" t="s">
        <v>1278</v>
      </c>
      <c r="G40" s="91">
        <v>3.7749999999999999</v>
      </c>
      <c r="H40" s="95">
        <v>281.2</v>
      </c>
      <c r="I40" s="95">
        <v>87.9</v>
      </c>
      <c r="J40" s="95">
        <v>80.400000000000006</v>
      </c>
      <c r="K40" s="92">
        <f t="shared" si="0"/>
        <v>147.33333333333334</v>
      </c>
      <c r="L40" s="92">
        <f t="shared" si="1"/>
        <v>92.506918238993705</v>
      </c>
      <c r="M40" s="92">
        <f t="shared" si="2"/>
        <v>92.9</v>
      </c>
      <c r="N40" s="92">
        <f t="shared" si="3"/>
        <v>92.703459119496856</v>
      </c>
      <c r="O40" s="92">
        <f t="shared" si="4"/>
        <v>92.71035881961015</v>
      </c>
      <c r="P40" s="92">
        <f t="shared" si="5"/>
        <v>92.699891668194212</v>
      </c>
      <c r="Q40" s="92">
        <f t="shared" si="6"/>
        <v>92.705125243902188</v>
      </c>
      <c r="R40" s="92">
        <f t="shared" si="7"/>
        <v>1.5892970416930974</v>
      </c>
      <c r="S40" s="92">
        <f t="shared" si="8"/>
        <v>0.23993961268133687</v>
      </c>
      <c r="T40" s="92">
        <f t="shared" si="24"/>
        <v>229.89338238969819</v>
      </c>
      <c r="U40" s="92">
        <f t="shared" si="9"/>
        <v>8.4718145157993909</v>
      </c>
      <c r="V40" s="92">
        <f t="shared" si="10"/>
        <v>6.2472952204729317</v>
      </c>
      <c r="W40" s="92">
        <f t="shared" si="11"/>
        <v>4.9555229505849328</v>
      </c>
      <c r="X40" s="8">
        <f t="shared" si="12"/>
        <v>1.7095702310892147</v>
      </c>
      <c r="Y40" s="8">
        <f t="shared" si="13"/>
        <v>0.28591749644381226</v>
      </c>
      <c r="Z40" s="8">
        <f t="shared" si="14"/>
        <v>0.31258890469416789</v>
      </c>
      <c r="AA40" s="93">
        <f t="shared" si="15"/>
        <v>0.8754980079681276</v>
      </c>
      <c r="AB40" s="90">
        <f t="shared" si="16"/>
        <v>2.1246073725575521E-2</v>
      </c>
      <c r="AC40" s="93">
        <f t="shared" si="17"/>
        <v>9.4814029983442891E-3</v>
      </c>
      <c r="AD40" s="92">
        <f t="shared" si="18"/>
        <v>0.21201029861227128</v>
      </c>
      <c r="AE40" s="92"/>
      <c r="AF40" s="91">
        <f t="shared" si="19"/>
        <v>0.28452890745804132</v>
      </c>
      <c r="AG40" s="91">
        <f t="shared" si="20"/>
        <v>0.20456570355751594</v>
      </c>
      <c r="AH40" s="91"/>
      <c r="AI40" s="90">
        <f t="shared" si="21"/>
        <v>4.0742009338212764E-3</v>
      </c>
      <c r="AJ40" s="90">
        <f t="shared" si="22"/>
        <v>1.1376564277588168E-2</v>
      </c>
      <c r="AK40" s="90">
        <f t="shared" si="23"/>
        <v>-9.0587874745362454E-4</v>
      </c>
    </row>
    <row r="41" spans="1:37">
      <c r="A41" t="s">
        <v>1311</v>
      </c>
      <c r="B41" s="11" t="s">
        <v>1312</v>
      </c>
      <c r="C41" t="s">
        <v>591</v>
      </c>
      <c r="D41" t="s">
        <v>1234</v>
      </c>
      <c r="E41" s="57">
        <v>7</v>
      </c>
      <c r="F41" s="57" t="s">
        <v>1278</v>
      </c>
      <c r="G41" s="91">
        <v>3.8359999999999999</v>
      </c>
      <c r="H41" s="95">
        <v>289</v>
      </c>
      <c r="I41" s="95">
        <v>85</v>
      </c>
      <c r="J41" s="95">
        <v>92</v>
      </c>
      <c r="K41" s="92">
        <f t="shared" si="0"/>
        <v>157.66666666666666</v>
      </c>
      <c r="L41" s="92">
        <f t="shared" si="1"/>
        <v>89.930182599355533</v>
      </c>
      <c r="M41" s="92">
        <f t="shared" si="2"/>
        <v>90.4</v>
      </c>
      <c r="N41" s="92">
        <f t="shared" si="3"/>
        <v>90.165091299677769</v>
      </c>
      <c r="O41" s="92">
        <f t="shared" si="4"/>
        <v>90.175987223298421</v>
      </c>
      <c r="P41" s="92">
        <f t="shared" si="5"/>
        <v>90.162088988340287</v>
      </c>
      <c r="Q41" s="92">
        <f t="shared" si="6"/>
        <v>90.169038105819354</v>
      </c>
      <c r="R41" s="92">
        <f t="shared" si="7"/>
        <v>1.7486442302003207</v>
      </c>
      <c r="S41" s="92">
        <f t="shared" si="8"/>
        <v>0.25984371361266217</v>
      </c>
      <c r="T41" s="92">
        <f t="shared" si="24"/>
        <v>227.18784692242156</v>
      </c>
      <c r="U41" s="92">
        <f t="shared" si="9"/>
        <v>8.5112755428251923</v>
      </c>
      <c r="V41" s="92">
        <f t="shared" si="10"/>
        <v>6.4110718446085677</v>
      </c>
      <c r="W41" s="92">
        <f t="shared" si="11"/>
        <v>4.8481931558954168</v>
      </c>
      <c r="X41" s="8">
        <f t="shared" si="12"/>
        <v>1.7555561977714225</v>
      </c>
      <c r="Y41" s="8">
        <f t="shared" si="13"/>
        <v>0.31833910034602075</v>
      </c>
      <c r="Z41" s="8">
        <f t="shared" si="14"/>
        <v>0.29411764705882354</v>
      </c>
      <c r="AA41" s="93">
        <f t="shared" si="15"/>
        <v>0.86294416243654826</v>
      </c>
      <c r="AB41" s="90">
        <f t="shared" si="16"/>
        <v>2.6121230217975189E-2</v>
      </c>
      <c r="AC41" s="93">
        <f t="shared" si="17"/>
        <v>1.1651360927360504E-2</v>
      </c>
      <c r="AD41" s="92">
        <f t="shared" si="18"/>
        <v>0.26053176116850008</v>
      </c>
      <c r="AE41" s="92"/>
      <c r="AF41" s="91">
        <f t="shared" si="19"/>
        <v>0.30954037284538793</v>
      </c>
      <c r="AG41" s="91">
        <f t="shared" si="20"/>
        <v>0.21980029653364813</v>
      </c>
      <c r="AH41" s="91"/>
      <c r="AI41" s="90">
        <f t="shared" si="21"/>
        <v>4.0888163896073233E-3</v>
      </c>
      <c r="AJ41" s="90">
        <f t="shared" si="22"/>
        <v>1.1764705882352941E-2</v>
      </c>
      <c r="AK41" s="90">
        <f t="shared" si="23"/>
        <v>-9.8732574237237196E-4</v>
      </c>
    </row>
    <row r="42" spans="1:37">
      <c r="A42" t="s">
        <v>1311</v>
      </c>
      <c r="B42" s="11" t="s">
        <v>1310</v>
      </c>
      <c r="C42" t="s">
        <v>591</v>
      </c>
      <c r="D42" t="s">
        <v>1234</v>
      </c>
      <c r="E42" s="57">
        <v>7</v>
      </c>
      <c r="F42" s="57" t="s">
        <v>1278</v>
      </c>
      <c r="G42" s="92">
        <v>3.843</v>
      </c>
      <c r="H42" s="95">
        <v>284</v>
      </c>
      <c r="I42" s="95">
        <v>82.9</v>
      </c>
      <c r="J42" s="95">
        <v>88.1</v>
      </c>
      <c r="K42" s="92">
        <f t="shared" si="0"/>
        <v>153.4</v>
      </c>
      <c r="L42" s="92">
        <f t="shared" si="1"/>
        <v>88.328673991080166</v>
      </c>
      <c r="M42" s="92">
        <f t="shared" si="2"/>
        <v>88.92</v>
      </c>
      <c r="N42" s="92">
        <f t="shared" si="3"/>
        <v>88.624336995540091</v>
      </c>
      <c r="O42" s="92">
        <f t="shared" si="4"/>
        <v>88.63845084512532</v>
      </c>
      <c r="P42" s="92">
        <f t="shared" si="5"/>
        <v>88.618660432587703</v>
      </c>
      <c r="Q42" s="92">
        <f t="shared" si="6"/>
        <v>88.628555638856511</v>
      </c>
      <c r="R42" s="92">
        <f t="shared" si="7"/>
        <v>1.730901524349002</v>
      </c>
      <c r="S42" s="92">
        <f t="shared" si="8"/>
        <v>0.25777949968280944</v>
      </c>
      <c r="T42" s="92">
        <f t="shared" si="24"/>
        <v>222.93974849194223</v>
      </c>
      <c r="U42" s="92">
        <f t="shared" si="9"/>
        <v>8.4062505810753301</v>
      </c>
      <c r="V42" s="92">
        <f t="shared" si="10"/>
        <v>6.3179689552901737</v>
      </c>
      <c r="W42" s="92">
        <f t="shared" si="11"/>
        <v>4.8022117647875744</v>
      </c>
      <c r="X42" s="8">
        <f t="shared" si="12"/>
        <v>1.7504956034455885</v>
      </c>
      <c r="Y42" s="8">
        <f t="shared" si="13"/>
        <v>0.31021126760563378</v>
      </c>
      <c r="Z42" s="8">
        <f t="shared" si="14"/>
        <v>0.29190140845070423</v>
      </c>
      <c r="AA42" s="93">
        <f t="shared" si="15"/>
        <v>0.846350178662583</v>
      </c>
      <c r="AB42" s="90">
        <f t="shared" si="16"/>
        <v>3.3473049135751332E-2</v>
      </c>
      <c r="AC42" s="93">
        <f t="shared" si="17"/>
        <v>1.4919717349829106E-2</v>
      </c>
      <c r="AD42" s="92">
        <f t="shared" si="18"/>
        <v>0.33361378429809507</v>
      </c>
      <c r="AE42" s="92"/>
      <c r="AF42" s="91">
        <f t="shared" si="19"/>
        <v>0.31379962661135158</v>
      </c>
      <c r="AG42" s="91">
        <f t="shared" si="20"/>
        <v>0.21286708766035184</v>
      </c>
      <c r="AH42" s="91"/>
      <c r="AI42" s="90">
        <f t="shared" si="21"/>
        <v>4.1274195763255379E-3</v>
      </c>
      <c r="AJ42" s="90">
        <f t="shared" si="22"/>
        <v>1.2062726176115802E-2</v>
      </c>
      <c r="AK42" s="90">
        <f t="shared" si="23"/>
        <v>-9.7722565083117408E-4</v>
      </c>
    </row>
    <row r="43" spans="1:37">
      <c r="A43" t="s">
        <v>1309</v>
      </c>
      <c r="B43" s="11" t="s">
        <v>1308</v>
      </c>
      <c r="C43" t="s">
        <v>591</v>
      </c>
      <c r="D43" t="s">
        <v>1234</v>
      </c>
      <c r="E43" s="57">
        <v>7</v>
      </c>
      <c r="F43" s="57" t="s">
        <v>1278</v>
      </c>
      <c r="G43" s="92">
        <v>3.85</v>
      </c>
      <c r="H43" s="95">
        <v>304</v>
      </c>
      <c r="I43" s="95">
        <v>84</v>
      </c>
      <c r="J43" s="95">
        <v>91</v>
      </c>
      <c r="K43" s="92">
        <f t="shared" si="0"/>
        <v>162</v>
      </c>
      <c r="L43" s="92">
        <f t="shared" si="1"/>
        <v>91.753846153846155</v>
      </c>
      <c r="M43" s="92">
        <f t="shared" si="2"/>
        <v>93</v>
      </c>
      <c r="N43" s="92">
        <f t="shared" si="3"/>
        <v>92.376923076923077</v>
      </c>
      <c r="O43" s="92">
        <f t="shared" si="4"/>
        <v>92.412589441113909</v>
      </c>
      <c r="P43" s="92">
        <f t="shared" si="5"/>
        <v>92.353254294701188</v>
      </c>
      <c r="Q43" s="92">
        <f t="shared" si="6"/>
        <v>92.382921867907555</v>
      </c>
      <c r="R43" s="92">
        <f t="shared" si="7"/>
        <v>1.7536847364476642</v>
      </c>
      <c r="S43" s="92">
        <f t="shared" si="8"/>
        <v>0.26042373219486892</v>
      </c>
      <c r="T43" s="92">
        <f t="shared" si="24"/>
        <v>232.8681323065874</v>
      </c>
      <c r="U43" s="92">
        <f t="shared" si="9"/>
        <v>8.6063889099860038</v>
      </c>
      <c r="V43" s="92">
        <f t="shared" si="10"/>
        <v>6.4867497314080245</v>
      </c>
      <c r="W43" s="92">
        <f t="shared" si="11"/>
        <v>4.8983676866897197</v>
      </c>
      <c r="X43" s="8">
        <f t="shared" si="12"/>
        <v>1.7569911979805128</v>
      </c>
      <c r="Y43" s="8">
        <f t="shared" si="13"/>
        <v>0.29934210526315791</v>
      </c>
      <c r="Z43" s="8">
        <f t="shared" si="14"/>
        <v>0.27631578947368424</v>
      </c>
      <c r="AA43" s="93">
        <f t="shared" si="15"/>
        <v>0.78873239436619713</v>
      </c>
      <c r="AB43" s="90">
        <f t="shared" si="16"/>
        <v>6.7907444668008132E-2</v>
      </c>
      <c r="AC43" s="93">
        <f t="shared" si="17"/>
        <v>3.0164751921691837E-2</v>
      </c>
      <c r="AD43" s="92">
        <f t="shared" si="18"/>
        <v>0.67449412940294728</v>
      </c>
      <c r="AE43" s="92"/>
      <c r="AF43" s="91">
        <f t="shared" si="19"/>
        <v>0.33925868426159517</v>
      </c>
      <c r="AG43" s="91">
        <f t="shared" si="20"/>
        <v>0.19778769648748301</v>
      </c>
      <c r="AH43" s="91"/>
      <c r="AI43" s="90">
        <f t="shared" si="21"/>
        <v>3.8157615100755425E-3</v>
      </c>
      <c r="AJ43" s="90">
        <f t="shared" si="22"/>
        <v>1.1904761904761904E-2</v>
      </c>
      <c r="AK43" s="90">
        <f t="shared" si="23"/>
        <v>-8.7907417067563127E-4</v>
      </c>
    </row>
    <row r="44" spans="1:37">
      <c r="A44" t="s">
        <v>1307</v>
      </c>
      <c r="B44" s="11" t="s">
        <v>1306</v>
      </c>
      <c r="C44" t="s">
        <v>591</v>
      </c>
      <c r="D44" t="s">
        <v>1234</v>
      </c>
      <c r="E44" s="57">
        <v>7</v>
      </c>
      <c r="F44" s="57" t="s">
        <v>1278</v>
      </c>
      <c r="G44" s="59">
        <v>3.13</v>
      </c>
      <c r="H44" s="95">
        <v>187</v>
      </c>
      <c r="I44" s="95">
        <v>63.9</v>
      </c>
      <c r="J44" s="95">
        <v>57</v>
      </c>
      <c r="K44" s="92">
        <f t="shared" si="0"/>
        <v>100.33333333333333</v>
      </c>
      <c r="L44" s="92">
        <f t="shared" si="1"/>
        <v>64.335501858736052</v>
      </c>
      <c r="M44" s="92">
        <f t="shared" si="2"/>
        <v>64.34</v>
      </c>
      <c r="N44" s="92">
        <f t="shared" si="3"/>
        <v>64.337750929368028</v>
      </c>
      <c r="O44" s="92">
        <f t="shared" si="4"/>
        <v>64.337791439564356</v>
      </c>
      <c r="P44" s="92">
        <f t="shared" si="5"/>
        <v>64.337776066064578</v>
      </c>
      <c r="Q44" s="92">
        <f t="shared" si="6"/>
        <v>64.33778375281446</v>
      </c>
      <c r="R44" s="92">
        <f t="shared" si="7"/>
        <v>1.5594784070627892</v>
      </c>
      <c r="S44" s="92">
        <f t="shared" si="8"/>
        <v>0.23584272047289745</v>
      </c>
      <c r="T44" s="92">
        <f t="shared" si="24"/>
        <v>159.0226822753157</v>
      </c>
      <c r="U44" s="92">
        <f t="shared" si="9"/>
        <v>7.7111802414018138</v>
      </c>
      <c r="V44" s="92">
        <f t="shared" si="10"/>
        <v>5.6617469090173786</v>
      </c>
      <c r="W44" s="92">
        <f t="shared" si="11"/>
        <v>4.533783407951181</v>
      </c>
      <c r="X44" s="8">
        <f t="shared" si="12"/>
        <v>1.7008267814201781</v>
      </c>
      <c r="Y44" s="8">
        <f t="shared" si="13"/>
        <v>0.30481283422459893</v>
      </c>
      <c r="Z44" s="8">
        <f t="shared" si="14"/>
        <v>0.34171122994652403</v>
      </c>
      <c r="AA44" s="93">
        <f t="shared" si="15"/>
        <v>0.98307692307692307</v>
      </c>
      <c r="AB44" s="90">
        <f t="shared" si="16"/>
        <v>3.4958468761381312E-4</v>
      </c>
      <c r="AC44" s="93">
        <f t="shared" si="17"/>
        <v>1.563335599611147E-4</v>
      </c>
      <c r="AD44" s="92">
        <f t="shared" si="18"/>
        <v>3.4957246709554214E-3</v>
      </c>
      <c r="AE44" s="92"/>
      <c r="AF44" s="91">
        <f t="shared" si="19"/>
        <v>0.24165854865886283</v>
      </c>
      <c r="AG44" s="91">
        <f t="shared" si="20"/>
        <v>0.23115220709328779</v>
      </c>
      <c r="AH44" s="91"/>
      <c r="AI44" s="90">
        <f t="shared" si="21"/>
        <v>6.2356248402760028E-3</v>
      </c>
      <c r="AJ44" s="90">
        <f t="shared" si="22"/>
        <v>1.5649452269170579E-2</v>
      </c>
      <c r="AK44" s="90">
        <f t="shared" si="23"/>
        <v>-1.4566828520316893E-3</v>
      </c>
    </row>
    <row r="45" spans="1:37">
      <c r="A45" t="s">
        <v>1303</v>
      </c>
      <c r="B45" s="11" t="s">
        <v>1305</v>
      </c>
      <c r="C45" t="s">
        <v>591</v>
      </c>
      <c r="D45" t="s">
        <v>1234</v>
      </c>
      <c r="E45" s="57">
        <v>7</v>
      </c>
      <c r="F45" s="57" t="s">
        <v>1278</v>
      </c>
      <c r="G45" s="92">
        <v>3.552</v>
      </c>
      <c r="H45" s="95">
        <v>290</v>
      </c>
      <c r="I45" s="95">
        <v>91</v>
      </c>
      <c r="J45" s="95">
        <v>109</v>
      </c>
      <c r="K45" s="92">
        <f t="shared" si="0"/>
        <v>169.33333333333334</v>
      </c>
      <c r="L45" s="92">
        <f t="shared" si="1"/>
        <v>90.799338478500545</v>
      </c>
      <c r="M45" s="92">
        <f t="shared" si="2"/>
        <v>90.8</v>
      </c>
      <c r="N45" s="92">
        <f t="shared" si="3"/>
        <v>90.799669239250278</v>
      </c>
      <c r="O45" s="92">
        <f t="shared" si="4"/>
        <v>90.799679975965205</v>
      </c>
      <c r="P45" s="92">
        <f t="shared" si="5"/>
        <v>90.799680708943285</v>
      </c>
      <c r="Q45" s="92">
        <f t="shared" si="6"/>
        <v>90.799680342454252</v>
      </c>
      <c r="R45" s="92">
        <f t="shared" si="7"/>
        <v>1.8649113455155082</v>
      </c>
      <c r="S45" s="92">
        <f t="shared" si="8"/>
        <v>0.27254579309986737</v>
      </c>
      <c r="T45" s="92">
        <f t="shared" si="24"/>
        <v>231.09347421053477</v>
      </c>
      <c r="U45" s="92">
        <f t="shared" si="9"/>
        <v>9.0419374360430176</v>
      </c>
      <c r="V45" s="92">
        <f t="shared" si="10"/>
        <v>6.9045400044226461</v>
      </c>
      <c r="W45" s="92">
        <f t="shared" si="11"/>
        <v>5.0559835782449518</v>
      </c>
      <c r="X45" s="8">
        <f t="shared" si="12"/>
        <v>1.7883636875224349</v>
      </c>
      <c r="Y45" s="8">
        <f t="shared" si="13"/>
        <v>0.37586206896551722</v>
      </c>
      <c r="Z45" s="8">
        <f t="shared" si="14"/>
        <v>0.31379310344827588</v>
      </c>
      <c r="AA45" s="93">
        <f t="shared" si="15"/>
        <v>1.0055248618784531</v>
      </c>
      <c r="AB45" s="90">
        <f t="shared" si="16"/>
        <v>3.6427660737636813E-5</v>
      </c>
      <c r="AC45" s="93">
        <f t="shared" si="17"/>
        <v>1.6290885789919998E-5</v>
      </c>
      <c r="AD45" s="92">
        <f t="shared" si="18"/>
        <v>3.6427528040299017E-4</v>
      </c>
      <c r="AE45" s="92"/>
      <c r="AF45" s="91">
        <f t="shared" si="19"/>
        <v>0.27063180587032226</v>
      </c>
      <c r="AG45" s="91">
        <f t="shared" si="20"/>
        <v>0.27414183848322371</v>
      </c>
      <c r="AH45" s="91"/>
      <c r="AI45" s="90">
        <f t="shared" si="21"/>
        <v>4.3394092313046506E-3</v>
      </c>
      <c r="AJ45" s="90">
        <f t="shared" si="22"/>
        <v>1.098901098901099E-2</v>
      </c>
      <c r="AK45" s="90">
        <f t="shared" si="23"/>
        <v>-1.1854526471483883E-3</v>
      </c>
    </row>
    <row r="46" spans="1:37">
      <c r="A46" t="s">
        <v>1303</v>
      </c>
      <c r="B46" s="11" t="s">
        <v>1304</v>
      </c>
      <c r="C46" t="s">
        <v>591</v>
      </c>
      <c r="D46" t="s">
        <v>1234</v>
      </c>
      <c r="E46" s="57">
        <v>7</v>
      </c>
      <c r="F46" s="57" t="s">
        <v>1278</v>
      </c>
      <c r="G46" s="59">
        <v>3.601</v>
      </c>
      <c r="H46" s="95">
        <v>296</v>
      </c>
      <c r="I46" s="95">
        <v>92</v>
      </c>
      <c r="J46" s="95">
        <v>112</v>
      </c>
      <c r="K46" s="92">
        <f t="shared" si="0"/>
        <v>173.33333333333334</v>
      </c>
      <c r="L46" s="92">
        <f t="shared" si="1"/>
        <v>92</v>
      </c>
      <c r="M46" s="92">
        <f t="shared" si="2"/>
        <v>92</v>
      </c>
      <c r="N46" s="92">
        <f t="shared" si="3"/>
        <v>92</v>
      </c>
      <c r="O46" s="92">
        <f>0.5*(H46-J46)+3/(5/(0.01)-4*(-3*(K46+(H46-J46))/(5*0.5*(H46-J46)*(3*K46+2*(H46-J46)))))</f>
        <v>92.005999874033193</v>
      </c>
      <c r="P46" s="92">
        <f>I46+2/(5/(0.1)-6*(-(3*(K46+2*I46))/(5*I46*(3*K46+4*I46))))</f>
        <v>92.039987407021059</v>
      </c>
      <c r="Q46" s="92">
        <f t="shared" si="6"/>
        <v>92.022993640527119</v>
      </c>
      <c r="R46" s="92">
        <f t="shared" si="7"/>
        <v>1.8840579710144929</v>
      </c>
      <c r="S46" s="92">
        <f t="shared" si="8"/>
        <v>0.27450980392156865</v>
      </c>
      <c r="T46" s="92">
        <f t="shared" si="24"/>
        <v>234.50980392156862</v>
      </c>
      <c r="U46" s="92">
        <f t="shared" si="9"/>
        <v>9.0663878727194778</v>
      </c>
      <c r="V46" s="92">
        <f t="shared" si="10"/>
        <v>6.9379231313596028</v>
      </c>
      <c r="W46" s="92">
        <f t="shared" si="11"/>
        <v>5.0545483241784472</v>
      </c>
      <c r="X46" s="8">
        <f t="shared" si="12"/>
        <v>1.7937088125857625</v>
      </c>
      <c r="Y46" s="8">
        <f t="shared" si="13"/>
        <v>0.3783783783783784</v>
      </c>
      <c r="Z46" s="8">
        <f t="shared" si="14"/>
        <v>0.3108108108108108</v>
      </c>
      <c r="AA46" s="93">
        <f t="shared" si="15"/>
        <v>1</v>
      </c>
      <c r="AB46" s="90">
        <f t="shared" si="16"/>
        <v>0</v>
      </c>
      <c r="AC46" s="93">
        <f t="shared" si="17"/>
        <v>0</v>
      </c>
      <c r="AD46" s="92">
        <f t="shared" si="18"/>
        <v>0</v>
      </c>
      <c r="AE46" s="92"/>
      <c r="AF46" s="91">
        <f t="shared" si="19"/>
        <v>0.27450980392156865</v>
      </c>
      <c r="AG46" s="91">
        <f t="shared" si="20"/>
        <v>0.27450980392156865</v>
      </c>
      <c r="AH46" s="91"/>
      <c r="AI46" s="90">
        <f t="shared" si="21"/>
        <v>4.2642140468227424E-3</v>
      </c>
      <c r="AJ46" s="90">
        <f t="shared" si="22"/>
        <v>1.0869565217391304E-2</v>
      </c>
      <c r="AK46" s="90">
        <f t="shared" si="23"/>
        <v>-1.1705685618729096E-3</v>
      </c>
    </row>
    <row r="47" spans="1:37">
      <c r="A47" t="s">
        <v>1303</v>
      </c>
      <c r="B47" s="11" t="s">
        <v>1302</v>
      </c>
      <c r="C47" t="s">
        <v>591</v>
      </c>
      <c r="D47" t="s">
        <v>1234</v>
      </c>
      <c r="E47" s="57">
        <v>7</v>
      </c>
      <c r="F47" s="57" t="s">
        <v>1278</v>
      </c>
      <c r="G47" s="59">
        <v>3.6110000000000002</v>
      </c>
      <c r="H47" s="95">
        <v>284.8</v>
      </c>
      <c r="I47" s="95">
        <v>88.4</v>
      </c>
      <c r="J47" s="95">
        <v>106.4</v>
      </c>
      <c r="K47" s="92">
        <f t="shared" si="0"/>
        <v>165.86666666666667</v>
      </c>
      <c r="L47" s="92">
        <f t="shared" si="1"/>
        <v>88.718271827182718</v>
      </c>
      <c r="M47" s="92">
        <f t="shared" si="2"/>
        <v>88.72</v>
      </c>
      <c r="N47" s="92">
        <f t="shared" si="3"/>
        <v>88.719135913591359</v>
      </c>
      <c r="O47" s="92">
        <f>0.5*(H47-J47)+3/(5/(I47-0.5*(H47-J47))-4*(-3*(K47+(H47-J47))/(5*0.5*(H47-J47)*(3*K47+2*(H47-J47)))))</f>
        <v>88.719165943781164</v>
      </c>
      <c r="P47" s="92">
        <f>I47+2/(5/(0.5*(H47-J47)-I47)-6*(-(3*(K47+2*I47))/(5*I47*(3*K47+4*I47))))</f>
        <v>88.719162812477734</v>
      </c>
      <c r="Q47" s="92">
        <f t="shared" si="6"/>
        <v>88.719164378129449</v>
      </c>
      <c r="R47" s="92">
        <f t="shared" si="7"/>
        <v>1.869570357720951</v>
      </c>
      <c r="S47" s="92">
        <f t="shared" si="8"/>
        <v>0.27302684541751088</v>
      </c>
      <c r="T47" s="92">
        <f t="shared" si="24"/>
        <v>225.8836834404932</v>
      </c>
      <c r="U47" s="92">
        <f t="shared" si="9"/>
        <v>8.8708829211543314</v>
      </c>
      <c r="V47" s="92">
        <f t="shared" si="10"/>
        <v>6.7774420718712447</v>
      </c>
      <c r="W47" s="92">
        <f t="shared" si="11"/>
        <v>4.9567259428419996</v>
      </c>
      <c r="X47" s="8">
        <f t="shared" si="12"/>
        <v>1.7896658042926015</v>
      </c>
      <c r="Y47" s="8">
        <f t="shared" si="13"/>
        <v>0.37359550561797755</v>
      </c>
      <c r="Z47" s="8">
        <f t="shared" si="14"/>
        <v>0.3103932584269663</v>
      </c>
      <c r="AA47" s="93">
        <f t="shared" si="15"/>
        <v>0.99103139013452923</v>
      </c>
      <c r="AB47" s="90">
        <f t="shared" si="16"/>
        <v>9.739666822294879E-5</v>
      </c>
      <c r="AC47" s="93">
        <f t="shared" si="17"/>
        <v>4.3556689959331307E-5</v>
      </c>
      <c r="AD47" s="92">
        <f t="shared" si="18"/>
        <v>9.7395719620376158E-4</v>
      </c>
      <c r="AE47" s="92"/>
      <c r="AF47" s="91">
        <f t="shared" si="19"/>
        <v>0.27614981921226228</v>
      </c>
      <c r="AG47" s="91">
        <f t="shared" si="20"/>
        <v>0.27042717428305929</v>
      </c>
      <c r="AH47" s="91"/>
      <c r="AI47" s="90">
        <f t="shared" si="21"/>
        <v>4.40680287802979E-3</v>
      </c>
      <c r="AJ47" s="90">
        <f t="shared" si="22"/>
        <v>1.1312217194570135E-2</v>
      </c>
      <c r="AK47" s="90">
        <f t="shared" si="23"/>
        <v>-1.1985782878894929E-3</v>
      </c>
    </row>
    <row r="48" spans="1:37">
      <c r="A48" t="s">
        <v>1301</v>
      </c>
      <c r="B48" s="11" t="s">
        <v>1300</v>
      </c>
      <c r="C48" t="s">
        <v>591</v>
      </c>
      <c r="D48" t="s">
        <v>1234</v>
      </c>
      <c r="E48" s="57">
        <v>7</v>
      </c>
      <c r="F48" s="57" t="s">
        <v>1278</v>
      </c>
      <c r="G48" s="57">
        <v>3.6059999999999999</v>
      </c>
      <c r="H48" s="95">
        <v>328.5</v>
      </c>
      <c r="I48" s="95">
        <v>113.7</v>
      </c>
      <c r="J48" s="96">
        <v>96</v>
      </c>
      <c r="K48" s="92">
        <f t="shared" si="0"/>
        <v>173.5</v>
      </c>
      <c r="L48" s="92">
        <f t="shared" si="1"/>
        <v>114.70645665191357</v>
      </c>
      <c r="M48" s="92">
        <f t="shared" si="2"/>
        <v>114.72</v>
      </c>
      <c r="N48" s="92">
        <f t="shared" si="3"/>
        <v>114.71322832595678</v>
      </c>
      <c r="O48" s="92">
        <f>0.5*(H48-J48)+3/(5/(I48-0.5*(H48-J48))-4*(-3*(K48+(H48-J48))/(5*0.5*(H48-J48)*(3*K48+2*(H48-J48)))))</f>
        <v>114.71333443110505</v>
      </c>
      <c r="P48" s="92">
        <f>I48+2/(5/(0.5*(H48-J48)-I48)-6*(-(3*(K48+2*I48))/(5*I48*(3*K48+4*I48))))</f>
        <v>114.71327430645901</v>
      </c>
      <c r="Q48" s="92">
        <f t="shared" si="6"/>
        <v>114.71330436878203</v>
      </c>
      <c r="R48" s="92">
        <f t="shared" si="7"/>
        <v>1.5124672414152713</v>
      </c>
      <c r="S48" s="92">
        <f t="shared" si="8"/>
        <v>0.22911483134189656</v>
      </c>
      <c r="T48" s="92">
        <f t="shared" si="24"/>
        <v>281.9914605730857</v>
      </c>
      <c r="U48" s="92">
        <f t="shared" si="9"/>
        <v>9.5147223852894438</v>
      </c>
      <c r="V48" s="92">
        <f t="shared" si="10"/>
        <v>6.9364439031160616</v>
      </c>
      <c r="W48" s="92">
        <f t="shared" si="11"/>
        <v>5.640192021202739</v>
      </c>
      <c r="X48" s="8">
        <f t="shared" si="12"/>
        <v>1.686950080692551</v>
      </c>
      <c r="Y48" s="8">
        <f t="shared" si="13"/>
        <v>0.29223744292237441</v>
      </c>
      <c r="Z48" s="8">
        <f t="shared" si="14"/>
        <v>0.34611872146118722</v>
      </c>
      <c r="AA48" s="93">
        <f t="shared" si="15"/>
        <v>0.97806451612903234</v>
      </c>
      <c r="AB48" s="93">
        <f t="shared" si="16"/>
        <v>5.9034811473335225E-4</v>
      </c>
      <c r="AC48" s="93">
        <f t="shared" si="17"/>
        <v>2.6399611833191714E-4</v>
      </c>
      <c r="AD48" s="92">
        <f t="shared" si="18"/>
        <v>5.9031326570053444E-3</v>
      </c>
      <c r="AE48" s="92"/>
      <c r="AF48" s="91">
        <f t="shared" si="19"/>
        <v>0.23664431042450795</v>
      </c>
      <c r="AG48" s="91">
        <f t="shared" si="20"/>
        <v>0.2230811147617876</v>
      </c>
      <c r="AH48" s="91"/>
      <c r="AI48" s="90">
        <f t="shared" si="21"/>
        <v>3.5077933748566825E-3</v>
      </c>
      <c r="AJ48" s="90">
        <f t="shared" si="22"/>
        <v>8.7950747581354433E-3</v>
      </c>
      <c r="AK48" s="90">
        <f t="shared" si="23"/>
        <v>-7.9328189396052188E-4</v>
      </c>
    </row>
    <row r="49" spans="1:37">
      <c r="A49" t="s">
        <v>1299</v>
      </c>
      <c r="B49" t="s">
        <v>1298</v>
      </c>
      <c r="C49" t="s">
        <v>591</v>
      </c>
      <c r="D49" t="s">
        <v>1234</v>
      </c>
      <c r="E49" s="57">
        <v>7</v>
      </c>
      <c r="F49" s="57">
        <v>4</v>
      </c>
      <c r="G49" s="97">
        <v>4.835</v>
      </c>
      <c r="H49" s="95">
        <v>251</v>
      </c>
      <c r="I49" s="95">
        <v>89</v>
      </c>
      <c r="J49" s="95">
        <v>92</v>
      </c>
      <c r="K49" s="92">
        <f t="shared" si="0"/>
        <v>145</v>
      </c>
      <c r="L49" s="92">
        <f t="shared" si="1"/>
        <v>84.939975990396164</v>
      </c>
      <c r="M49" s="92">
        <f t="shared" si="2"/>
        <v>85.2</v>
      </c>
      <c r="N49" s="92">
        <f t="shared" si="3"/>
        <v>85.06998799519809</v>
      </c>
      <c r="O49" s="92">
        <f>0.5*(H49-J49)+3/(5/(I49-0.5*(H49-J49))-4*(-3*(K49+(H49-J49))/(5*0.5*(H49-J49)*(3*K49+2*(H49-J49)))))</f>
        <v>85.070994260547067</v>
      </c>
      <c r="P49" s="92">
        <f>I49+2/(5/(0.5*(H49-J49)-I49)-6*(-(3*(K49+2*I49))/(5*I49*(3*K49+4*I49))))</f>
        <v>85.076881428392099</v>
      </c>
      <c r="Q49" s="92">
        <f t="shared" si="6"/>
        <v>85.073937844469583</v>
      </c>
      <c r="R49" s="92">
        <f t="shared" si="7"/>
        <v>1.7044789051596523</v>
      </c>
      <c r="S49" s="92">
        <f t="shared" si="8"/>
        <v>0.25463882758415329</v>
      </c>
      <c r="T49" s="92">
        <f t="shared" si="24"/>
        <v>213.46422000178666</v>
      </c>
      <c r="U49" s="92">
        <f t="shared" si="9"/>
        <v>7.3108927056212014</v>
      </c>
      <c r="V49" s="92">
        <f t="shared" si="10"/>
        <v>5.4762814699726752</v>
      </c>
      <c r="W49" s="92">
        <f t="shared" si="11"/>
        <v>4.1945941473585275</v>
      </c>
      <c r="X49" s="8">
        <f t="shared" si="12"/>
        <v>1.7429320808605784</v>
      </c>
      <c r="Y49" s="8">
        <f t="shared" si="13"/>
        <v>0.36653386454183268</v>
      </c>
      <c r="Z49" s="8">
        <f t="shared" si="14"/>
        <v>0.35458167330677293</v>
      </c>
      <c r="AA49" s="93">
        <f t="shared" si="15"/>
        <v>1.1194968553459119</v>
      </c>
      <c r="AB49" s="93">
        <f t="shared" si="16"/>
        <v>1.5306338774644601E-2</v>
      </c>
      <c r="AC49" s="93">
        <f t="shared" si="17"/>
        <v>6.8347466320289518E-3</v>
      </c>
      <c r="AD49" s="92">
        <f t="shared" si="18"/>
        <v>0.15282946179474985</v>
      </c>
      <c r="AE49" s="92"/>
      <c r="AF49" s="91">
        <f t="shared" si="19"/>
        <v>0.2150944722117302</v>
      </c>
      <c r="AG49" s="91">
        <f t="shared" si="20"/>
        <v>0.28769445640048136</v>
      </c>
      <c r="AH49" s="91"/>
      <c r="AI49" s="90">
        <f t="shared" si="21"/>
        <v>4.9591556423046338E-3</v>
      </c>
      <c r="AJ49" s="90">
        <f t="shared" si="22"/>
        <v>1.1235955056179775E-2</v>
      </c>
      <c r="AK49" s="90">
        <f t="shared" si="23"/>
        <v>-1.3301525337959951E-3</v>
      </c>
    </row>
    <row r="50" spans="1:37">
      <c r="A50" t="s">
        <v>1297</v>
      </c>
      <c r="B50" t="s">
        <v>1296</v>
      </c>
      <c r="C50" t="s">
        <v>591</v>
      </c>
      <c r="D50" t="s">
        <v>1234</v>
      </c>
      <c r="E50" s="57">
        <v>7</v>
      </c>
      <c r="F50" s="57">
        <v>4</v>
      </c>
      <c r="G50" s="57">
        <v>4.8140000000000001</v>
      </c>
      <c r="H50" s="95">
        <v>236.9</v>
      </c>
      <c r="I50" s="95">
        <v>72.099999999999994</v>
      </c>
      <c r="J50" s="95">
        <v>82.3</v>
      </c>
      <c r="K50" s="92">
        <f t="shared" si="0"/>
        <v>133.83333333333334</v>
      </c>
      <c r="L50" s="92">
        <f t="shared" si="1"/>
        <v>74.093725073118847</v>
      </c>
      <c r="M50" s="92">
        <f t="shared" si="2"/>
        <v>74.179999999999993</v>
      </c>
      <c r="N50" s="92">
        <f t="shared" si="3"/>
        <v>74.13686253655942</v>
      </c>
      <c r="O50" s="92">
        <f>0.5*(H50-J50)+3/(5/(I50-0.5*(H50-J50))-4*(-3*(K50+(H50-J50))/(5*0.5*(H50-J50)*(3*K50+2*(H50-J50)))))</f>
        <v>74.138570690407946</v>
      </c>
      <c r="P50" s="92">
        <f>I50+2/(5/(0.5*(H50-J50)-I50)-6*(-(3*(K50+2*I50))/(5*I50*(3*K50+4*I50))))</f>
        <v>74.137363666196961</v>
      </c>
      <c r="Q50" s="92">
        <f t="shared" si="6"/>
        <v>74.137967178302461</v>
      </c>
      <c r="R50" s="92">
        <f t="shared" si="7"/>
        <v>1.8052198158147785</v>
      </c>
      <c r="S50" s="92">
        <f t="shared" si="8"/>
        <v>0.26619706636742979</v>
      </c>
      <c r="T50" s="92">
        <f t="shared" si="24"/>
        <v>187.74375570695389</v>
      </c>
      <c r="U50" s="92">
        <f t="shared" si="9"/>
        <v>6.9523047707116996</v>
      </c>
      <c r="V50" s="92">
        <f t="shared" si="10"/>
        <v>5.2726519519916311</v>
      </c>
      <c r="W50" s="92">
        <f t="shared" si="11"/>
        <v>3.9243167893933624</v>
      </c>
      <c r="X50" s="8">
        <f t="shared" si="12"/>
        <v>1.7715962150411453</v>
      </c>
      <c r="Y50" s="8">
        <f t="shared" si="13"/>
        <v>0.34740396791895312</v>
      </c>
      <c r="Z50" s="8">
        <f t="shared" si="14"/>
        <v>0.30434782608695649</v>
      </c>
      <c r="AA50" s="93">
        <f t="shared" si="15"/>
        <v>0.93272962483829214</v>
      </c>
      <c r="AB50" s="93">
        <f t="shared" si="16"/>
        <v>5.8220130514428092E-3</v>
      </c>
      <c r="AC50" s="93">
        <f t="shared" si="17"/>
        <v>2.6021686976094639E-3</v>
      </c>
      <c r="AD50" s="92">
        <f t="shared" si="18"/>
        <v>5.8186254401176245E-2</v>
      </c>
      <c r="AE50" s="92"/>
      <c r="AF50" s="91">
        <f t="shared" si="19"/>
        <v>0.29003517300947462</v>
      </c>
      <c r="AG50" s="91">
        <f t="shared" si="20"/>
        <v>0.24664459797940158</v>
      </c>
      <c r="AH50" s="91"/>
      <c r="AI50" s="90">
        <f t="shared" si="21"/>
        <v>5.1424235443090988E-3</v>
      </c>
      <c r="AJ50" s="90">
        <f t="shared" si="22"/>
        <v>1.3869625520110958E-2</v>
      </c>
      <c r="AK50" s="90">
        <f t="shared" si="23"/>
        <v>-1.3258817597012495E-3</v>
      </c>
    </row>
    <row r="51" spans="1:37">
      <c r="B51" s="11"/>
      <c r="H51" s="95"/>
      <c r="I51" s="95"/>
      <c r="J51" s="96"/>
      <c r="U51" s="92"/>
      <c r="V51" s="92"/>
      <c r="W51" s="92"/>
      <c r="X51" s="8"/>
      <c r="Y51" s="8"/>
      <c r="Z51" s="8"/>
      <c r="AA51" s="93"/>
      <c r="AB51" s="93"/>
      <c r="AC51" s="93"/>
      <c r="AD51" s="92"/>
      <c r="AE51" s="92"/>
      <c r="AF51" s="91"/>
      <c r="AG51" s="91"/>
      <c r="AH51" s="91"/>
      <c r="AI51" s="90"/>
      <c r="AJ51" s="90"/>
      <c r="AK51" s="90"/>
    </row>
    <row r="52" spans="1:37" ht="14.7">
      <c r="A52" s="11" t="s">
        <v>1290</v>
      </c>
      <c r="B52" t="s">
        <v>1295</v>
      </c>
      <c r="C52" t="s">
        <v>591</v>
      </c>
      <c r="D52" t="s">
        <v>990</v>
      </c>
      <c r="E52" s="57">
        <v>7</v>
      </c>
      <c r="F52" s="57" t="s">
        <v>1288</v>
      </c>
      <c r="G52" s="57">
        <v>3.5590000000000002</v>
      </c>
      <c r="H52" s="95">
        <v>327</v>
      </c>
      <c r="I52" s="95">
        <v>129</v>
      </c>
      <c r="J52" s="95">
        <v>113</v>
      </c>
      <c r="K52" s="92">
        <f t="shared" ref="K52:K59" si="25">(H52+2*J52)/3</f>
        <v>184.33333333333334</v>
      </c>
      <c r="L52" s="92">
        <f t="shared" ref="L52:L59" si="26">(5*(H52-J52)*I52)/(4*I52 + 3*(H52-J52))</f>
        <v>119.19689119170984</v>
      </c>
      <c r="M52" s="92">
        <f t="shared" ref="M52:M59" si="27">(H52-J52+3*I52)/5</f>
        <v>120.2</v>
      </c>
      <c r="N52" s="92">
        <f t="shared" ref="N52:N59" si="28">0.5*(M52+L52)</f>
        <v>119.69844559585492</v>
      </c>
      <c r="O52" s="92">
        <f t="shared" ref="O52:O59" si="29">0.5*(H52-J52)+3/(5/(I52-0.5*(H52-J52))-4*(-3*(K52+(H52-J52))/(5*0.5*(H52-J52)*(3*K52+2*(H52-J52)))))</f>
        <v>119.6914101786699</v>
      </c>
      <c r="P52" s="92">
        <f t="shared" ref="P52:P59" si="30">I52+2/(5/(0.5*(H52-J52)-I52)-6*(-(3*(K52+2*I52))/(5*I52*(3*K52+4*I52))))</f>
        <v>119.72895074840459</v>
      </c>
      <c r="Q52" s="92">
        <f t="shared" ref="Q52:Q59" si="31">(O52+P52)/2</f>
        <v>119.71018046353724</v>
      </c>
      <c r="R52" s="92">
        <f t="shared" ref="R52:R59" si="32">K52/N52</f>
        <v>1.5399810115806274</v>
      </c>
      <c r="S52" s="92">
        <f t="shared" ref="S52:S59" si="33">(3*K52-2*N52)/(2*(3*K52+N52))</f>
        <v>0.23309337999919896</v>
      </c>
      <c r="T52" s="92">
        <f t="shared" ref="T52:T59" si="34">9*N52*K52/(N52+3*K52)</f>
        <v>295.198721720886</v>
      </c>
      <c r="U52" s="92">
        <f t="shared" ref="U52:U59" si="35">SQRT((K52+4/3*N52)/G52)</f>
        <v>9.8304145363407969</v>
      </c>
      <c r="V52" s="92">
        <f t="shared" ref="V52:V59" si="36">SQRT(K52/G52)</f>
        <v>7.1967753177547307</v>
      </c>
      <c r="W52" s="92">
        <f t="shared" ref="W52:W59" si="37">SQRT(N52/G52)</f>
        <v>5.7993625715713399</v>
      </c>
      <c r="X52" s="8">
        <f t="shared" ref="X52:X59" si="38">SQRT((K52/N52) +4/3)</f>
        <v>1.6950853503331214</v>
      </c>
      <c r="Y52" s="8">
        <f t="shared" ref="Y52:Y59" si="39">J52/H52</f>
        <v>0.34556574923547401</v>
      </c>
      <c r="Z52" s="8">
        <f t="shared" ref="Z52:Z59" si="40">I52/H52</f>
        <v>0.39449541284403672</v>
      </c>
      <c r="AA52" s="93">
        <f t="shared" ref="AA52:AA59" si="41">2*I52/(H52-J52)</f>
        <v>1.205607476635514</v>
      </c>
      <c r="AB52" s="93">
        <f t="shared" ref="AB52:AB59" si="42">5*M52/L52 +1 -6</f>
        <v>4.2077809171919611E-2</v>
      </c>
      <c r="AC52" s="93">
        <f t="shared" ref="AC52:AC59" si="43">SQRT(5)*LN(M52/L52)</f>
        <v>1.8739028734256601E-2</v>
      </c>
      <c r="AD52" s="92">
        <f t="shared" ref="AD52:AD59" si="44">100*(M52-L52)/(M52+L52)</f>
        <v>0.41901496853059456</v>
      </c>
      <c r="AE52" s="92"/>
      <c r="AF52" s="91">
        <f t="shared" ref="AF52:AF59" si="45">-(2*H52*I52-(H52-J52)*(H52+2*J52))/(2*H52*I52+(H52-J52)*(H52+2*J52))</f>
        <v>0.16761055311087869</v>
      </c>
      <c r="AG52" s="91">
        <f t="shared" ref="AG52:AG59" si="46">(4*J52*I52)/(2*H52*I52+(H52-J52)*(H52+2*J52))</f>
        <v>0.28764528286994101</v>
      </c>
      <c r="AH52" s="91"/>
      <c r="AI52" s="90">
        <f t="shared" ref="AI52:AI59" si="47">(H52+J52)/((H52-J52)*(H52+2*J52))</f>
        <v>3.7180375521792771E-3</v>
      </c>
      <c r="AJ52" s="90">
        <f t="shared" ref="AJ52:AJ59" si="48">1/I52</f>
        <v>7.7519379844961239E-3</v>
      </c>
      <c r="AK52" s="90">
        <f t="shared" ref="AK52:AK59" si="49">-J52/((H52-J52)*(H52+2*J52))</f>
        <v>-9.5485964408240521E-4</v>
      </c>
    </row>
    <row r="53" spans="1:37" ht="14.7">
      <c r="A53" s="11" t="s">
        <v>1290</v>
      </c>
      <c r="B53" t="s">
        <v>1294</v>
      </c>
      <c r="C53" t="s">
        <v>591</v>
      </c>
      <c r="D53" t="s">
        <v>990</v>
      </c>
      <c r="E53" s="57">
        <v>7</v>
      </c>
      <c r="F53" s="57" t="s">
        <v>1288</v>
      </c>
      <c r="G53" s="57">
        <v>3.7010000000000001</v>
      </c>
      <c r="H53" s="95">
        <v>329</v>
      </c>
      <c r="I53" s="95">
        <v>130</v>
      </c>
      <c r="J53" s="95">
        <v>118</v>
      </c>
      <c r="K53" s="92">
        <f t="shared" si="25"/>
        <v>188.33333333333334</v>
      </c>
      <c r="L53" s="92">
        <f t="shared" si="26"/>
        <v>118.95056374674762</v>
      </c>
      <c r="M53" s="92">
        <f t="shared" si="27"/>
        <v>120.2</v>
      </c>
      <c r="N53" s="92">
        <f t="shared" si="28"/>
        <v>119.57528187337381</v>
      </c>
      <c r="O53" s="92">
        <f t="shared" si="29"/>
        <v>119.56564422071247</v>
      </c>
      <c r="P53" s="92">
        <f t="shared" si="30"/>
        <v>119.617879938171</v>
      </c>
      <c r="Q53" s="92">
        <f t="shared" si="31"/>
        <v>119.59176207944174</v>
      </c>
      <c r="R53" s="92">
        <f t="shared" si="32"/>
        <v>1.5750189368800485</v>
      </c>
      <c r="S53" s="92">
        <f t="shared" si="33"/>
        <v>0.23799386632946304</v>
      </c>
      <c r="T53" s="92">
        <f t="shared" si="34"/>
        <v>296.06693104770682</v>
      </c>
      <c r="U53" s="92">
        <f t="shared" si="35"/>
        <v>9.6935904820046179</v>
      </c>
      <c r="V53" s="92">
        <f t="shared" si="36"/>
        <v>7.1335228055821736</v>
      </c>
      <c r="W53" s="92">
        <f t="shared" si="37"/>
        <v>5.6840928573772587</v>
      </c>
      <c r="X53" s="8">
        <f t="shared" si="38"/>
        <v>1.7053891843838407</v>
      </c>
      <c r="Y53" s="8">
        <f t="shared" si="39"/>
        <v>0.35866261398176291</v>
      </c>
      <c r="Z53" s="8">
        <f t="shared" si="40"/>
        <v>0.39513677811550152</v>
      </c>
      <c r="AA53" s="93">
        <f t="shared" si="41"/>
        <v>1.2322274881516588</v>
      </c>
      <c r="AB53" s="93">
        <f t="shared" si="42"/>
        <v>5.2519139628143918E-2</v>
      </c>
      <c r="AC53" s="93">
        <f t="shared" si="43"/>
        <v>2.3364777165898843E-2</v>
      </c>
      <c r="AD53" s="92">
        <f t="shared" si="44"/>
        <v>0.52244754671600713</v>
      </c>
      <c r="AE53" s="92"/>
      <c r="AF53" s="91">
        <f t="shared" si="45"/>
        <v>0.16446484823325438</v>
      </c>
      <c r="AG53" s="91">
        <f t="shared" si="46"/>
        <v>0.29967522160630999</v>
      </c>
      <c r="AH53" s="91"/>
      <c r="AI53" s="90">
        <f t="shared" si="47"/>
        <v>3.7495281634022564E-3</v>
      </c>
      <c r="AJ53" s="90">
        <f t="shared" si="48"/>
        <v>7.6923076923076927E-3</v>
      </c>
      <c r="AK53" s="90">
        <f t="shared" si="49"/>
        <v>-9.8980832948873882E-4</v>
      </c>
    </row>
    <row r="54" spans="1:37" ht="14.7">
      <c r="A54" s="11" t="s">
        <v>1290</v>
      </c>
      <c r="B54" t="s">
        <v>1293</v>
      </c>
      <c r="C54" t="s">
        <v>591</v>
      </c>
      <c r="D54" t="s">
        <v>990</v>
      </c>
      <c r="E54" s="57">
        <v>7</v>
      </c>
      <c r="F54" s="57" t="s">
        <v>1288</v>
      </c>
      <c r="G54" s="57">
        <v>3.4329999999999998</v>
      </c>
      <c r="H54" s="95">
        <v>290.60000000000002</v>
      </c>
      <c r="I54" s="95">
        <v>118.4</v>
      </c>
      <c r="J54" s="96">
        <v>104</v>
      </c>
      <c r="K54" s="92">
        <f t="shared" si="25"/>
        <v>166.20000000000002</v>
      </c>
      <c r="L54" s="92">
        <f t="shared" si="26"/>
        <v>106.89684536481518</v>
      </c>
      <c r="M54" s="92">
        <f t="shared" si="27"/>
        <v>108.36000000000001</v>
      </c>
      <c r="N54" s="92">
        <f t="shared" si="28"/>
        <v>107.6284226824076</v>
      </c>
      <c r="O54" s="92">
        <f t="shared" si="29"/>
        <v>107.61209205322565</v>
      </c>
      <c r="P54" s="92">
        <f t="shared" si="30"/>
        <v>107.68185331806224</v>
      </c>
      <c r="Q54" s="92">
        <f t="shared" si="31"/>
        <v>107.64697268564395</v>
      </c>
      <c r="R54" s="92">
        <f t="shared" si="32"/>
        <v>1.5442017624882114</v>
      </c>
      <c r="S54" s="92">
        <f t="shared" si="33"/>
        <v>0.23369339347490747</v>
      </c>
      <c r="T54" s="92">
        <f t="shared" si="34"/>
        <v>265.5609480268223</v>
      </c>
      <c r="U54" s="92">
        <f t="shared" si="35"/>
        <v>9.4981035649328636</v>
      </c>
      <c r="V54" s="92">
        <f t="shared" si="36"/>
        <v>6.9579068138218227</v>
      </c>
      <c r="W54" s="92">
        <f t="shared" si="37"/>
        <v>5.5992078078306449</v>
      </c>
      <c r="X54" s="8">
        <f t="shared" si="38"/>
        <v>1.696329890033641</v>
      </c>
      <c r="Y54" s="8">
        <f t="shared" si="39"/>
        <v>0.35788024776324845</v>
      </c>
      <c r="Z54" s="8">
        <f t="shared" si="40"/>
        <v>0.40743289745354438</v>
      </c>
      <c r="AA54" s="93">
        <f t="shared" si="41"/>
        <v>1.2690246516613075</v>
      </c>
      <c r="AB54" s="93">
        <f t="shared" si="42"/>
        <v>6.843769010167744E-2</v>
      </c>
      <c r="AC54" s="93">
        <f t="shared" si="43"/>
        <v>3.0398695186204184E-2</v>
      </c>
      <c r="AD54" s="92">
        <f t="shared" si="44"/>
        <v>0.67972501998953638</v>
      </c>
      <c r="AE54" s="92"/>
      <c r="AF54" s="91">
        <f t="shared" si="45"/>
        <v>0.14967102214579617</v>
      </c>
      <c r="AG54" s="91">
        <f t="shared" si="46"/>
        <v>0.30431594527473227</v>
      </c>
      <c r="AH54" s="91"/>
      <c r="AI54" s="90">
        <f t="shared" si="47"/>
        <v>4.2412431120105211E-3</v>
      </c>
      <c r="AJ54" s="90">
        <f t="shared" si="48"/>
        <v>8.4459459459459447E-3</v>
      </c>
      <c r="AK54" s="90">
        <f t="shared" si="49"/>
        <v>-1.1178136939916223E-3</v>
      </c>
    </row>
    <row r="55" spans="1:37" ht="14.7">
      <c r="A55" s="11" t="s">
        <v>1290</v>
      </c>
      <c r="B55" t="s">
        <v>1292</v>
      </c>
      <c r="C55" t="s">
        <v>591</v>
      </c>
      <c r="D55" t="s">
        <v>990</v>
      </c>
      <c r="E55" s="57">
        <v>7</v>
      </c>
      <c r="F55" s="57" t="s">
        <v>1288</v>
      </c>
      <c r="G55" s="57">
        <v>3.4689999999999999</v>
      </c>
      <c r="H55" s="95">
        <v>281</v>
      </c>
      <c r="I55" s="95">
        <v>117</v>
      </c>
      <c r="J55" s="95">
        <v>92</v>
      </c>
      <c r="K55" s="92">
        <f t="shared" si="25"/>
        <v>155</v>
      </c>
      <c r="L55" s="92">
        <f t="shared" si="26"/>
        <v>106.82608695652173</v>
      </c>
      <c r="M55" s="92">
        <f t="shared" si="27"/>
        <v>108</v>
      </c>
      <c r="N55" s="92">
        <f t="shared" si="28"/>
        <v>107.41304347826087</v>
      </c>
      <c r="O55" s="92">
        <f t="shared" si="29"/>
        <v>107.39846507561283</v>
      </c>
      <c r="P55" s="92">
        <f t="shared" si="30"/>
        <v>107.44860352792944</v>
      </c>
      <c r="Q55" s="92">
        <f t="shared" si="31"/>
        <v>107.42353430177113</v>
      </c>
      <c r="R55" s="92">
        <f t="shared" si="32"/>
        <v>1.4430277271807326</v>
      </c>
      <c r="S55" s="92">
        <f t="shared" si="33"/>
        <v>0.21852569214993733</v>
      </c>
      <c r="T55" s="92">
        <f t="shared" si="34"/>
        <v>261.7711063005583</v>
      </c>
      <c r="U55" s="92">
        <f t="shared" si="35"/>
        <v>9.2718059460602102</v>
      </c>
      <c r="V55" s="92">
        <f t="shared" si="36"/>
        <v>6.6844195259545343</v>
      </c>
      <c r="W55" s="92">
        <f t="shared" si="37"/>
        <v>5.5645027474902395</v>
      </c>
      <c r="X55" s="8">
        <f t="shared" si="38"/>
        <v>1.6662415972823585</v>
      </c>
      <c r="Y55" s="8">
        <f t="shared" si="39"/>
        <v>0.32740213523131673</v>
      </c>
      <c r="Z55" s="8">
        <f t="shared" si="40"/>
        <v>0.41637010676156583</v>
      </c>
      <c r="AA55" s="93">
        <f t="shared" si="41"/>
        <v>1.2380952380952381</v>
      </c>
      <c r="AB55" s="93">
        <f t="shared" si="42"/>
        <v>5.494505494505475E-2</v>
      </c>
      <c r="AC55" s="93">
        <f t="shared" si="43"/>
        <v>2.443814464086716E-2</v>
      </c>
      <c r="AD55" s="92">
        <f t="shared" si="44"/>
        <v>0.54644808743169593</v>
      </c>
      <c r="AE55" s="92"/>
      <c r="AF55" s="91">
        <f t="shared" si="45"/>
        <v>0.14404545720813075</v>
      </c>
      <c r="AG55" s="91">
        <f t="shared" si="46"/>
        <v>0.28024134497100345</v>
      </c>
      <c r="AH55" s="91"/>
      <c r="AI55" s="90">
        <f t="shared" si="47"/>
        <v>4.2441827388063945E-3</v>
      </c>
      <c r="AJ55" s="90">
        <f t="shared" si="48"/>
        <v>8.5470085470085479E-3</v>
      </c>
      <c r="AK55" s="90">
        <f t="shared" si="49"/>
        <v>-1.0468225521988962E-3</v>
      </c>
    </row>
    <row r="56" spans="1:37" ht="14.7">
      <c r="A56" s="11" t="s">
        <v>1290</v>
      </c>
      <c r="B56" t="s">
        <v>1291</v>
      </c>
      <c r="C56" t="s">
        <v>591</v>
      </c>
      <c r="D56" t="s">
        <v>990</v>
      </c>
      <c r="E56" s="57">
        <v>7</v>
      </c>
      <c r="F56" s="57" t="s">
        <v>1288</v>
      </c>
      <c r="G56" s="57">
        <v>3.6509999999999998</v>
      </c>
      <c r="H56" s="95">
        <v>298</v>
      </c>
      <c r="I56" s="95">
        <v>112</v>
      </c>
      <c r="J56" s="95">
        <v>115</v>
      </c>
      <c r="K56" s="92">
        <f t="shared" si="25"/>
        <v>176</v>
      </c>
      <c r="L56" s="92">
        <f t="shared" si="26"/>
        <v>102.78836509528585</v>
      </c>
      <c r="M56" s="92">
        <f t="shared" si="27"/>
        <v>103.8</v>
      </c>
      <c r="N56" s="92">
        <f t="shared" si="28"/>
        <v>103.29418254764292</v>
      </c>
      <c r="O56" s="92">
        <f t="shared" si="29"/>
        <v>103.29081594627014</v>
      </c>
      <c r="P56" s="92">
        <f t="shared" si="30"/>
        <v>103.33182732477178</v>
      </c>
      <c r="Q56" s="92">
        <f t="shared" si="31"/>
        <v>103.31132163552095</v>
      </c>
      <c r="R56" s="92">
        <f t="shared" si="32"/>
        <v>1.7038713668005707</v>
      </c>
      <c r="S56" s="92">
        <f t="shared" si="33"/>
        <v>0.25456565559310984</v>
      </c>
      <c r="T56" s="92">
        <f t="shared" si="34"/>
        <v>259.178667693676</v>
      </c>
      <c r="U56" s="92">
        <f t="shared" si="35"/>
        <v>9.2697718796758934</v>
      </c>
      <c r="V56" s="92">
        <f t="shared" si="36"/>
        <v>6.943051992233559</v>
      </c>
      <c r="W56" s="92">
        <f t="shared" si="37"/>
        <v>5.3190247979097327</v>
      </c>
      <c r="X56" s="8">
        <f t="shared" si="38"/>
        <v>1.742757785848023</v>
      </c>
      <c r="Y56" s="8">
        <f t="shared" si="39"/>
        <v>0.38590604026845637</v>
      </c>
      <c r="Z56" s="8">
        <f t="shared" si="40"/>
        <v>0.37583892617449666</v>
      </c>
      <c r="AA56" s="93">
        <f t="shared" si="41"/>
        <v>1.2240437158469946</v>
      </c>
      <c r="AB56" s="93">
        <f t="shared" si="42"/>
        <v>4.920960187353618E-2</v>
      </c>
      <c r="AC56" s="93">
        <f t="shared" si="43"/>
        <v>2.1899611777369866E-2</v>
      </c>
      <c r="AD56" s="92">
        <f t="shared" si="44"/>
        <v>0.48968629198819641</v>
      </c>
      <c r="AE56" s="92"/>
      <c r="AF56" s="91">
        <f t="shared" si="45"/>
        <v>0.18284203310155714</v>
      </c>
      <c r="AG56" s="91">
        <f t="shared" si="46"/>
        <v>0.31534619527960045</v>
      </c>
      <c r="AH56" s="91"/>
      <c r="AI56" s="90">
        <f t="shared" si="47"/>
        <v>4.2743003808577576E-3</v>
      </c>
      <c r="AJ56" s="90">
        <f t="shared" si="48"/>
        <v>8.9285714285714281E-3</v>
      </c>
      <c r="AK56" s="90">
        <f t="shared" si="49"/>
        <v>-1.190180493459182E-3</v>
      </c>
    </row>
    <row r="57" spans="1:37" ht="17.7">
      <c r="A57" s="11" t="s">
        <v>1290</v>
      </c>
      <c r="B57" t="s">
        <v>1289</v>
      </c>
      <c r="C57" t="s">
        <v>591</v>
      </c>
      <c r="D57" t="s">
        <v>990</v>
      </c>
      <c r="E57" s="57">
        <v>7</v>
      </c>
      <c r="F57" s="57" t="s">
        <v>1288</v>
      </c>
      <c r="G57" s="57">
        <v>3.649</v>
      </c>
      <c r="H57" s="95">
        <v>299.7</v>
      </c>
      <c r="I57" s="95">
        <v>115.3</v>
      </c>
      <c r="J57" s="95">
        <v>112.7</v>
      </c>
      <c r="K57" s="92">
        <f t="shared" si="25"/>
        <v>175.03333333333333</v>
      </c>
      <c r="L57" s="92">
        <f t="shared" si="26"/>
        <v>105.4641948738016</v>
      </c>
      <c r="M57" s="92">
        <f t="shared" si="27"/>
        <v>106.58</v>
      </c>
      <c r="N57" s="92">
        <f t="shared" si="28"/>
        <v>106.02209743690079</v>
      </c>
      <c r="O57" s="92">
        <f t="shared" si="29"/>
        <v>106.01598368126575</v>
      </c>
      <c r="P57" s="92">
        <f t="shared" si="30"/>
        <v>106.06284274300589</v>
      </c>
      <c r="Q57" s="92">
        <f t="shared" si="31"/>
        <v>106.03941321213583</v>
      </c>
      <c r="R57" s="92">
        <f t="shared" si="32"/>
        <v>1.6509137016224817</v>
      </c>
      <c r="S57" s="92">
        <f t="shared" si="33"/>
        <v>0.24801524649316969</v>
      </c>
      <c r="T57" s="92">
        <f t="shared" si="34"/>
        <v>264.63438813287314</v>
      </c>
      <c r="U57" s="92">
        <f t="shared" si="35"/>
        <v>9.3116930106183027</v>
      </c>
      <c r="V57" s="92">
        <f t="shared" si="36"/>
        <v>6.9258558803079886</v>
      </c>
      <c r="W57" s="92">
        <f t="shared" si="37"/>
        <v>5.3902792401600808</v>
      </c>
      <c r="X57" s="8">
        <f t="shared" si="38"/>
        <v>1.727497332836093</v>
      </c>
      <c r="Y57" s="8">
        <f t="shared" si="39"/>
        <v>0.37604270937604273</v>
      </c>
      <c r="Z57" s="8">
        <f t="shared" si="40"/>
        <v>0.38471805138471804</v>
      </c>
      <c r="AA57" s="93">
        <f t="shared" si="41"/>
        <v>1.2331550802139037</v>
      </c>
      <c r="AB57" s="93">
        <f t="shared" si="42"/>
        <v>5.289971290889639E-2</v>
      </c>
      <c r="AC57" s="93">
        <f t="shared" si="43"/>
        <v>2.3533199225192175E-2</v>
      </c>
      <c r="AD57" s="92">
        <f t="shared" si="44"/>
        <v>0.526213474913788</v>
      </c>
      <c r="AE57" s="92"/>
      <c r="AF57" s="91">
        <f t="shared" si="45"/>
        <v>0.17383200406061955</v>
      </c>
      <c r="AG57" s="91">
        <f t="shared" si="46"/>
        <v>0.31067445159282009</v>
      </c>
      <c r="AH57" s="91"/>
      <c r="AI57" s="90">
        <f t="shared" si="47"/>
        <v>4.1998621092799232E-3</v>
      </c>
      <c r="AJ57" s="90">
        <f t="shared" si="48"/>
        <v>8.6730268863833473E-3</v>
      </c>
      <c r="AK57" s="90">
        <f t="shared" si="49"/>
        <v>-1.1477314736077773E-3</v>
      </c>
    </row>
    <row r="58" spans="1:37">
      <c r="A58" s="11" t="s">
        <v>19</v>
      </c>
      <c r="B58" t="s">
        <v>19</v>
      </c>
      <c r="C58" t="s">
        <v>591</v>
      </c>
      <c r="D58" t="s">
        <v>990</v>
      </c>
      <c r="E58" s="57">
        <v>7</v>
      </c>
      <c r="F58" s="57">
        <v>9</v>
      </c>
      <c r="G58" s="92">
        <v>5.351</v>
      </c>
      <c r="H58" s="95">
        <v>366</v>
      </c>
      <c r="I58" s="95">
        <v>106</v>
      </c>
      <c r="J58" s="95">
        <v>155</v>
      </c>
      <c r="K58" s="92">
        <f t="shared" si="25"/>
        <v>225.33333333333334</v>
      </c>
      <c r="L58" s="92">
        <f t="shared" si="26"/>
        <v>105.79943235572375</v>
      </c>
      <c r="M58" s="92">
        <f t="shared" si="27"/>
        <v>105.8</v>
      </c>
      <c r="N58" s="92">
        <f t="shared" si="28"/>
        <v>105.79971617786188</v>
      </c>
      <c r="O58" s="92">
        <f t="shared" si="29"/>
        <v>105.79972904095193</v>
      </c>
      <c r="P58" s="92">
        <f t="shared" si="30"/>
        <v>105.79972958341006</v>
      </c>
      <c r="Q58" s="92">
        <f t="shared" si="31"/>
        <v>105.799729312181</v>
      </c>
      <c r="R58" s="92">
        <f t="shared" si="32"/>
        <v>2.1298103763768257</v>
      </c>
      <c r="S58" s="92">
        <f t="shared" si="33"/>
        <v>0.29700737799873006</v>
      </c>
      <c r="T58" s="92">
        <f t="shared" si="34"/>
        <v>274.44602494571694</v>
      </c>
      <c r="U58" s="92">
        <f t="shared" si="35"/>
        <v>8.2748481473332482</v>
      </c>
      <c r="V58" s="92">
        <f t="shared" si="36"/>
        <v>6.489261047233275</v>
      </c>
      <c r="W58" s="92">
        <f t="shared" si="37"/>
        <v>4.4465663372667734</v>
      </c>
      <c r="X58" s="8">
        <f t="shared" si="38"/>
        <v>1.8609523663195033</v>
      </c>
      <c r="Y58" s="8">
        <f t="shared" si="39"/>
        <v>0.42349726775956287</v>
      </c>
      <c r="Z58" s="8">
        <f t="shared" si="40"/>
        <v>0.2896174863387978</v>
      </c>
      <c r="AA58" s="93">
        <f t="shared" si="41"/>
        <v>1.0047393364928909</v>
      </c>
      <c r="AB58" s="93">
        <f t="shared" si="42"/>
        <v>2.6826432978133141E-5</v>
      </c>
      <c r="AC58" s="93">
        <f t="shared" si="43"/>
        <v>1.1997113362741893E-5</v>
      </c>
      <c r="AD58" s="92">
        <f t="shared" si="44"/>
        <v>2.6826361012666976E-4</v>
      </c>
      <c r="AE58" s="92"/>
      <c r="AF58" s="91">
        <f t="shared" si="45"/>
        <v>0.29534845705359902</v>
      </c>
      <c r="AG58" s="91">
        <f t="shared" si="46"/>
        <v>0.2984180031603611</v>
      </c>
      <c r="AH58" s="91"/>
      <c r="AI58" s="90">
        <f t="shared" si="47"/>
        <v>3.6526543088701308E-3</v>
      </c>
      <c r="AJ58" s="90">
        <f t="shared" si="48"/>
        <v>9.433962264150943E-3</v>
      </c>
      <c r="AK58" s="90">
        <f t="shared" si="49"/>
        <v>-1.0866821840208644E-3</v>
      </c>
    </row>
    <row r="59" spans="1:37">
      <c r="A59" s="11" t="s">
        <v>18</v>
      </c>
      <c r="B59" t="s">
        <v>18</v>
      </c>
      <c r="C59" t="s">
        <v>591</v>
      </c>
      <c r="D59" t="s">
        <v>990</v>
      </c>
      <c r="E59" s="57">
        <v>7</v>
      </c>
      <c r="F59" s="57">
        <v>9</v>
      </c>
      <c r="G59" s="57">
        <v>4.3890000000000002</v>
      </c>
      <c r="H59" s="95">
        <v>300</v>
      </c>
      <c r="I59" s="95">
        <v>126</v>
      </c>
      <c r="J59" s="95">
        <v>118</v>
      </c>
      <c r="K59" s="92">
        <f t="shared" si="25"/>
        <v>178.66666666666666</v>
      </c>
      <c r="L59" s="92">
        <f t="shared" si="26"/>
        <v>109.2</v>
      </c>
      <c r="M59" s="92">
        <f t="shared" si="27"/>
        <v>112</v>
      </c>
      <c r="N59" s="92">
        <f t="shared" si="28"/>
        <v>110.6</v>
      </c>
      <c r="O59" s="92">
        <f t="shared" si="29"/>
        <v>110.55338384159928</v>
      </c>
      <c r="P59" s="92">
        <f t="shared" si="30"/>
        <v>110.7358121330724</v>
      </c>
      <c r="Q59" s="92">
        <f t="shared" si="31"/>
        <v>110.64459798733584</v>
      </c>
      <c r="R59" s="92">
        <f t="shared" si="32"/>
        <v>1.6154309825195901</v>
      </c>
      <c r="S59" s="92">
        <f t="shared" si="33"/>
        <v>0.24342715743891122</v>
      </c>
      <c r="T59" s="92">
        <f t="shared" si="34"/>
        <v>275.04608722548716</v>
      </c>
      <c r="U59" s="92">
        <f t="shared" si="35"/>
        <v>8.6201496257395362</v>
      </c>
      <c r="V59" s="92">
        <f t="shared" si="36"/>
        <v>6.380268817339469</v>
      </c>
      <c r="W59" s="92">
        <f t="shared" si="37"/>
        <v>5.0198966166114722</v>
      </c>
      <c r="X59" s="8">
        <f t="shared" si="38"/>
        <v>1.7171966444915163</v>
      </c>
      <c r="Y59" s="8">
        <f t="shared" si="39"/>
        <v>0.39333333333333331</v>
      </c>
      <c r="Z59" s="8">
        <f t="shared" si="40"/>
        <v>0.42</v>
      </c>
      <c r="AA59" s="93">
        <f t="shared" si="41"/>
        <v>1.3846153846153846</v>
      </c>
      <c r="AB59" s="93">
        <f t="shared" si="42"/>
        <v>0.12820512820512775</v>
      </c>
      <c r="AC59" s="93">
        <f t="shared" si="43"/>
        <v>5.6612339694158895E-2</v>
      </c>
      <c r="AD59" s="92">
        <f t="shared" si="44"/>
        <v>1.2658227848101253</v>
      </c>
      <c r="AE59" s="92"/>
      <c r="AF59" s="91">
        <f t="shared" si="45"/>
        <v>0.12677878395860284</v>
      </c>
      <c r="AG59" s="91">
        <f t="shared" si="46"/>
        <v>0.34346701164294957</v>
      </c>
      <c r="AH59" s="91"/>
      <c r="AI59" s="90">
        <f t="shared" si="47"/>
        <v>4.2848942102673444E-3</v>
      </c>
      <c r="AJ59" s="90">
        <f t="shared" si="48"/>
        <v>7.9365079365079361E-3</v>
      </c>
      <c r="AK59" s="90">
        <f t="shared" si="49"/>
        <v>-1.2096112842381499E-3</v>
      </c>
    </row>
    <row r="60" spans="1:37">
      <c r="A60" s="11"/>
      <c r="H60" s="95"/>
      <c r="I60" s="95"/>
      <c r="J60" s="95"/>
      <c r="U60" s="92"/>
      <c r="V60" s="92"/>
      <c r="W60" s="92"/>
      <c r="X60" s="8"/>
      <c r="Y60" s="8"/>
      <c r="Z60" s="8"/>
      <c r="AA60" s="93"/>
      <c r="AB60" s="93"/>
      <c r="AC60" s="93"/>
      <c r="AD60" s="92"/>
      <c r="AE60" s="92"/>
      <c r="AF60" s="91"/>
      <c r="AG60" s="91"/>
      <c r="AH60" s="91"/>
      <c r="AI60" s="90"/>
      <c r="AJ60" s="90"/>
      <c r="AK60" s="90"/>
    </row>
    <row r="61" spans="1:37">
      <c r="A61" t="s">
        <v>1287</v>
      </c>
      <c r="B61" t="s">
        <v>1286</v>
      </c>
      <c r="C61" t="s">
        <v>591</v>
      </c>
      <c r="D61" t="s">
        <v>1285</v>
      </c>
      <c r="E61" s="57">
        <v>7</v>
      </c>
      <c r="F61" s="57" t="s">
        <v>1281</v>
      </c>
      <c r="G61" s="92">
        <v>2.93</v>
      </c>
      <c r="H61" s="96">
        <v>105</v>
      </c>
      <c r="I61" s="96">
        <v>27</v>
      </c>
      <c r="J61" s="95">
        <v>25.7</v>
      </c>
      <c r="K61" s="92">
        <f>(H61+2*J61)/3</f>
        <v>52.133333333333333</v>
      </c>
      <c r="L61" s="92">
        <f>(5*(H61-J61)*I61)/(4*I61 + 3*(H61-J61))</f>
        <v>30.949696444058979</v>
      </c>
      <c r="M61" s="92">
        <f>(H61-J61+3*I61)/5</f>
        <v>32.06</v>
      </c>
      <c r="N61" s="92">
        <f>0.5*(M61+L61)</f>
        <v>31.504848222029491</v>
      </c>
      <c r="O61" s="92">
        <f>0.5*(H61-J61)+3/(5/(I61-0.5*(H61-J61))-4*(-3*(K61+(H61-J61))/(5*0.5*(H61-J61)*(3*K61+2*(H61-J61)))))</f>
        <v>31.541913962320645</v>
      </c>
      <c r="P61" s="92">
        <f>I61+2/(5/(0.5*(H61-J61)-I61)-6*(-(3*(K61+2*I61))/(5*I61*(3*K61+4*I61))))</f>
        <v>31.456541307254721</v>
      </c>
      <c r="Q61" s="92">
        <f>(O61+P61)/2</f>
        <v>31.499227634787683</v>
      </c>
      <c r="R61" s="92">
        <f>K61/N61</f>
        <v>1.6547717661080352</v>
      </c>
      <c r="S61" s="92">
        <f>(3*K61-2*N61)/(2*(3*K61+N61))</f>
        <v>0.24850424148074793</v>
      </c>
      <c r="T61" s="92">
        <f>9*N61*K61/(N61+3*K61)</f>
        <v>78.667873264822035</v>
      </c>
      <c r="U61" s="92">
        <f>SQRT((K61+4/3*N61)/G61)</f>
        <v>5.6682999007013564</v>
      </c>
      <c r="V61" s="92">
        <f>SQRT(K61/G61)</f>
        <v>4.2181686227731454</v>
      </c>
      <c r="W61" s="92">
        <f>SQRT(N61/G61)</f>
        <v>3.2791016949169682</v>
      </c>
      <c r="X61" s="8">
        <f>SQRT((K61/N61) +4/3)</f>
        <v>1.7286136350964516</v>
      </c>
      <c r="Y61" s="8">
        <f>J61/H61</f>
        <v>0.24476190476190476</v>
      </c>
      <c r="Z61" s="8">
        <f>I61/H61</f>
        <v>0.25714285714285712</v>
      </c>
      <c r="AA61" s="93">
        <f>2*I61/(H61-J61)</f>
        <v>0.68095838587641866</v>
      </c>
      <c r="AB61" s="93">
        <f>5*M61/L61 +1 -6</f>
        <v>0.17937228527392435</v>
      </c>
      <c r="AC61" s="93">
        <f>SQRT(5)*LN(M61/L61)</f>
        <v>7.8812353649256275E-2</v>
      </c>
      <c r="AD61" s="92">
        <f>100*(M61-L61)/(M61+L61)</f>
        <v>1.7621153863624281</v>
      </c>
      <c r="AE61" s="92"/>
      <c r="AF61" s="91">
        <f>-(2*H61*I61-(H61-J61)*(H61+2*J61))/(2*H61*I61+(H61-J61)*(H61+2*J61))</f>
        <v>0.37252801490882292</v>
      </c>
      <c r="AG61" s="91">
        <f>(4*J61*I61)/(2*H61*I61+(H61-J61)*(H61+2*J61))</f>
        <v>0.15358123825565001</v>
      </c>
      <c r="AH61" s="91"/>
      <c r="AI61" s="90">
        <f>(H61+J61)/((H61-J61)*(H61+2*J61))</f>
        <v>1.0538180950322997E-2</v>
      </c>
      <c r="AJ61" s="90">
        <f>1/I61</f>
        <v>3.7037037037037035E-2</v>
      </c>
      <c r="AK61" s="90">
        <f>-J61/((H61-J61)*(H61+2*J61))</f>
        <v>-2.0721595288699392E-3</v>
      </c>
    </row>
    <row r="62" spans="1:37">
      <c r="A62" t="s">
        <v>1284</v>
      </c>
      <c r="B62" t="s">
        <v>1283</v>
      </c>
      <c r="C62" t="s">
        <v>591</v>
      </c>
      <c r="D62" t="s">
        <v>1282</v>
      </c>
      <c r="E62" s="57">
        <v>7</v>
      </c>
      <c r="F62" s="57" t="s">
        <v>1281</v>
      </c>
      <c r="G62" s="57">
        <v>2.2389999999999999</v>
      </c>
      <c r="H62" s="95">
        <v>112.5</v>
      </c>
      <c r="I62" s="95">
        <v>27.9</v>
      </c>
      <c r="J62" s="95">
        <v>33.4</v>
      </c>
      <c r="K62" s="92">
        <f>(H62+2*J62)/3</f>
        <v>59.766666666666673</v>
      </c>
      <c r="L62" s="92">
        <f>(5*(H62-J62)*I62)/(4*I62 + 3*(H62-J62))</f>
        <v>31.62639724849527</v>
      </c>
      <c r="M62" s="92">
        <f>(H62-J62+3*I62)/5</f>
        <v>32.559999999999995</v>
      </c>
      <c r="N62" s="92">
        <f>0.5*(M62+L62)</f>
        <v>32.093198624247634</v>
      </c>
      <c r="O62" s="92">
        <f>0.5*(H62-J62)+3/(5/(I62-0.5*(H62-J62))-4*(-3*(K62+(H62-J62))/(5*0.5*(H62-J62)*(3*K62+2*(H62-J62)))))</f>
        <v>32.12823006707206</v>
      </c>
      <c r="P62" s="92">
        <f>I62+2/(5/(0.5*(H62-J62)-I62)-6*(-(3*(K62+2*I62))/(5*I62*(3*K62+4*I62))))</f>
        <v>32.062802546374193</v>
      </c>
      <c r="Q62" s="92">
        <f>(O62+P62)/2</f>
        <v>32.095516306723127</v>
      </c>
      <c r="R62" s="92">
        <f>K62/N62</f>
        <v>1.8622845097624727</v>
      </c>
      <c r="S62" s="92">
        <f>(3*K62-2*N62)/(2*(3*K62+N62))</f>
        <v>0.27227366703533279</v>
      </c>
      <c r="T62" s="92">
        <f>9*N62*K62/(N62+3*K62)</f>
        <v>81.662663001129673</v>
      </c>
      <c r="U62" s="92">
        <f>SQRT((K62+4/3*N62)/G62)</f>
        <v>6.7679458286444349</v>
      </c>
      <c r="V62" s="92">
        <f>SQRT(K62/G62)</f>
        <v>5.16657181738542</v>
      </c>
      <c r="W62" s="92">
        <f>SQRT(N62/G62)</f>
        <v>3.7859899361261187</v>
      </c>
      <c r="X62" s="8">
        <f>SQRT((K62/N62) +4/3)</f>
        <v>1.7876291122869437</v>
      </c>
      <c r="Y62" s="8">
        <f>J62/H62</f>
        <v>0.29688888888888887</v>
      </c>
      <c r="Z62" s="8">
        <f>I62/H62</f>
        <v>0.248</v>
      </c>
      <c r="AA62" s="93">
        <f>2*I62/(H62-J62)</f>
        <v>0.70543615676359039</v>
      </c>
      <c r="AB62" s="93">
        <f>5*M62/L62 +1 -6</f>
        <v>0.14759865693351237</v>
      </c>
      <c r="AC62" s="93">
        <f>SQRT(5)*LN(M62/L62)</f>
        <v>6.5052613750518337E-2</v>
      </c>
      <c r="AD62" s="92">
        <f>100*(M62-L62)/(M62+L62)</f>
        <v>1.4545180778573956</v>
      </c>
      <c r="AE62" s="92"/>
      <c r="AF62" s="91">
        <f>-(2*H62*I62-(H62-J62)*(H62+2*J62))/(2*H62*I62+(H62-J62)*(H62+2*J62))</f>
        <v>0.38636753529914036</v>
      </c>
      <c r="AG62" s="91">
        <f>(4*J62*I62)/(2*H62*I62+(H62-J62)*(H62+2*J62))</f>
        <v>0.18218066063118857</v>
      </c>
      <c r="AH62" s="91"/>
      <c r="AI62" s="90">
        <f>(H62+J62)/((H62-J62)*(H62+2*J62))</f>
        <v>1.0287231634753216E-2</v>
      </c>
      <c r="AJ62" s="90">
        <f>1/I62</f>
        <v>3.5842293906810041E-2</v>
      </c>
      <c r="AK62" s="90">
        <f>-J62/((H62-J62)*(H62+2*J62))</f>
        <v>-2.3549933968523471E-3</v>
      </c>
    </row>
    <row r="63" spans="1:37">
      <c r="H63" s="95"/>
      <c r="I63" s="95"/>
      <c r="J63" s="95"/>
      <c r="U63" s="92"/>
      <c r="V63" s="92"/>
      <c r="W63" s="92"/>
      <c r="X63" s="8"/>
      <c r="Y63" s="8"/>
      <c r="Z63" s="8"/>
      <c r="AA63" s="93"/>
      <c r="AB63" s="93"/>
      <c r="AC63" s="93"/>
      <c r="AD63" s="92"/>
      <c r="AE63" s="92"/>
      <c r="AF63" s="91"/>
      <c r="AG63" s="91"/>
      <c r="AH63" s="91"/>
      <c r="AI63" s="90"/>
      <c r="AJ63" s="90"/>
      <c r="AK63" s="90"/>
    </row>
    <row r="64" spans="1:37">
      <c r="A64" t="s">
        <v>1280</v>
      </c>
      <c r="B64" t="s">
        <v>1279</v>
      </c>
      <c r="C64" t="s">
        <v>591</v>
      </c>
      <c r="D64" s="35" t="s">
        <v>1275</v>
      </c>
      <c r="E64" s="57">
        <v>7</v>
      </c>
      <c r="F64" s="57" t="s">
        <v>1278</v>
      </c>
      <c r="G64" s="103">
        <v>6.8</v>
      </c>
      <c r="H64" s="95">
        <v>136</v>
      </c>
      <c r="I64" s="95">
        <v>51.8</v>
      </c>
      <c r="J64" s="95">
        <v>23</v>
      </c>
      <c r="K64" s="92">
        <f>(H64+2*J64)/3</f>
        <v>60.666666666666664</v>
      </c>
      <c r="L64" s="92">
        <f>(5*(H64-J64)*I64)/(4*I64 + 3*(H64-J64))</f>
        <v>53.582936653240566</v>
      </c>
      <c r="M64" s="92">
        <f>(H64-J64+3*I64)/5</f>
        <v>53.679999999999993</v>
      </c>
      <c r="N64" s="92">
        <f>0.5*(M64+L64)</f>
        <v>53.631468326620279</v>
      </c>
      <c r="O64" s="92">
        <f>0.5*(H64-J64)+3/(5/(I64-0.5*(H64-J64))-4*(-3*(K64+(H64-J64))/(5*0.5*(H64-J64)*(3*K64+2*(H64-J64)))))</f>
        <v>53.631242572883707</v>
      </c>
      <c r="P64" s="92">
        <f>I64+2/(5/(0.5*(H64-J64)-I64)-6*(-(3*(K64+2*I64))/(5*I64*(3*K64+4*I64))))</f>
        <v>53.629554485581842</v>
      </c>
      <c r="Q64" s="92">
        <f>(O64+P64)/2</f>
        <v>53.630398529232778</v>
      </c>
      <c r="R64" s="92">
        <f>K64/N64</f>
        <v>1.1311766871121525</v>
      </c>
      <c r="S64" s="92">
        <f>(3*K64-2*N64)/(2*(3*K64+N64))</f>
        <v>0.15858888432330004</v>
      </c>
      <c r="T64" s="92">
        <f>9*N64*K64/(N64+3*K64)</f>
        <v>124.27364610631878</v>
      </c>
      <c r="U64" s="92">
        <f>SQRT((K64+4/3*N64)/G64)</f>
        <v>4.408802877101814</v>
      </c>
      <c r="V64" s="92">
        <f>SQRT(K64/G64)</f>
        <v>2.9868995007283021</v>
      </c>
      <c r="W64" s="92">
        <f>SQRT(N64/G64)</f>
        <v>2.8083768686320734</v>
      </c>
      <c r="X64" s="8">
        <f>SQRT((K64/N64) +4/3)</f>
        <v>1.5698757977768452</v>
      </c>
      <c r="Y64" s="8">
        <f>J64/H64</f>
        <v>0.16911764705882354</v>
      </c>
      <c r="Z64" s="8">
        <f>I64/H64</f>
        <v>0.38088235294117645</v>
      </c>
      <c r="AA64" s="93">
        <f>2*I64/(H64-J64)</f>
        <v>0.91681415929203536</v>
      </c>
      <c r="AB64" s="93">
        <f>5*M64/L64 +1 -6</f>
        <v>9.0573000307516693E-3</v>
      </c>
      <c r="AC64" s="93">
        <f>SQRT(5)*LN(M64/L64)</f>
        <v>4.0468834341438461E-3</v>
      </c>
      <c r="AD64" s="92">
        <f>100*(M64-L64)/(M64+L64)</f>
        <v>9.0491039857703195E-2</v>
      </c>
      <c r="AE64" s="92"/>
      <c r="AF64" s="91">
        <f>-(2*H64*I64-(H64-J64)*(H64+2*J64))/(2*H64*I64+(H64-J64)*(H64+2*J64))</f>
        <v>0.18687888826048321</v>
      </c>
      <c r="AG64" s="91">
        <f>(4*J64*I64)/(2*H64*I64+(H64-J64)*(H64+2*J64))</f>
        <v>0.13751312919124181</v>
      </c>
      <c r="AH64" s="91"/>
      <c r="AI64" s="90">
        <f>(H64+J64)/((H64-J64)*(H64+2*J64))</f>
        <v>7.7312068462510944E-3</v>
      </c>
      <c r="AJ64" s="90">
        <f>1/I64</f>
        <v>1.9305019305019305E-2</v>
      </c>
      <c r="AK64" s="90">
        <f>-J64/((H64-J64)*(H64+2*J64))</f>
        <v>-1.1183506758727997E-3</v>
      </c>
    </row>
    <row r="65" spans="1:37">
      <c r="A65" t="s">
        <v>1277</v>
      </c>
      <c r="B65" t="s">
        <v>1276</v>
      </c>
      <c r="C65" t="s">
        <v>591</v>
      </c>
      <c r="D65" s="35" t="s">
        <v>1275</v>
      </c>
      <c r="E65" s="57">
        <v>7</v>
      </c>
      <c r="F65" s="57">
        <v>9</v>
      </c>
      <c r="G65" s="103">
        <v>7.0949999999999998</v>
      </c>
      <c r="H65" s="95">
        <v>116</v>
      </c>
      <c r="I65" s="95">
        <v>43.6</v>
      </c>
      <c r="J65" s="95">
        <v>27</v>
      </c>
      <c r="K65" s="92">
        <f>(H65+2*J65)/3</f>
        <v>56.666666666666664</v>
      </c>
      <c r="L65" s="92">
        <f>(5*(H65-J65)*I65)/(4*I65 + 3*(H65-J65))</f>
        <v>43.9555958314454</v>
      </c>
      <c r="M65" s="92">
        <f>(H65-J65+3*I65)/5</f>
        <v>43.96</v>
      </c>
      <c r="N65" s="92">
        <f>0.5*(M65+L65)</f>
        <v>43.957797915722701</v>
      </c>
      <c r="O65" s="92">
        <f>0.5*(H65-J65)+3/(5/(I65-0.5*(H65-J65))-4*(-3*(K65+(H65-J65))/(5*0.5*(H65-J65)*(3*K65+2*(H65-J65)))))</f>
        <v>43.957796734658309</v>
      </c>
      <c r="P65" s="92">
        <f>I65+2/(5/(0.5*(H65-J65)-I65)-6*(-(3*(K65+2*I65))/(5*I65*(3*K65+4*I65))))</f>
        <v>43.95777873649579</v>
      </c>
      <c r="Q65" s="92">
        <f>(O65+P65)/2</f>
        <v>43.95778773557705</v>
      </c>
      <c r="R65" s="92">
        <f>K65/N65</f>
        <v>1.2891152276396969</v>
      </c>
      <c r="S65" s="92">
        <f>(3*K65-2*N65)/(2*(3*K65+N65))</f>
        <v>0.19182381985649194</v>
      </c>
      <c r="T65" s="92">
        <f>9*N65*K65/(N65+3*K65)</f>
        <v>104.77990124879275</v>
      </c>
      <c r="U65" s="92">
        <f>SQRT((K65+4/3*N65)/G65)</f>
        <v>4.030837157107932</v>
      </c>
      <c r="V65" s="92">
        <f>SQRT(K65/G65)</f>
        <v>2.8261007052381415</v>
      </c>
      <c r="W65" s="92">
        <f>SQRT(N65/G65)</f>
        <v>2.4890966721344561</v>
      </c>
      <c r="X65" s="8">
        <f>SQRT((K65/N65) +4/3)</f>
        <v>1.6193975919992687</v>
      </c>
      <c r="Y65" s="8">
        <f>J65/H65</f>
        <v>0.23275862068965517</v>
      </c>
      <c r="Z65" s="8">
        <f>I65/H65</f>
        <v>0.37586206896551727</v>
      </c>
      <c r="AA65" s="93">
        <f>2*I65/(H65-J65)</f>
        <v>0.97977528089887644</v>
      </c>
      <c r="AB65" s="93">
        <f>5*M65/L65 +1 -6</f>
        <v>5.0097928048664642E-4</v>
      </c>
      <c r="AC65" s="93">
        <f>SQRT(5)*LN(M65/L65)</f>
        <v>2.2403352186957319E-4</v>
      </c>
      <c r="AD65" s="92">
        <f>100*(M65-L65)/(M65+L65)</f>
        <v>5.0095418372007473E-3</v>
      </c>
      <c r="AE65" s="92"/>
      <c r="AF65" s="91">
        <f>-(2*H65*I65-(H65-J65)*(H65+2*J65))/(2*H65*I65+(H65-J65)*(H65+2*J65))</f>
        <v>0.19864370256524008</v>
      </c>
      <c r="AG65" s="91">
        <f>(4*J65*I65)/(2*H65*I65+(H65-J65)*(H65+2*J65))</f>
        <v>0.18652258647188377</v>
      </c>
      <c r="AH65" s="91"/>
      <c r="AI65" s="90">
        <f>(H65+J65)/((H65-J65)*(H65+2*J65))</f>
        <v>9.4514210178453396E-3</v>
      </c>
      <c r="AJ65" s="90">
        <f>1/I65</f>
        <v>2.2935779816513759E-2</v>
      </c>
      <c r="AK65" s="90">
        <f>-J65/((H65-J65)*(H65+2*J65))</f>
        <v>-1.784534038334435E-3</v>
      </c>
    </row>
    <row r="66" spans="1:37">
      <c r="D66" s="35"/>
      <c r="G66" s="103"/>
      <c r="H66" s="95"/>
      <c r="I66" s="95"/>
      <c r="J66" s="95"/>
      <c r="U66" s="92"/>
      <c r="V66" s="92"/>
      <c r="W66" s="92"/>
      <c r="X66" s="8"/>
      <c r="Y66" s="8"/>
      <c r="Z66" s="8"/>
      <c r="AA66" s="93"/>
      <c r="AB66" s="93"/>
      <c r="AC66" s="93"/>
      <c r="AD66" s="92"/>
      <c r="AE66" s="92"/>
      <c r="AF66" s="91"/>
      <c r="AG66" s="91"/>
      <c r="AH66" s="91"/>
      <c r="AI66" s="90"/>
      <c r="AJ66" s="90"/>
      <c r="AK66" s="90"/>
    </row>
    <row r="67" spans="1:37">
      <c r="A67" s="38" t="s">
        <v>1274</v>
      </c>
      <c r="H67" s="95"/>
      <c r="I67" s="95"/>
      <c r="J67" s="95"/>
      <c r="U67" s="92"/>
      <c r="V67" s="92"/>
      <c r="W67" s="92"/>
      <c r="X67" s="8"/>
      <c r="Y67" s="8"/>
      <c r="Z67" s="8"/>
      <c r="AA67" s="93"/>
      <c r="AB67" s="93"/>
      <c r="AC67" s="93"/>
      <c r="AD67" s="92"/>
      <c r="AE67" s="92"/>
      <c r="AF67" s="91"/>
      <c r="AG67" s="91"/>
      <c r="AH67" s="91"/>
      <c r="AI67" s="90"/>
      <c r="AJ67" s="90"/>
      <c r="AK67" s="90"/>
    </row>
    <row r="68" spans="1:37">
      <c r="A68" t="s">
        <v>1273</v>
      </c>
      <c r="B68" t="s">
        <v>1272</v>
      </c>
      <c r="C68" t="s">
        <v>1129</v>
      </c>
      <c r="D68" t="s">
        <v>1234</v>
      </c>
      <c r="E68" s="57">
        <v>7</v>
      </c>
      <c r="F68" s="57">
        <v>4</v>
      </c>
      <c r="G68" s="57">
        <v>4.55</v>
      </c>
      <c r="H68" s="95">
        <v>330.6</v>
      </c>
      <c r="I68" s="95">
        <v>114.1</v>
      </c>
      <c r="J68" s="95">
        <v>111.2</v>
      </c>
      <c r="K68" s="92">
        <f t="shared" ref="K68:K88" si="50">(H68+2*J68)/3</f>
        <v>184.33333333333334</v>
      </c>
      <c r="L68" s="92">
        <f t="shared" ref="L68:L88" si="51">(5*(H68-J68)*I68)/(4*I68 + 3*(H68-J68))</f>
        <v>112.2983132962498</v>
      </c>
      <c r="M68" s="92">
        <f t="shared" ref="M68:M88" si="52">(H68-J68+3*I68)/5</f>
        <v>112.34</v>
      </c>
      <c r="N68" s="92">
        <f t="shared" ref="N68:N88" si="53">0.5*(M68+L68)</f>
        <v>112.3191566481249</v>
      </c>
      <c r="O68" s="92">
        <f t="shared" ref="O68:O75" si="54">0.5*(H68-J68)+3/(5/(I68-0.5*(H68-J68))-4*(-3*(K68+(H68-J68))/(5*0.5*(H68-J68)*(3*K68+2*(H68-J68)))))</f>
        <v>112.31947083162909</v>
      </c>
      <c r="P68" s="92">
        <f t="shared" ref="P68:P75" si="55">I68+2/(5/(0.5*(H68-J68)-I68)-6*(-(3*(K68+2*I68))/(5*I68*(3*K68+4*I68))))</f>
        <v>112.31979940244376</v>
      </c>
      <c r="Q68" s="92">
        <f t="shared" ref="Q68:Q75" si="56">(O68+P68)/2</f>
        <v>112.31963511703643</v>
      </c>
      <c r="R68" s="92">
        <f t="shared" ref="R68:R88" si="57">K68/N68</f>
        <v>1.6411566720609869</v>
      </c>
      <c r="S68" s="92">
        <f t="shared" ref="S68:S88" si="58">(3*K68-2*N68)/(2*(3*K68+N68))</f>
        <v>0.24677005270525726</v>
      </c>
      <c r="T68" s="92">
        <f t="shared" ref="T68:T88" si="59">9*N68*K68/(N68+3*K68)</f>
        <v>280.07232170798545</v>
      </c>
      <c r="U68" s="92">
        <f>SQRT((K68+4/3*N68)/G68)</f>
        <v>8.5689473735707828</v>
      </c>
      <c r="V68" s="92">
        <f>SQRT(K68/G68)</f>
        <v>6.3649682255939437</v>
      </c>
      <c r="W68" s="92">
        <f>SQRT(N68/G68)</f>
        <v>4.9684533744067503</v>
      </c>
      <c r="X68" s="8">
        <f t="shared" ref="X68:X88" si="60">SQRT((K68/N68) +4/3)</f>
        <v>1.7246709846791997</v>
      </c>
      <c r="Y68" s="8">
        <f t="shared" ref="Y68:Y88" si="61">J68/H68</f>
        <v>0.33635813672111309</v>
      </c>
      <c r="Z68" s="8">
        <f t="shared" ref="Z68:Z88" si="62">I68/H68</f>
        <v>0.34513006654567446</v>
      </c>
      <c r="AA68" s="90">
        <f t="shared" ref="AA68:AA88" si="63">2*I68/(H68-J68)</f>
        <v>1.0401093892433908</v>
      </c>
      <c r="AB68" s="90">
        <f t="shared" ref="AB68:AB88" si="64">5*M68/L68 +1 -6</f>
        <v>1.8560698966263445E-3</v>
      </c>
      <c r="AC68" s="93">
        <f t="shared" ref="AC68:AC88" si="65">SQRT(5)*LN(M68/L68)</f>
        <v>8.2990566520508614E-4</v>
      </c>
      <c r="AD68" s="92">
        <f t="shared" ref="AD68:AD88" si="66">100*(M68-L68)/(M68+L68)</f>
        <v>1.8557254610092149E-2</v>
      </c>
      <c r="AE68" s="92"/>
      <c r="AF68" s="91">
        <f t="shared" ref="AF68:AF88" si="67">-(2*H68*I68-(H68-J68)*(H68+2*J68))/(2*H68*I68+(H68-J68)*(H68+2*J68))</f>
        <v>0.23319113089359869</v>
      </c>
      <c r="AG68" s="91">
        <f t="shared" ref="AG68:AG88" si="68">(4*J68*I68)/(2*H68*I68+(H68-J68)*(H68+2*J68))</f>
        <v>0.25792240243385312</v>
      </c>
      <c r="AH68" s="91"/>
      <c r="AI68" s="90">
        <f t="shared" ref="AI68:AI88" si="69">(H68+J68)/((H68-J68)*(H68+2*J68))</f>
        <v>3.6413628488677816E-3</v>
      </c>
      <c r="AJ68" s="90">
        <f t="shared" ref="AJ68:AJ88" si="70">1/I68</f>
        <v>8.7642418930762491E-3</v>
      </c>
      <c r="AK68" s="90">
        <f t="shared" ref="AK68:AK88" si="71">-J68/((H68-J68)*(H68+2*J68))</f>
        <v>-9.1652229242665756E-4</v>
      </c>
    </row>
    <row r="69" spans="1:37">
      <c r="A69" t="s">
        <v>1271</v>
      </c>
      <c r="B69" t="s">
        <v>1270</v>
      </c>
      <c r="C69" t="s">
        <v>1129</v>
      </c>
      <c r="D69" t="s">
        <v>1234</v>
      </c>
      <c r="E69" s="57">
        <v>7</v>
      </c>
      <c r="F69" s="57">
        <v>4</v>
      </c>
      <c r="G69" s="57">
        <v>4.96</v>
      </c>
      <c r="H69" s="95">
        <v>332</v>
      </c>
      <c r="I69" s="95">
        <v>113</v>
      </c>
      <c r="J69" s="95">
        <v>114</v>
      </c>
      <c r="K69" s="92">
        <f t="shared" si="50"/>
        <v>186.66666666666666</v>
      </c>
      <c r="L69" s="92">
        <f t="shared" si="51"/>
        <v>111.36528028933093</v>
      </c>
      <c r="M69" s="92">
        <f t="shared" si="52"/>
        <v>111.4</v>
      </c>
      <c r="N69" s="92">
        <f t="shared" si="53"/>
        <v>111.38264014466546</v>
      </c>
      <c r="O69" s="92">
        <f t="shared" si="54"/>
        <v>111.38294597011038</v>
      </c>
      <c r="P69" s="92">
        <f t="shared" si="55"/>
        <v>111.38319687486303</v>
      </c>
      <c r="Q69" s="92">
        <f t="shared" si="56"/>
        <v>111.38307142248671</v>
      </c>
      <c r="R69" s="92">
        <f t="shared" si="57"/>
        <v>1.6759044894628208</v>
      </c>
      <c r="S69" s="92">
        <f t="shared" si="58"/>
        <v>0.25114941878598757</v>
      </c>
      <c r="T69" s="92">
        <f t="shared" si="59"/>
        <v>278.71265095969397</v>
      </c>
      <c r="U69" s="92">
        <f>SQRT((K69+4/3*N69)/G69)</f>
        <v>8.2204609684318939</v>
      </c>
      <c r="V69" s="92">
        <f>SQRT(K69/G69)</f>
        <v>6.1346889572455536</v>
      </c>
      <c r="W69" s="92">
        <f>SQRT(N69/G69)</f>
        <v>4.7387949363230799</v>
      </c>
      <c r="X69" s="8">
        <f t="shared" si="60"/>
        <v>1.7347154875645037</v>
      </c>
      <c r="Y69" s="8">
        <f t="shared" si="61"/>
        <v>0.34337349397590361</v>
      </c>
      <c r="Z69" s="8">
        <f t="shared" si="62"/>
        <v>0.34036144578313254</v>
      </c>
      <c r="AA69" s="90">
        <f t="shared" si="63"/>
        <v>1.036697247706422</v>
      </c>
      <c r="AB69" s="90">
        <f t="shared" si="64"/>
        <v>1.5588211415114017E-3</v>
      </c>
      <c r="AC69" s="93">
        <f t="shared" si="65"/>
        <v>6.9701736054188267E-4</v>
      </c>
      <c r="AD69" s="92">
        <f t="shared" si="66"/>
        <v>1.5585781870489642E-2</v>
      </c>
      <c r="AE69" s="92"/>
      <c r="AF69" s="91">
        <f t="shared" si="67"/>
        <v>0.23868663500953771</v>
      </c>
      <c r="AG69" s="91">
        <f t="shared" si="68"/>
        <v>0.26141483014732741</v>
      </c>
      <c r="AH69" s="91"/>
      <c r="AI69" s="90">
        <f t="shared" si="69"/>
        <v>3.6533420707732635E-3</v>
      </c>
      <c r="AJ69" s="90">
        <f t="shared" si="70"/>
        <v>8.8495575221238937E-3</v>
      </c>
      <c r="AK69" s="90">
        <f t="shared" si="71"/>
        <v>-9.3381389252948882E-4</v>
      </c>
    </row>
    <row r="70" spans="1:37">
      <c r="A70" t="s">
        <v>1267</v>
      </c>
      <c r="B70" t="s">
        <v>1269</v>
      </c>
      <c r="C70" t="s">
        <v>1129</v>
      </c>
      <c r="D70" t="s">
        <v>1234</v>
      </c>
      <c r="E70" s="57">
        <v>7</v>
      </c>
      <c r="F70" s="57">
        <v>4</v>
      </c>
      <c r="G70" s="115" t="s">
        <v>616</v>
      </c>
      <c r="H70" s="95">
        <v>331</v>
      </c>
      <c r="I70" s="95">
        <v>114</v>
      </c>
      <c r="J70" s="95">
        <v>115</v>
      </c>
      <c r="K70" s="92">
        <f t="shared" si="50"/>
        <v>187</v>
      </c>
      <c r="L70" s="92">
        <f t="shared" si="51"/>
        <v>111.52173913043478</v>
      </c>
      <c r="M70" s="92">
        <f t="shared" si="52"/>
        <v>111.6</v>
      </c>
      <c r="N70" s="92">
        <f t="shared" si="53"/>
        <v>111.56086956521739</v>
      </c>
      <c r="O70" s="92">
        <f t="shared" si="54"/>
        <v>111.56145640998393</v>
      </c>
      <c r="P70" s="92">
        <f t="shared" si="55"/>
        <v>111.56230485381776</v>
      </c>
      <c r="Q70" s="92">
        <f t="shared" si="56"/>
        <v>111.56188063190085</v>
      </c>
      <c r="R70" s="92">
        <f t="shared" si="57"/>
        <v>1.6762149733037142</v>
      </c>
      <c r="S70" s="92">
        <f t="shared" si="58"/>
        <v>0.25118786726916587</v>
      </c>
      <c r="T70" s="92">
        <f t="shared" si="59"/>
        <v>279.16721292399592</v>
      </c>
      <c r="U70" s="92" t="s">
        <v>616</v>
      </c>
      <c r="V70" s="114" t="s">
        <v>616</v>
      </c>
      <c r="W70" s="114" t="s">
        <v>616</v>
      </c>
      <c r="X70" s="8">
        <f t="shared" si="60"/>
        <v>1.7348049765426221</v>
      </c>
      <c r="Y70" s="8">
        <f t="shared" si="61"/>
        <v>0.34743202416918428</v>
      </c>
      <c r="Z70" s="8">
        <f t="shared" si="62"/>
        <v>0.34441087613293053</v>
      </c>
      <c r="AA70" s="90">
        <f t="shared" si="63"/>
        <v>1.0555555555555556</v>
      </c>
      <c r="AB70" s="90">
        <f t="shared" si="64"/>
        <v>3.5087719298250164E-3</v>
      </c>
      <c r="AC70" s="93">
        <f t="shared" si="65"/>
        <v>1.5686201818306961E-3</v>
      </c>
      <c r="AD70" s="92">
        <f t="shared" si="66"/>
        <v>3.5075412136090604E-2</v>
      </c>
      <c r="AE70" s="92"/>
      <c r="AF70" s="91">
        <f t="shared" si="67"/>
        <v>0.23244034905717947</v>
      </c>
      <c r="AG70" s="91">
        <f t="shared" si="68"/>
        <v>0.26667480319765668</v>
      </c>
      <c r="AH70" s="91"/>
      <c r="AI70" s="90">
        <f t="shared" si="69"/>
        <v>3.6805968178517199E-3</v>
      </c>
      <c r="AJ70" s="90">
        <f t="shared" si="70"/>
        <v>8.771929824561403E-3</v>
      </c>
      <c r="AK70" s="90">
        <f t="shared" si="71"/>
        <v>-9.490328117779098E-4</v>
      </c>
    </row>
    <row r="71" spans="1:37">
      <c r="A71" t="s">
        <v>1267</v>
      </c>
      <c r="B71" t="s">
        <v>1268</v>
      </c>
      <c r="C71" t="s">
        <v>1129</v>
      </c>
      <c r="D71" t="s">
        <v>1234</v>
      </c>
      <c r="E71" s="57">
        <v>7</v>
      </c>
      <c r="F71" s="57">
        <v>4</v>
      </c>
      <c r="G71" s="115" t="s">
        <v>616</v>
      </c>
      <c r="H71" s="95">
        <v>326</v>
      </c>
      <c r="I71" s="95">
        <v>112</v>
      </c>
      <c r="J71" s="95">
        <v>114</v>
      </c>
      <c r="K71" s="92">
        <f t="shared" si="50"/>
        <v>184.66666666666666</v>
      </c>
      <c r="L71" s="92">
        <f t="shared" si="51"/>
        <v>109.52029520295203</v>
      </c>
      <c r="M71" s="92">
        <f t="shared" si="52"/>
        <v>109.6</v>
      </c>
      <c r="N71" s="92">
        <f t="shared" si="53"/>
        <v>109.56014760147602</v>
      </c>
      <c r="O71" s="92">
        <f t="shared" si="54"/>
        <v>109.56076114584049</v>
      </c>
      <c r="P71" s="92">
        <f t="shared" si="55"/>
        <v>109.56164121639826</v>
      </c>
      <c r="Q71" s="92">
        <f t="shared" si="56"/>
        <v>109.56120118111937</v>
      </c>
      <c r="R71" s="92">
        <f t="shared" si="57"/>
        <v>1.6855277280055325</v>
      </c>
      <c r="S71" s="92">
        <f t="shared" si="58"/>
        <v>0.25233560665714627</v>
      </c>
      <c r="T71" s="92">
        <f t="shared" si="59"/>
        <v>274.41214782388192</v>
      </c>
      <c r="U71" s="92" t="s">
        <v>616</v>
      </c>
      <c r="V71" s="114" t="s">
        <v>616</v>
      </c>
      <c r="W71" s="114" t="s">
        <v>616</v>
      </c>
      <c r="X71" s="8">
        <f t="shared" si="60"/>
        <v>1.7374869960200754</v>
      </c>
      <c r="Y71" s="8">
        <f t="shared" si="61"/>
        <v>0.34969325153374231</v>
      </c>
      <c r="Z71" s="8">
        <f t="shared" si="62"/>
        <v>0.34355828220858897</v>
      </c>
      <c r="AA71" s="90">
        <f t="shared" si="63"/>
        <v>1.0566037735849056</v>
      </c>
      <c r="AB71" s="90">
        <f t="shared" si="64"/>
        <v>3.638814016172276E-3</v>
      </c>
      <c r="AC71" s="93">
        <f t="shared" si="65"/>
        <v>1.626735232604025E-3</v>
      </c>
      <c r="AD71" s="92">
        <f t="shared" si="66"/>
        <v>3.6374904010668264E-2</v>
      </c>
      <c r="AE71" s="92"/>
      <c r="AF71" s="91">
        <f t="shared" si="67"/>
        <v>0.23323113108488386</v>
      </c>
      <c r="AG71" s="91">
        <f t="shared" si="68"/>
        <v>0.26813389894577683</v>
      </c>
      <c r="AH71" s="91"/>
      <c r="AI71" s="90">
        <f t="shared" si="69"/>
        <v>3.7463388052584976E-3</v>
      </c>
      <c r="AJ71" s="90">
        <f t="shared" si="70"/>
        <v>8.9285714285714281E-3</v>
      </c>
      <c r="AK71" s="90">
        <f t="shared" si="71"/>
        <v>-9.7064232681697428E-4</v>
      </c>
    </row>
    <row r="72" spans="1:37">
      <c r="A72" t="s">
        <v>1267</v>
      </c>
      <c r="B72" t="s">
        <v>1266</v>
      </c>
      <c r="C72" t="s">
        <v>1129</v>
      </c>
      <c r="D72" t="s">
        <v>1234</v>
      </c>
      <c r="E72" s="57">
        <v>7</v>
      </c>
      <c r="F72" s="57">
        <v>4</v>
      </c>
      <c r="G72" s="115" t="s">
        <v>616</v>
      </c>
      <c r="H72" s="95">
        <v>318</v>
      </c>
      <c r="I72" s="95">
        <v>110</v>
      </c>
      <c r="J72" s="95">
        <v>116</v>
      </c>
      <c r="K72" s="92">
        <f t="shared" si="50"/>
        <v>183.33333333333334</v>
      </c>
      <c r="L72" s="92">
        <f t="shared" si="51"/>
        <v>106.21414913957935</v>
      </c>
      <c r="M72" s="92">
        <f t="shared" si="52"/>
        <v>106.4</v>
      </c>
      <c r="N72" s="92">
        <f t="shared" si="53"/>
        <v>106.30707456978968</v>
      </c>
      <c r="O72" s="92">
        <f t="shared" si="54"/>
        <v>106.30829238193878</v>
      </c>
      <c r="P72" s="92">
        <f t="shared" si="55"/>
        <v>106.31147540983606</v>
      </c>
      <c r="Q72" s="92">
        <f t="shared" si="56"/>
        <v>106.30988389588742</v>
      </c>
      <c r="R72" s="92">
        <f t="shared" si="57"/>
        <v>1.7245638079615915</v>
      </c>
      <c r="S72" s="92">
        <f t="shared" si="58"/>
        <v>0.2570335319648791</v>
      </c>
      <c r="T72" s="92">
        <f t="shared" si="59"/>
        <v>267.26311483863299</v>
      </c>
      <c r="U72" s="92" t="s">
        <v>616</v>
      </c>
      <c r="V72" s="114" t="s">
        <v>616</v>
      </c>
      <c r="W72" s="114" t="s">
        <v>616</v>
      </c>
      <c r="X72" s="8">
        <f t="shared" si="60"/>
        <v>1.7486844029998452</v>
      </c>
      <c r="Y72" s="8">
        <f t="shared" si="61"/>
        <v>0.36477987421383645</v>
      </c>
      <c r="Z72" s="8">
        <f t="shared" si="62"/>
        <v>0.34591194968553457</v>
      </c>
      <c r="AA72" s="90">
        <f t="shared" si="63"/>
        <v>1.0891089108910892</v>
      </c>
      <c r="AB72" s="90">
        <f t="shared" si="64"/>
        <v>8.7488748874884337E-3</v>
      </c>
      <c r="AC72" s="93">
        <f t="shared" si="65"/>
        <v>3.9091966842743318E-3</v>
      </c>
      <c r="AD72" s="92">
        <f t="shared" si="66"/>
        <v>8.7412272970905716E-2</v>
      </c>
      <c r="AE72" s="92"/>
      <c r="AF72" s="91">
        <f t="shared" si="67"/>
        <v>0.22721749696233293</v>
      </c>
      <c r="AG72" s="91">
        <f t="shared" si="68"/>
        <v>0.28189550425273391</v>
      </c>
      <c r="AH72" s="91"/>
      <c r="AI72" s="90">
        <f t="shared" si="69"/>
        <v>3.906390639063906E-3</v>
      </c>
      <c r="AJ72" s="90">
        <f t="shared" si="70"/>
        <v>9.0909090909090905E-3</v>
      </c>
      <c r="AK72" s="90">
        <f t="shared" si="71"/>
        <v>-1.0441044104410441E-3</v>
      </c>
    </row>
    <row r="73" spans="1:37">
      <c r="A73" t="s">
        <v>1264</v>
      </c>
      <c r="B73" t="s">
        <v>1265</v>
      </c>
      <c r="C73" t="s">
        <v>1129</v>
      </c>
      <c r="D73" t="s">
        <v>1234</v>
      </c>
      <c r="E73" s="57">
        <v>7</v>
      </c>
      <c r="F73" s="57">
        <v>4</v>
      </c>
      <c r="G73" s="57">
        <v>5.35</v>
      </c>
      <c r="H73" s="95">
        <v>327</v>
      </c>
      <c r="I73" s="95">
        <v>115</v>
      </c>
      <c r="J73" s="95">
        <v>109</v>
      </c>
      <c r="K73" s="92">
        <f t="shared" si="50"/>
        <v>181.66666666666666</v>
      </c>
      <c r="L73" s="92">
        <f t="shared" si="51"/>
        <v>112.52244165170556</v>
      </c>
      <c r="M73" s="92">
        <f t="shared" si="52"/>
        <v>112.6</v>
      </c>
      <c r="N73" s="92">
        <f t="shared" si="53"/>
        <v>112.56122082585279</v>
      </c>
      <c r="O73" s="92">
        <f t="shared" si="54"/>
        <v>112.56166041389326</v>
      </c>
      <c r="P73" s="92">
        <f t="shared" si="55"/>
        <v>112.5624930797581</v>
      </c>
      <c r="Q73" s="92">
        <f t="shared" si="56"/>
        <v>112.56207674682568</v>
      </c>
      <c r="R73" s="92">
        <f t="shared" si="57"/>
        <v>1.6139365345701893</v>
      </c>
      <c r="S73" s="92">
        <f t="shared" si="58"/>
        <v>0.24323024854366385</v>
      </c>
      <c r="T73" s="92">
        <f t="shared" si="59"/>
        <v>279.87902908740637</v>
      </c>
      <c r="U73" s="92">
        <f t="shared" ref="U73:U88" si="72">SQRT((K73+4/3*N73)/G73)</f>
        <v>7.8745810680376689</v>
      </c>
      <c r="V73" s="92">
        <f t="shared" ref="V73:V88" si="73">SQRT(K73/G73)</f>
        <v>5.8272108502125519</v>
      </c>
      <c r="W73" s="92">
        <f t="shared" ref="W73:W88" si="74">SQRT(N73/G73)</f>
        <v>4.5868813510049273</v>
      </c>
      <c r="X73" s="8">
        <f t="shared" si="60"/>
        <v>1.7167614475819064</v>
      </c>
      <c r="Y73" s="8">
        <f t="shared" si="61"/>
        <v>0.33333333333333331</v>
      </c>
      <c r="Z73" s="8">
        <f t="shared" si="62"/>
        <v>0.35168195718654433</v>
      </c>
      <c r="AA73" s="90">
        <f t="shared" si="63"/>
        <v>1.0550458715596329</v>
      </c>
      <c r="AB73" s="90">
        <f t="shared" si="64"/>
        <v>3.4463502193862183E-3</v>
      </c>
      <c r="AC73" s="93">
        <f t="shared" si="65"/>
        <v>1.5407237465794104E-3</v>
      </c>
      <c r="AD73" s="92">
        <f t="shared" si="66"/>
        <v>3.4451628955954737E-2</v>
      </c>
      <c r="AE73" s="92"/>
      <c r="AF73" s="91">
        <f t="shared" si="67"/>
        <v>0.2247191011235955</v>
      </c>
      <c r="AG73" s="91">
        <f t="shared" si="68"/>
        <v>0.25842696629213485</v>
      </c>
      <c r="AH73" s="91"/>
      <c r="AI73" s="90">
        <f t="shared" si="69"/>
        <v>3.669724770642202E-3</v>
      </c>
      <c r="AJ73" s="90">
        <f t="shared" si="70"/>
        <v>8.6956521739130436E-3</v>
      </c>
      <c r="AK73" s="90">
        <f t="shared" si="71"/>
        <v>-9.1743119266055051E-4</v>
      </c>
    </row>
    <row r="74" spans="1:37">
      <c r="A74" t="s">
        <v>1264</v>
      </c>
      <c r="B74" t="s">
        <v>1263</v>
      </c>
      <c r="C74" t="s">
        <v>1129</v>
      </c>
      <c r="D74" t="s">
        <v>1234</v>
      </c>
      <c r="E74" s="57">
        <v>7</v>
      </c>
      <c r="F74" s="57">
        <v>4</v>
      </c>
      <c r="G74" s="57">
        <v>6.23</v>
      </c>
      <c r="H74" s="95">
        <v>328</v>
      </c>
      <c r="I74" s="95">
        <v>115</v>
      </c>
      <c r="J74" s="95">
        <v>112</v>
      </c>
      <c r="K74" s="92">
        <f t="shared" si="50"/>
        <v>184</v>
      </c>
      <c r="L74" s="92">
        <f t="shared" si="51"/>
        <v>112.09386281588448</v>
      </c>
      <c r="M74" s="92">
        <f t="shared" si="52"/>
        <v>112.2</v>
      </c>
      <c r="N74" s="92">
        <f t="shared" si="53"/>
        <v>112.14693140794225</v>
      </c>
      <c r="O74" s="92">
        <f t="shared" si="54"/>
        <v>112.14754683318466</v>
      </c>
      <c r="P74" s="92">
        <f t="shared" si="55"/>
        <v>112.14888273552708</v>
      </c>
      <c r="Q74" s="92">
        <f t="shared" si="56"/>
        <v>112.14821478435587</v>
      </c>
      <c r="R74" s="92">
        <f t="shared" si="57"/>
        <v>1.6407047227238634</v>
      </c>
      <c r="S74" s="92">
        <f t="shared" si="58"/>
        <v>0.24671207656519831</v>
      </c>
      <c r="T74" s="92">
        <f t="shared" si="59"/>
        <v>279.62986747202103</v>
      </c>
      <c r="U74" s="92">
        <f t="shared" si="72"/>
        <v>7.3168294964950151</v>
      </c>
      <c r="V74" s="92">
        <f t="shared" si="73"/>
        <v>5.4345662599131899</v>
      </c>
      <c r="W74" s="92">
        <f t="shared" si="74"/>
        <v>4.2427718045570755</v>
      </c>
      <c r="X74" s="8">
        <f t="shared" si="60"/>
        <v>1.7245399549031029</v>
      </c>
      <c r="Y74" s="8">
        <f t="shared" si="61"/>
        <v>0.34146341463414637</v>
      </c>
      <c r="Z74" s="8">
        <f t="shared" si="62"/>
        <v>0.35060975609756095</v>
      </c>
      <c r="AA74" s="90">
        <f t="shared" si="63"/>
        <v>1.0648148148148149</v>
      </c>
      <c r="AB74" s="90">
        <f t="shared" si="64"/>
        <v>4.7342995169081803E-3</v>
      </c>
      <c r="AC74" s="93">
        <f t="shared" si="65"/>
        <v>2.1162413751121944E-3</v>
      </c>
      <c r="AD74" s="92">
        <f t="shared" si="66"/>
        <v>4.732059218341142E-2</v>
      </c>
      <c r="AE74" s="92"/>
      <c r="AF74" s="91">
        <f t="shared" si="67"/>
        <v>0.22495274102079396</v>
      </c>
      <c r="AG74" s="91">
        <f t="shared" si="68"/>
        <v>0.26465028355387521</v>
      </c>
      <c r="AH74" s="91"/>
      <c r="AI74" s="90">
        <f t="shared" si="69"/>
        <v>3.6902844873859366E-3</v>
      </c>
      <c r="AJ74" s="90">
        <f t="shared" si="70"/>
        <v>8.6956521739130436E-3</v>
      </c>
      <c r="AK74" s="90">
        <f t="shared" si="71"/>
        <v>-9.3934514224369302E-4</v>
      </c>
    </row>
    <row r="75" spans="1:37">
      <c r="A75" t="s">
        <v>1262</v>
      </c>
      <c r="B75" t="s">
        <v>1261</v>
      </c>
      <c r="C75" t="s">
        <v>1129</v>
      </c>
      <c r="D75" t="s">
        <v>1234</v>
      </c>
      <c r="E75" s="57">
        <v>7</v>
      </c>
      <c r="F75" s="57">
        <v>4</v>
      </c>
      <c r="G75" s="57">
        <v>6.61</v>
      </c>
      <c r="H75" s="95">
        <v>332</v>
      </c>
      <c r="I75" s="95">
        <v>115</v>
      </c>
      <c r="J75" s="95">
        <v>114</v>
      </c>
      <c r="K75" s="92">
        <f t="shared" si="50"/>
        <v>186.66666666666666</v>
      </c>
      <c r="L75" s="92">
        <f t="shared" si="51"/>
        <v>112.52244165170556</v>
      </c>
      <c r="M75" s="92">
        <f t="shared" si="52"/>
        <v>112.6</v>
      </c>
      <c r="N75" s="92">
        <f t="shared" si="53"/>
        <v>112.56122082585279</v>
      </c>
      <c r="O75" s="92">
        <f t="shared" si="54"/>
        <v>112.56176428130864</v>
      </c>
      <c r="P75" s="92">
        <f t="shared" si="55"/>
        <v>112.5625974025974</v>
      </c>
      <c r="Q75" s="92">
        <f t="shared" si="56"/>
        <v>112.56218084195302</v>
      </c>
      <c r="R75" s="92">
        <f t="shared" si="57"/>
        <v>1.6583568061638641</v>
      </c>
      <c r="S75" s="92">
        <f t="shared" si="58"/>
        <v>0.24895693356888079</v>
      </c>
      <c r="T75" s="92">
        <f t="shared" si="59"/>
        <v>281.16823440285344</v>
      </c>
      <c r="U75" s="92">
        <f t="shared" si="72"/>
        <v>7.1375961665665093</v>
      </c>
      <c r="V75" s="92">
        <f t="shared" si="73"/>
        <v>5.3141358980472804</v>
      </c>
      <c r="W75" s="92">
        <f t="shared" si="74"/>
        <v>4.1266122934621094</v>
      </c>
      <c r="X75" s="8">
        <f t="shared" si="60"/>
        <v>1.7296502939892784</v>
      </c>
      <c r="Y75" s="8">
        <f t="shared" si="61"/>
        <v>0.34337349397590361</v>
      </c>
      <c r="Z75" s="8">
        <f t="shared" si="62"/>
        <v>0.34638554216867468</v>
      </c>
      <c r="AA75" s="90">
        <f t="shared" si="63"/>
        <v>1.0550458715596329</v>
      </c>
      <c r="AB75" s="90">
        <f t="shared" si="64"/>
        <v>3.4463502193862183E-3</v>
      </c>
      <c r="AC75" s="93">
        <f t="shared" si="65"/>
        <v>1.5407237465794104E-3</v>
      </c>
      <c r="AD75" s="92">
        <f t="shared" si="66"/>
        <v>3.4451628955954737E-2</v>
      </c>
      <c r="AE75" s="92"/>
      <c r="AF75" s="91">
        <f t="shared" si="67"/>
        <v>0.23039709735940334</v>
      </c>
      <c r="AG75" s="91">
        <f t="shared" si="68"/>
        <v>0.26426123765369885</v>
      </c>
      <c r="AH75" s="91"/>
      <c r="AI75" s="90">
        <f t="shared" si="69"/>
        <v>3.6533420707732635E-3</v>
      </c>
      <c r="AJ75" s="90">
        <f t="shared" si="70"/>
        <v>8.6956521739130436E-3</v>
      </c>
      <c r="AK75" s="90">
        <f t="shared" si="71"/>
        <v>-9.3381389252948882E-4</v>
      </c>
    </row>
    <row r="76" spans="1:37">
      <c r="A76" t="s">
        <v>1260</v>
      </c>
      <c r="B76" t="s">
        <v>1259</v>
      </c>
      <c r="C76" t="s">
        <v>1129</v>
      </c>
      <c r="D76" t="s">
        <v>1234</v>
      </c>
      <c r="E76" s="57">
        <v>7</v>
      </c>
      <c r="F76" s="57">
        <v>4</v>
      </c>
      <c r="G76" s="57">
        <v>6.71</v>
      </c>
      <c r="H76" s="95">
        <v>342</v>
      </c>
      <c r="I76" s="95">
        <v>115</v>
      </c>
      <c r="J76" s="95">
        <v>112</v>
      </c>
      <c r="K76" s="92">
        <f t="shared" si="50"/>
        <v>188.66666666666666</v>
      </c>
      <c r="L76" s="92">
        <f t="shared" si="51"/>
        <v>115</v>
      </c>
      <c r="M76" s="92">
        <f t="shared" si="52"/>
        <v>115</v>
      </c>
      <c r="N76" s="92">
        <f t="shared" si="53"/>
        <v>115</v>
      </c>
      <c r="O76" s="92">
        <v>115</v>
      </c>
      <c r="P76" s="92">
        <v>115</v>
      </c>
      <c r="Q76" s="92">
        <v>115</v>
      </c>
      <c r="R76" s="92">
        <f t="shared" si="57"/>
        <v>1.6405797101449275</v>
      </c>
      <c r="S76" s="92">
        <f t="shared" si="58"/>
        <v>0.24669603524229075</v>
      </c>
      <c r="T76" s="92">
        <f t="shared" si="59"/>
        <v>286.7400881057269</v>
      </c>
      <c r="U76" s="92">
        <f t="shared" si="72"/>
        <v>7.1392368939348012</v>
      </c>
      <c r="V76" s="92">
        <f t="shared" si="73"/>
        <v>5.3025689956193425</v>
      </c>
      <c r="W76" s="92">
        <f t="shared" si="74"/>
        <v>4.1398791172946368</v>
      </c>
      <c r="X76" s="8">
        <f t="shared" si="60"/>
        <v>1.7245037093257469</v>
      </c>
      <c r="Y76" s="8">
        <f t="shared" si="61"/>
        <v>0.32748538011695905</v>
      </c>
      <c r="Z76" s="8">
        <f t="shared" si="62"/>
        <v>0.33625730994152048</v>
      </c>
      <c r="AA76" s="90">
        <f t="shared" si="63"/>
        <v>1</v>
      </c>
      <c r="AB76" s="90">
        <f t="shared" si="64"/>
        <v>0</v>
      </c>
      <c r="AC76" s="93">
        <f t="shared" si="65"/>
        <v>0</v>
      </c>
      <c r="AD76" s="92">
        <f t="shared" si="66"/>
        <v>0</v>
      </c>
      <c r="AE76" s="92"/>
      <c r="AF76" s="91">
        <f t="shared" si="67"/>
        <v>0.24669603524229075</v>
      </c>
      <c r="AG76" s="91">
        <f t="shared" si="68"/>
        <v>0.24669603524229075</v>
      </c>
      <c r="AH76" s="91"/>
      <c r="AI76" s="90">
        <f t="shared" si="69"/>
        <v>3.4874788754032876E-3</v>
      </c>
      <c r="AJ76" s="90">
        <f t="shared" si="70"/>
        <v>8.6956521739130436E-3</v>
      </c>
      <c r="AK76" s="90">
        <f t="shared" si="71"/>
        <v>-8.6034721155323394E-4</v>
      </c>
    </row>
    <row r="77" spans="1:37">
      <c r="A77" t="s">
        <v>1258</v>
      </c>
      <c r="B77" t="s">
        <v>1257</v>
      </c>
      <c r="C77" t="s">
        <v>1129</v>
      </c>
      <c r="D77" t="s">
        <v>1234</v>
      </c>
      <c r="E77" s="57">
        <v>7</v>
      </c>
      <c r="F77" s="57">
        <v>4</v>
      </c>
      <c r="G77" s="57">
        <v>5.17</v>
      </c>
      <c r="H77" s="95">
        <v>269.10000000000002</v>
      </c>
      <c r="I77" s="95">
        <v>76.400000000000006</v>
      </c>
      <c r="J77" s="95">
        <v>111</v>
      </c>
      <c r="K77" s="92">
        <f t="shared" si="50"/>
        <v>163.70000000000002</v>
      </c>
      <c r="L77" s="92">
        <f t="shared" si="51"/>
        <v>77.438389537120145</v>
      </c>
      <c r="M77" s="92">
        <f t="shared" si="52"/>
        <v>77.460000000000008</v>
      </c>
      <c r="N77" s="92">
        <f t="shared" si="53"/>
        <v>77.449194768560076</v>
      </c>
      <c r="O77" s="92">
        <f>0.5*(H77-J77)+3/(5/(I77-0.5*(H77-J77))-4*(-3*(K77+(H77-J77))/(5*0.5*(H77-J77)*(3*K77+2*(H77-J77)))))</f>
        <v>77.449735730823789</v>
      </c>
      <c r="P77" s="92">
        <f>I77+2/(5/(0.5*(H77-J77)-I77)-6*(-(3*(K77+2*I77))/(5*I77*(3*K77+4*I77))))</f>
        <v>77.449586846070886</v>
      </c>
      <c r="Q77" s="92">
        <f t="shared" ref="Q77:Q88" si="75">(O77+P77)/2</f>
        <v>77.449661288447345</v>
      </c>
      <c r="R77" s="92">
        <f t="shared" si="57"/>
        <v>2.1136436665246365</v>
      </c>
      <c r="S77" s="92">
        <f t="shared" si="58"/>
        <v>0.29566624450126766</v>
      </c>
      <c r="T77" s="92">
        <f t="shared" si="59"/>
        <v>200.69661465085494</v>
      </c>
      <c r="U77" s="92">
        <f t="shared" si="72"/>
        <v>7.1859199452354092</v>
      </c>
      <c r="V77" s="92">
        <f t="shared" si="73"/>
        <v>5.6270278957935416</v>
      </c>
      <c r="W77" s="92">
        <f t="shared" si="74"/>
        <v>3.8704653324206424</v>
      </c>
      <c r="X77" s="8">
        <f t="shared" si="60"/>
        <v>1.8566036194777737</v>
      </c>
      <c r="Y77" s="8">
        <f t="shared" si="61"/>
        <v>0.41248606465997767</v>
      </c>
      <c r="Z77" s="8">
        <f t="shared" si="62"/>
        <v>0.28390932738758823</v>
      </c>
      <c r="AA77" s="90">
        <f t="shared" si="63"/>
        <v>0.96647691334598351</v>
      </c>
      <c r="AB77" s="90">
        <f t="shared" si="64"/>
        <v>1.3953326643960651E-3</v>
      </c>
      <c r="AC77" s="93">
        <f t="shared" si="65"/>
        <v>6.2392468356240122E-4</v>
      </c>
      <c r="AD77" s="92">
        <f t="shared" si="66"/>
        <v>1.3951379962336188E-2</v>
      </c>
      <c r="AE77" s="92"/>
      <c r="AF77" s="91">
        <f t="shared" si="67"/>
        <v>0.30754464898061573</v>
      </c>
      <c r="AG77" s="91">
        <f t="shared" si="68"/>
        <v>0.28562818269472934</v>
      </c>
      <c r="AH77" s="91"/>
      <c r="AI77" s="90">
        <f t="shared" si="69"/>
        <v>4.8954888475972874E-3</v>
      </c>
      <c r="AJ77" s="90">
        <f t="shared" si="70"/>
        <v>1.3089005235602092E-2</v>
      </c>
      <c r="AK77" s="90">
        <f t="shared" si="71"/>
        <v>-1.4296218418397761E-3</v>
      </c>
    </row>
    <row r="78" spans="1:37">
      <c r="A78" t="s">
        <v>1256</v>
      </c>
      <c r="B78" t="s">
        <v>1255</v>
      </c>
      <c r="C78" t="s">
        <v>1129</v>
      </c>
      <c r="D78" t="s">
        <v>1234</v>
      </c>
      <c r="E78" s="57">
        <v>7</v>
      </c>
      <c r="F78" s="57">
        <v>4</v>
      </c>
      <c r="G78" s="57">
        <v>6.548</v>
      </c>
      <c r="H78" s="95">
        <v>245.3</v>
      </c>
      <c r="I78" s="95">
        <v>77.8</v>
      </c>
      <c r="J78" s="95">
        <v>89.7</v>
      </c>
      <c r="K78" s="92">
        <f t="shared" si="50"/>
        <v>141.56666666666669</v>
      </c>
      <c r="L78" s="92">
        <f t="shared" si="51"/>
        <v>77.800000000000011</v>
      </c>
      <c r="M78" s="92">
        <f t="shared" si="52"/>
        <v>77.8</v>
      </c>
      <c r="N78" s="92">
        <f t="shared" si="53"/>
        <v>77.800000000000011</v>
      </c>
      <c r="O78" s="92">
        <f>0.5*(H78-J78)+3/(5/(I78-0.5*(H78-J78))-4*(-3*(K78+(H78-J78))/(5*0.5*(H78-J78)*(3*K78+2*(H78-J78)))))</f>
        <v>77.8</v>
      </c>
      <c r="P78" s="92">
        <f>I78+2/(5/(0.5*(H78-J78)-I78)-6*(-(3*(K78+2*I78))/(5*I78*(3*K78+4*I78))))</f>
        <v>77.8</v>
      </c>
      <c r="Q78" s="92">
        <f t="shared" si="75"/>
        <v>77.8</v>
      </c>
      <c r="R78" s="92">
        <f t="shared" si="57"/>
        <v>1.8196229648671809</v>
      </c>
      <c r="S78" s="92">
        <f t="shared" si="58"/>
        <v>0.26776119402985071</v>
      </c>
      <c r="T78" s="92">
        <f t="shared" si="59"/>
        <v>197.26364179104479</v>
      </c>
      <c r="U78" s="92">
        <f t="shared" si="72"/>
        <v>6.1206062120656437</v>
      </c>
      <c r="V78" s="92">
        <f t="shared" si="73"/>
        <v>4.6497132199627709</v>
      </c>
      <c r="W78" s="92">
        <f t="shared" si="74"/>
        <v>3.4469538046599912</v>
      </c>
      <c r="X78" s="8">
        <f t="shared" si="60"/>
        <v>1.7756565822817525</v>
      </c>
      <c r="Y78" s="8">
        <f t="shared" si="61"/>
        <v>0.36567468406033427</v>
      </c>
      <c r="Z78" s="8">
        <f t="shared" si="62"/>
        <v>0.31716265796983284</v>
      </c>
      <c r="AA78" s="90">
        <f t="shared" si="63"/>
        <v>0.99999999999999978</v>
      </c>
      <c r="AB78" s="90">
        <f t="shared" si="64"/>
        <v>0</v>
      </c>
      <c r="AC78" s="93">
        <f t="shared" si="65"/>
        <v>-4.9650683064945462E-16</v>
      </c>
      <c r="AD78" s="92">
        <f t="shared" si="66"/>
        <v>-9.1329400483303353E-15</v>
      </c>
      <c r="AE78" s="92"/>
      <c r="AF78" s="91">
        <f t="shared" si="67"/>
        <v>0.26776119402985088</v>
      </c>
      <c r="AG78" s="91">
        <f t="shared" si="68"/>
        <v>0.26776119402985066</v>
      </c>
      <c r="AH78" s="91"/>
      <c r="AI78" s="90">
        <f t="shared" si="69"/>
        <v>5.069357895456825E-3</v>
      </c>
      <c r="AJ78" s="90">
        <f t="shared" si="70"/>
        <v>1.2853470437017995E-2</v>
      </c>
      <c r="AK78" s="90">
        <f t="shared" si="71"/>
        <v>-1.3573773230521706E-3</v>
      </c>
    </row>
    <row r="79" spans="1:37">
      <c r="A79" t="s">
        <v>1254</v>
      </c>
      <c r="B79" t="s">
        <v>1253</v>
      </c>
      <c r="C79" t="s">
        <v>1129</v>
      </c>
      <c r="D79" t="s">
        <v>1234</v>
      </c>
      <c r="E79" s="57">
        <v>7</v>
      </c>
      <c r="F79" s="57">
        <v>4</v>
      </c>
      <c r="G79" s="57">
        <v>6.28</v>
      </c>
      <c r="H79" s="96">
        <v>255.2</v>
      </c>
      <c r="I79" s="95">
        <v>74.400000000000006</v>
      </c>
      <c r="J79" s="96">
        <v>108.2</v>
      </c>
      <c r="K79" s="92">
        <f t="shared" si="50"/>
        <v>157.20000000000002</v>
      </c>
      <c r="L79" s="92">
        <f t="shared" si="51"/>
        <v>74.037367993501221</v>
      </c>
      <c r="M79" s="92">
        <f t="shared" si="52"/>
        <v>74.040000000000006</v>
      </c>
      <c r="N79" s="92">
        <f t="shared" si="53"/>
        <v>74.038683996750621</v>
      </c>
      <c r="O79" s="92">
        <f>0.5*(H79-J79)+3/(5/(I79-0.5*(H79-J79))-4*(-3*(K79+(H79-J79))/(5*0.5*(H79-J79)*(3*K79+2*(H79-J79)))))</f>
        <v>74.038741844265687</v>
      </c>
      <c r="P79" s="92">
        <f>I79+2/(5/(0.5*(H79-J79)-I79)-6*(-(3*(K79+2*I79))/(5*I79*(3*K79+4*I79))))</f>
        <v>74.03874831773318</v>
      </c>
      <c r="Q79" s="92">
        <f t="shared" si="75"/>
        <v>74.038745080999433</v>
      </c>
      <c r="R79" s="92">
        <f t="shared" si="57"/>
        <v>2.1232143997440467</v>
      </c>
      <c r="S79" s="92">
        <f t="shared" si="58"/>
        <v>0.2964623307467194</v>
      </c>
      <c r="T79" s="92">
        <f t="shared" si="59"/>
        <v>191.9767296396943</v>
      </c>
      <c r="U79" s="92">
        <f t="shared" si="72"/>
        <v>6.3836755047917215</v>
      </c>
      <c r="V79" s="92">
        <f t="shared" si="73"/>
        <v>5.003183699781367</v>
      </c>
      <c r="W79" s="92">
        <f t="shared" si="74"/>
        <v>3.4335986024199023</v>
      </c>
      <c r="X79" s="8">
        <f t="shared" si="60"/>
        <v>1.8591793170851971</v>
      </c>
      <c r="Y79" s="8">
        <f t="shared" si="61"/>
        <v>0.42398119122257055</v>
      </c>
      <c r="Z79" s="8">
        <f t="shared" si="62"/>
        <v>0.29153605015673983</v>
      </c>
      <c r="AA79" s="93">
        <f t="shared" si="63"/>
        <v>1.0122448979591838</v>
      </c>
      <c r="AB79" s="93">
        <f t="shared" si="64"/>
        <v>1.777485187623995E-4</v>
      </c>
      <c r="AC79" s="93">
        <f t="shared" si="65"/>
        <v>7.9490141253508672E-5</v>
      </c>
      <c r="AD79" s="92">
        <f t="shared" si="66"/>
        <v>1.7774535936519427E-3</v>
      </c>
      <c r="AE79" s="92"/>
      <c r="AF79" s="91">
        <f t="shared" si="67"/>
        <v>0.29218773415883992</v>
      </c>
      <c r="AG79" s="91">
        <f t="shared" si="68"/>
        <v>0.30009908763328186</v>
      </c>
      <c r="AH79" s="91"/>
      <c r="AI79" s="90">
        <f t="shared" si="69"/>
        <v>5.2419610762031695E-3</v>
      </c>
      <c r="AJ79" s="90">
        <f t="shared" si="70"/>
        <v>1.3440860215053762E-2</v>
      </c>
      <c r="AK79" s="90">
        <f t="shared" si="71"/>
        <v>-1.5607600122322042E-3</v>
      </c>
    </row>
    <row r="80" spans="1:37">
      <c r="A80" t="s">
        <v>1252</v>
      </c>
      <c r="B80" t="s">
        <v>1251</v>
      </c>
      <c r="C80" t="s">
        <v>1129</v>
      </c>
      <c r="D80" t="s">
        <v>1234</v>
      </c>
      <c r="E80" s="57">
        <v>7</v>
      </c>
      <c r="F80" s="57">
        <v>4</v>
      </c>
      <c r="G80" s="57">
        <v>6.46</v>
      </c>
      <c r="H80" s="95">
        <v>273.10000000000002</v>
      </c>
      <c r="I80" s="95">
        <v>74.099999999999994</v>
      </c>
      <c r="J80" s="96">
        <v>125</v>
      </c>
      <c r="K80" s="92">
        <f t="shared" si="50"/>
        <v>174.36666666666667</v>
      </c>
      <c r="L80" s="92">
        <f t="shared" si="51"/>
        <v>74.079991899554472</v>
      </c>
      <c r="M80" s="92">
        <f t="shared" si="52"/>
        <v>74.08</v>
      </c>
      <c r="N80" s="92">
        <f t="shared" si="53"/>
        <v>74.079995949777242</v>
      </c>
      <c r="O80" s="92">
        <f>0.5*(H80-J80)+3/(5/(I80-0.5*(H80-J80))-4*(-3*(K80+(H80-J80))/(5*0.5*(H80-J80)*(3*K80+2*(H80-J80)))))</f>
        <v>74.079996173568787</v>
      </c>
      <c r="P80" s="92">
        <f>I80+2/(5/(0.5*(H80-J80)-I80)-6*(-(3*(K80+2*I80))/(5*I80*(3*K80+4*I80))))</f>
        <v>74.079996174679081</v>
      </c>
      <c r="Q80" s="92">
        <f t="shared" si="75"/>
        <v>74.079996174123934</v>
      </c>
      <c r="R80" s="92">
        <f t="shared" si="57"/>
        <v>2.3537618277527863</v>
      </c>
      <c r="S80" s="92">
        <f t="shared" si="58"/>
        <v>0.31392545852455001</v>
      </c>
      <c r="T80" s="92">
        <f t="shared" si="59"/>
        <v>194.67118529161573</v>
      </c>
      <c r="U80" s="92">
        <f t="shared" si="72"/>
        <v>6.5024405349200034</v>
      </c>
      <c r="V80" s="92">
        <f t="shared" si="73"/>
        <v>5.1953579343532699</v>
      </c>
      <c r="W80" s="92">
        <f t="shared" si="74"/>
        <v>3.3863685022590868</v>
      </c>
      <c r="X80" s="8">
        <f t="shared" si="60"/>
        <v>1.9201810229991649</v>
      </c>
      <c r="Y80" s="8">
        <f t="shared" si="61"/>
        <v>0.45770779934090072</v>
      </c>
      <c r="Z80" s="8">
        <f t="shared" si="62"/>
        <v>0.27132918344928592</v>
      </c>
      <c r="AA80" s="93">
        <f t="shared" si="63"/>
        <v>1.0006752194463198</v>
      </c>
      <c r="AB80" s="93">
        <f t="shared" si="64"/>
        <v>5.4673639393598705E-7</v>
      </c>
      <c r="AC80" s="93">
        <f t="shared" si="65"/>
        <v>2.4450793515465576E-7</v>
      </c>
      <c r="AD80" s="92">
        <f t="shared" si="66"/>
        <v>5.4673636404385951E-6</v>
      </c>
      <c r="AE80" s="92"/>
      <c r="AF80" s="91">
        <f t="shared" si="67"/>
        <v>0.31368720533287991</v>
      </c>
      <c r="AG80" s="91">
        <f t="shared" si="68"/>
        <v>0.31413071890659106</v>
      </c>
      <c r="AH80" s="91"/>
      <c r="AI80" s="90">
        <f t="shared" si="69"/>
        <v>5.1386897644812362E-3</v>
      </c>
      <c r="AJ80" s="90">
        <f t="shared" si="70"/>
        <v>1.3495276653171391E-2</v>
      </c>
      <c r="AK80" s="90">
        <f t="shared" si="71"/>
        <v>-1.6135046987193029E-3</v>
      </c>
    </row>
    <row r="81" spans="1:37">
      <c r="A81" t="s">
        <v>1250</v>
      </c>
      <c r="B81" t="s">
        <v>1249</v>
      </c>
      <c r="C81" t="s">
        <v>1129</v>
      </c>
      <c r="D81" t="s">
        <v>1234</v>
      </c>
      <c r="E81" s="57">
        <v>7</v>
      </c>
      <c r="F81" s="57">
        <v>4</v>
      </c>
      <c r="G81" s="57">
        <v>7.08</v>
      </c>
      <c r="H81" s="95">
        <v>286</v>
      </c>
      <c r="I81" s="95">
        <v>90.2</v>
      </c>
      <c r="J81" s="95">
        <v>114</v>
      </c>
      <c r="K81" s="92">
        <f t="shared" si="50"/>
        <v>171.33333333333334</v>
      </c>
      <c r="L81" s="92">
        <f t="shared" si="51"/>
        <v>88.471715328467155</v>
      </c>
      <c r="M81" s="92">
        <f t="shared" si="52"/>
        <v>88.52000000000001</v>
      </c>
      <c r="N81" s="92">
        <f t="shared" si="53"/>
        <v>88.495857664233583</v>
      </c>
      <c r="O81" s="92">
        <f>0.5*(H81-J81)+3/(5/(I81-0.5*(H81-J81))-4*(-3*(K81+(H81-J81))/(5*0.5*(H81-J81)*(3*K81+2*(H81-J81)))))</f>
        <v>88.496581102940709</v>
      </c>
      <c r="P81" s="92">
        <f>I81+2/(5/(0.5*(H81-J81)-I81)-6*(-(3*(K81+2*I81))/(5*I81*(3*K81+4*I81))))</f>
        <v>88.497044685083722</v>
      </c>
      <c r="Q81" s="92">
        <f t="shared" si="75"/>
        <v>88.496812894012209</v>
      </c>
      <c r="R81" s="92">
        <f t="shared" si="57"/>
        <v>1.9360604875247092</v>
      </c>
      <c r="S81" s="92">
        <f t="shared" si="58"/>
        <v>0.27967684788577002</v>
      </c>
      <c r="T81" s="92">
        <f t="shared" si="59"/>
        <v>226.4922003734284</v>
      </c>
      <c r="U81" s="92">
        <f t="shared" si="72"/>
        <v>6.3926137000396608</v>
      </c>
      <c r="V81" s="92">
        <f t="shared" si="73"/>
        <v>4.9193112680705342</v>
      </c>
      <c r="W81" s="92">
        <f t="shared" si="74"/>
        <v>3.5354511627692973</v>
      </c>
      <c r="X81" s="8">
        <f t="shared" si="60"/>
        <v>1.8081465153183915</v>
      </c>
      <c r="Y81" s="8">
        <f t="shared" si="61"/>
        <v>0.39860139860139859</v>
      </c>
      <c r="Z81" s="8">
        <f t="shared" si="62"/>
        <v>0.31538461538461537</v>
      </c>
      <c r="AA81" s="93">
        <f t="shared" si="63"/>
        <v>1.0488372093023257</v>
      </c>
      <c r="AB81" s="93">
        <f t="shared" si="64"/>
        <v>2.7288196772028428E-3</v>
      </c>
      <c r="AC81" s="93">
        <f t="shared" si="65"/>
        <v>1.2200323647556393E-3</v>
      </c>
      <c r="AD81" s="92">
        <f t="shared" si="66"/>
        <v>2.7280752346654509E-2</v>
      </c>
      <c r="AE81" s="92"/>
      <c r="AF81" s="91">
        <f t="shared" si="67"/>
        <v>0.26294977800380565</v>
      </c>
      <c r="AG81" s="91">
        <f t="shared" si="68"/>
        <v>0.29378924932715444</v>
      </c>
      <c r="AH81" s="91"/>
      <c r="AI81" s="90">
        <f t="shared" si="69"/>
        <v>4.5244774228576602E-3</v>
      </c>
      <c r="AJ81" s="90">
        <f t="shared" si="70"/>
        <v>1.1086474501108647E-2</v>
      </c>
      <c r="AK81" s="90">
        <f t="shared" si="71"/>
        <v>-1.289476065514433E-3</v>
      </c>
    </row>
    <row r="82" spans="1:37">
      <c r="A82" t="s">
        <v>1248</v>
      </c>
      <c r="B82" t="s">
        <v>1247</v>
      </c>
      <c r="C82" t="s">
        <v>1129</v>
      </c>
      <c r="D82" t="s">
        <v>1234</v>
      </c>
      <c r="E82" s="57">
        <v>7</v>
      </c>
      <c r="F82" s="57">
        <v>4</v>
      </c>
      <c r="G82" s="57">
        <v>7.14</v>
      </c>
      <c r="H82" s="95">
        <v>279</v>
      </c>
      <c r="I82" s="95">
        <v>86.5</v>
      </c>
      <c r="J82" s="95">
        <v>106</v>
      </c>
      <c r="K82" s="92">
        <f t="shared" si="50"/>
        <v>163.66666666666666</v>
      </c>
      <c r="L82" s="92">
        <f t="shared" si="51"/>
        <v>86.5</v>
      </c>
      <c r="M82" s="92">
        <f t="shared" si="52"/>
        <v>86.5</v>
      </c>
      <c r="N82" s="92">
        <f t="shared" si="53"/>
        <v>86.5</v>
      </c>
      <c r="O82" s="92">
        <f>0.5*(H82-J82)+3/(5/(0.1)-4*(-3*(K82+(H82-J82))/(5*0.5*(H82-J82)*(3*K82+2*(H82-J82)))))</f>
        <v>86.559986610815798</v>
      </c>
      <c r="P82" s="92">
        <f>I82+2/(5/(0.1)-6*(-(3*(K82+2*I82))/(5*I82*(3*K82+4*I82))))</f>
        <v>86.539986612309548</v>
      </c>
      <c r="Q82" s="92">
        <f t="shared" si="75"/>
        <v>86.549986611562673</v>
      </c>
      <c r="R82" s="92">
        <f t="shared" si="57"/>
        <v>1.8921001926782273</v>
      </c>
      <c r="S82" s="92">
        <f t="shared" si="58"/>
        <v>0.27532467532467531</v>
      </c>
      <c r="T82" s="92">
        <f t="shared" si="59"/>
        <v>220.63116883116879</v>
      </c>
      <c r="U82" s="92">
        <f t="shared" si="72"/>
        <v>6.251050331912297</v>
      </c>
      <c r="V82" s="92">
        <f t="shared" si="73"/>
        <v>4.7877450155858385</v>
      </c>
      <c r="W82" s="92">
        <f t="shared" si="74"/>
        <v>3.4806387256328906</v>
      </c>
      <c r="X82" s="8">
        <f t="shared" si="60"/>
        <v>1.7959491991733953</v>
      </c>
      <c r="Y82" s="8">
        <f t="shared" si="61"/>
        <v>0.37992831541218636</v>
      </c>
      <c r="Z82" s="8">
        <f t="shared" si="62"/>
        <v>0.31003584229390679</v>
      </c>
      <c r="AA82" s="93">
        <f t="shared" si="63"/>
        <v>1</v>
      </c>
      <c r="AB82" s="93">
        <f t="shared" si="64"/>
        <v>0</v>
      </c>
      <c r="AC82" s="93">
        <f t="shared" si="65"/>
        <v>0</v>
      </c>
      <c r="AD82" s="92">
        <f t="shared" si="66"/>
        <v>0</v>
      </c>
      <c r="AE82" s="92"/>
      <c r="AF82" s="91">
        <f t="shared" si="67"/>
        <v>0.27532467532467531</v>
      </c>
      <c r="AG82" s="91">
        <f t="shared" si="68"/>
        <v>0.27532467532467531</v>
      </c>
      <c r="AH82" s="91"/>
      <c r="AI82" s="90">
        <f t="shared" si="69"/>
        <v>4.5324511731396344E-3</v>
      </c>
      <c r="AJ82" s="90">
        <f t="shared" si="70"/>
        <v>1.1560693641618497E-2</v>
      </c>
      <c r="AK82" s="90">
        <f t="shared" si="71"/>
        <v>-1.2478956476696136E-3</v>
      </c>
    </row>
    <row r="83" spans="1:37">
      <c r="A83" t="s">
        <v>1246</v>
      </c>
      <c r="B83" t="s">
        <v>1245</v>
      </c>
      <c r="C83" t="s">
        <v>1129</v>
      </c>
      <c r="D83" t="s">
        <v>1234</v>
      </c>
      <c r="E83" s="57">
        <v>7</v>
      </c>
      <c r="F83" s="57">
        <v>4</v>
      </c>
      <c r="G83" s="57">
        <v>6.6139999999999999</v>
      </c>
      <c r="H83" s="95">
        <v>277.8</v>
      </c>
      <c r="I83" s="95">
        <v>83.8</v>
      </c>
      <c r="J83" s="95">
        <v>111.5</v>
      </c>
      <c r="K83" s="92">
        <f t="shared" si="50"/>
        <v>166.93333333333334</v>
      </c>
      <c r="L83" s="92">
        <f t="shared" si="51"/>
        <v>83.538784318427048</v>
      </c>
      <c r="M83" s="92">
        <f t="shared" si="52"/>
        <v>83.539999999999992</v>
      </c>
      <c r="N83" s="92">
        <f t="shared" si="53"/>
        <v>83.53939215921352</v>
      </c>
      <c r="O83" s="92">
        <f t="shared" ref="O83:O88" si="76">0.5*(H83-J83)+3/(5/(I83-0.5*(H83-J83))-4*(-3*(K83+(H83-J83))/(5*0.5*(H83-J83)*(3*K83+2*(H83-J83)))))</f>
        <v>83.539415747214946</v>
      </c>
      <c r="P83" s="92">
        <f t="shared" ref="P83:P88" si="77">I83+2/(5/(0.5*(H83-J83)-I83)-6*(-(3*(K83+2*I83))/(5*I83*(3*K83+4*I83))))</f>
        <v>83.539417655548363</v>
      </c>
      <c r="Q83" s="92">
        <f t="shared" si="75"/>
        <v>83.539416701381654</v>
      </c>
      <c r="R83" s="92">
        <f t="shared" si="57"/>
        <v>1.9982588934233985</v>
      </c>
      <c r="S83" s="92">
        <f t="shared" si="58"/>
        <v>0.28555426876872675</v>
      </c>
      <c r="T83" s="92">
        <f t="shared" si="59"/>
        <v>214.7888444012433</v>
      </c>
      <c r="U83" s="92">
        <f t="shared" si="72"/>
        <v>6.486934014138158</v>
      </c>
      <c r="V83" s="92">
        <f t="shared" si="73"/>
        <v>5.0238820836484805</v>
      </c>
      <c r="W83" s="92">
        <f t="shared" si="74"/>
        <v>3.5539683854859758</v>
      </c>
      <c r="X83" s="8">
        <f t="shared" si="60"/>
        <v>1.825264974395973</v>
      </c>
      <c r="Y83" s="8">
        <f t="shared" si="61"/>
        <v>0.40136789056875449</v>
      </c>
      <c r="Z83" s="8">
        <f t="shared" si="62"/>
        <v>0.30165586753059753</v>
      </c>
      <c r="AA83" s="93">
        <f t="shared" si="63"/>
        <v>1.0078171978352375</v>
      </c>
      <c r="AB83" s="93">
        <f t="shared" si="64"/>
        <v>7.2761507295737715E-5</v>
      </c>
      <c r="AC83" s="93">
        <f t="shared" si="65"/>
        <v>3.253969852864564E-5</v>
      </c>
      <c r="AD83" s="92">
        <f t="shared" si="66"/>
        <v>7.2760977876589242E-4</v>
      </c>
      <c r="AE83" s="92"/>
      <c r="AF83" s="91">
        <f t="shared" si="67"/>
        <v>0.28283351683796165</v>
      </c>
      <c r="AG83" s="91">
        <f t="shared" si="68"/>
        <v>0.28784759853335951</v>
      </c>
      <c r="AH83" s="91"/>
      <c r="AI83" s="90">
        <f t="shared" si="69"/>
        <v>4.674421106626271E-3</v>
      </c>
      <c r="AJ83" s="90">
        <f t="shared" si="70"/>
        <v>1.1933174224343675E-2</v>
      </c>
      <c r="AK83" s="90">
        <f t="shared" si="71"/>
        <v>-1.3388079974025922E-3</v>
      </c>
    </row>
    <row r="84" spans="1:37">
      <c r="A84" t="s">
        <v>1244</v>
      </c>
      <c r="B84" t="s">
        <v>1243</v>
      </c>
      <c r="C84" t="s">
        <v>1129</v>
      </c>
      <c r="D84" t="s">
        <v>1234</v>
      </c>
      <c r="E84" s="57">
        <v>7</v>
      </c>
      <c r="F84" s="57">
        <v>4</v>
      </c>
      <c r="G84" s="57">
        <v>6.8570000000000002</v>
      </c>
      <c r="H84" s="95">
        <v>280.8</v>
      </c>
      <c r="I84" s="95">
        <v>86</v>
      </c>
      <c r="J84" s="95">
        <v>113.5</v>
      </c>
      <c r="K84" s="92">
        <f t="shared" si="50"/>
        <v>169.26666666666668</v>
      </c>
      <c r="L84" s="92">
        <f t="shared" si="51"/>
        <v>85.044331481262546</v>
      </c>
      <c r="M84" s="92">
        <f t="shared" si="52"/>
        <v>85.06</v>
      </c>
      <c r="N84" s="92">
        <f t="shared" si="53"/>
        <v>85.052165740631267</v>
      </c>
      <c r="O84" s="92">
        <f t="shared" si="76"/>
        <v>85.052444182095385</v>
      </c>
      <c r="P84" s="92">
        <f t="shared" si="77"/>
        <v>85.052531681358104</v>
      </c>
      <c r="Q84" s="92">
        <f t="shared" si="75"/>
        <v>85.052487931726745</v>
      </c>
      <c r="R84" s="92">
        <f t="shared" si="57"/>
        <v>1.9901511642025633</v>
      </c>
      <c r="S84" s="92">
        <f t="shared" si="58"/>
        <v>0.28480596684408255</v>
      </c>
      <c r="T84" s="92">
        <f t="shared" si="59"/>
        <v>218.55106007314981</v>
      </c>
      <c r="U84" s="92">
        <f t="shared" si="72"/>
        <v>6.4205531040104153</v>
      </c>
      <c r="V84" s="92">
        <f t="shared" si="73"/>
        <v>4.9684239450737895</v>
      </c>
      <c r="W84" s="92">
        <f t="shared" si="74"/>
        <v>3.5218885910227744</v>
      </c>
      <c r="X84" s="8">
        <f t="shared" si="60"/>
        <v>1.8230426483041742</v>
      </c>
      <c r="Y84" s="8">
        <f t="shared" si="61"/>
        <v>0.40420227920227919</v>
      </c>
      <c r="Z84" s="8">
        <f t="shared" si="62"/>
        <v>0.30626780626780625</v>
      </c>
      <c r="AA84" s="93">
        <f t="shared" si="63"/>
        <v>1.0280932456664673</v>
      </c>
      <c r="AB84" s="93">
        <f t="shared" si="64"/>
        <v>9.2119712534355358E-4</v>
      </c>
      <c r="AC84" s="93">
        <f t="shared" si="65"/>
        <v>4.1193393251859285E-4</v>
      </c>
      <c r="AD84" s="92">
        <f t="shared" si="66"/>
        <v>9.2111227274552197E-3</v>
      </c>
      <c r="AE84" s="92"/>
      <c r="AF84" s="91">
        <f t="shared" si="67"/>
        <v>0.27509674487255553</v>
      </c>
      <c r="AG84" s="91">
        <f t="shared" si="68"/>
        <v>0.29300754792366435</v>
      </c>
      <c r="AH84" s="91"/>
      <c r="AI84" s="90">
        <f t="shared" si="69"/>
        <v>4.6412839559418209E-3</v>
      </c>
      <c r="AJ84" s="90">
        <f t="shared" si="70"/>
        <v>1.1627906976744186E-2</v>
      </c>
      <c r="AK84" s="90">
        <f t="shared" si="71"/>
        <v>-1.336002356072525E-3</v>
      </c>
    </row>
    <row r="85" spans="1:37">
      <c r="A85" t="s">
        <v>1242</v>
      </c>
      <c r="B85" t="s">
        <v>1241</v>
      </c>
      <c r="C85" t="s">
        <v>1129</v>
      </c>
      <c r="D85" t="s">
        <v>1234</v>
      </c>
      <c r="E85" s="57">
        <v>7</v>
      </c>
      <c r="F85" s="57">
        <v>4</v>
      </c>
      <c r="G85" s="57">
        <v>5.79</v>
      </c>
      <c r="H85" s="95">
        <v>290.3</v>
      </c>
      <c r="I85" s="95">
        <v>95.5</v>
      </c>
      <c r="J85" s="95">
        <v>117.3</v>
      </c>
      <c r="K85" s="92">
        <f t="shared" si="50"/>
        <v>174.96666666666667</v>
      </c>
      <c r="L85" s="92">
        <f t="shared" si="51"/>
        <v>91.684239733629298</v>
      </c>
      <c r="M85" s="92">
        <f t="shared" si="52"/>
        <v>91.9</v>
      </c>
      <c r="N85" s="92">
        <f t="shared" si="53"/>
        <v>91.792119866814659</v>
      </c>
      <c r="O85" s="92">
        <f t="shared" si="76"/>
        <v>91.794354737005932</v>
      </c>
      <c r="P85" s="92">
        <f t="shared" si="77"/>
        <v>91.798652360066868</v>
      </c>
      <c r="Q85" s="92">
        <f t="shared" si="75"/>
        <v>91.796503548536407</v>
      </c>
      <c r="R85" s="92">
        <f t="shared" si="57"/>
        <v>1.9061185962426157</v>
      </c>
      <c r="S85" s="92">
        <f t="shared" si="58"/>
        <v>0.27673108612129155</v>
      </c>
      <c r="T85" s="92">
        <f t="shared" si="59"/>
        <v>234.38770578986811</v>
      </c>
      <c r="U85" s="92">
        <f t="shared" si="72"/>
        <v>7.1663693534636099</v>
      </c>
      <c r="V85" s="92">
        <f t="shared" si="73"/>
        <v>5.4971599931954609</v>
      </c>
      <c r="W85" s="92">
        <f t="shared" si="74"/>
        <v>3.9816530850395915</v>
      </c>
      <c r="X85" s="8">
        <f t="shared" si="60"/>
        <v>1.7998477517767855</v>
      </c>
      <c r="Y85" s="8">
        <f t="shared" si="61"/>
        <v>0.40406476059249052</v>
      </c>
      <c r="Z85" s="8">
        <f t="shared" si="62"/>
        <v>0.32897003100241129</v>
      </c>
      <c r="AA85" s="93">
        <f t="shared" si="63"/>
        <v>1.1040462427745665</v>
      </c>
      <c r="AB85" s="93">
        <f t="shared" si="64"/>
        <v>1.1766486093877759E-2</v>
      </c>
      <c r="AC85" s="93">
        <f t="shared" si="65"/>
        <v>5.2559505682910788E-3</v>
      </c>
      <c r="AD85" s="92">
        <f t="shared" si="66"/>
        <v>0.11752657345955429</v>
      </c>
      <c r="AE85" s="92"/>
      <c r="AF85" s="91">
        <f t="shared" si="67"/>
        <v>0.24177224710266312</v>
      </c>
      <c r="AG85" s="91">
        <f t="shared" si="68"/>
        <v>0.30637311544904444</v>
      </c>
      <c r="AH85" s="91"/>
      <c r="AI85" s="90">
        <f t="shared" si="69"/>
        <v>4.4886061424306532E-3</v>
      </c>
      <c r="AJ85" s="90">
        <f t="shared" si="70"/>
        <v>1.0471204188481676E-2</v>
      </c>
      <c r="AK85" s="90">
        <f t="shared" si="71"/>
        <v>-1.2917406783785957E-3</v>
      </c>
    </row>
    <row r="86" spans="1:37">
      <c r="A86" t="s">
        <v>1240</v>
      </c>
      <c r="B86" t="s">
        <v>1239</v>
      </c>
      <c r="C86" t="s">
        <v>1129</v>
      </c>
      <c r="D86" t="s">
        <v>1234</v>
      </c>
      <c r="E86" s="57">
        <v>7</v>
      </c>
      <c r="F86" s="57">
        <v>4</v>
      </c>
      <c r="G86" s="103">
        <v>6.5</v>
      </c>
      <c r="H86" s="95">
        <v>272.7</v>
      </c>
      <c r="I86" s="95">
        <v>79.7</v>
      </c>
      <c r="J86" s="95">
        <v>103.7</v>
      </c>
      <c r="K86" s="92">
        <f t="shared" si="50"/>
        <v>160.03333333333333</v>
      </c>
      <c r="L86" s="92">
        <f t="shared" si="51"/>
        <v>81.553039476870921</v>
      </c>
      <c r="M86" s="92">
        <f t="shared" si="52"/>
        <v>81.62</v>
      </c>
      <c r="N86" s="92">
        <f t="shared" si="53"/>
        <v>81.58651973843547</v>
      </c>
      <c r="O86" s="92">
        <f t="shared" si="76"/>
        <v>81.588066931045219</v>
      </c>
      <c r="P86" s="92">
        <f t="shared" si="77"/>
        <v>81.587278054676418</v>
      </c>
      <c r="Q86" s="92">
        <f t="shared" si="75"/>
        <v>81.587672492860818</v>
      </c>
      <c r="R86" s="92">
        <f t="shared" si="57"/>
        <v>1.9615168516367234</v>
      </c>
      <c r="S86" s="92">
        <f t="shared" si="58"/>
        <v>0.28212085334602183</v>
      </c>
      <c r="T86" s="92">
        <f t="shared" si="59"/>
        <v>209.20755661714989</v>
      </c>
      <c r="U86" s="92">
        <f t="shared" si="72"/>
        <v>6.4308793471122563</v>
      </c>
      <c r="V86" s="92">
        <f t="shared" si="73"/>
        <v>4.9619061680480039</v>
      </c>
      <c r="W86" s="92">
        <f t="shared" si="74"/>
        <v>3.5428480446459472</v>
      </c>
      <c r="X86" s="8">
        <f t="shared" si="60"/>
        <v>1.8151722190938402</v>
      </c>
      <c r="Y86" s="8">
        <f t="shared" si="61"/>
        <v>0.38027136046938032</v>
      </c>
      <c r="Z86" s="8">
        <f t="shared" si="62"/>
        <v>0.29226255958929226</v>
      </c>
      <c r="AA86" s="93">
        <f t="shared" si="63"/>
        <v>0.94319526627218941</v>
      </c>
      <c r="AB86" s="93">
        <f t="shared" si="64"/>
        <v>4.1053358377940441E-3</v>
      </c>
      <c r="AC86" s="93">
        <f t="shared" si="65"/>
        <v>1.8352086890130114E-3</v>
      </c>
      <c r="AD86" s="92">
        <f t="shared" si="66"/>
        <v>4.1036511511801821E-2</v>
      </c>
      <c r="AE86" s="92"/>
      <c r="AF86" s="91">
        <f t="shared" si="67"/>
        <v>0.30230275956203473</v>
      </c>
      <c r="AG86" s="91">
        <f t="shared" si="68"/>
        <v>0.26531427881707748</v>
      </c>
      <c r="AH86" s="91"/>
      <c r="AI86" s="90">
        <f t="shared" si="69"/>
        <v>4.639072974195464E-3</v>
      </c>
      <c r="AJ86" s="90">
        <f t="shared" si="70"/>
        <v>1.2547051442910916E-2</v>
      </c>
      <c r="AK86" s="90">
        <f t="shared" si="71"/>
        <v>-1.2780867891181446E-3</v>
      </c>
    </row>
    <row r="87" spans="1:37">
      <c r="A87" t="s">
        <v>1238</v>
      </c>
      <c r="B87" t="s">
        <v>1237</v>
      </c>
      <c r="C87" t="s">
        <v>1129</v>
      </c>
      <c r="D87" t="s">
        <v>1234</v>
      </c>
      <c r="E87" s="57">
        <v>7</v>
      </c>
      <c r="F87" s="57">
        <v>4</v>
      </c>
      <c r="G87" s="103">
        <v>6.69</v>
      </c>
      <c r="H87" s="95">
        <v>274</v>
      </c>
      <c r="I87" s="95">
        <v>81.7</v>
      </c>
      <c r="J87" s="95">
        <v>110.2</v>
      </c>
      <c r="K87" s="92">
        <f t="shared" si="50"/>
        <v>164.79999999999998</v>
      </c>
      <c r="L87" s="92">
        <f t="shared" si="51"/>
        <v>81.779882669274016</v>
      </c>
      <c r="M87" s="92">
        <f t="shared" si="52"/>
        <v>81.78</v>
      </c>
      <c r="N87" s="92">
        <f t="shared" si="53"/>
        <v>81.779941334637016</v>
      </c>
      <c r="O87" s="92">
        <f t="shared" si="76"/>
        <v>81.779943744127081</v>
      </c>
      <c r="P87" s="92">
        <f t="shared" si="77"/>
        <v>81.779943686276823</v>
      </c>
      <c r="Q87" s="92">
        <f t="shared" si="75"/>
        <v>81.779943715201952</v>
      </c>
      <c r="R87" s="92">
        <f t="shared" si="57"/>
        <v>2.0151640770400103</v>
      </c>
      <c r="S87" s="92">
        <f t="shared" si="58"/>
        <v>0.28709791299258264</v>
      </c>
      <c r="T87" s="92">
        <f t="shared" si="59"/>
        <v>210.51758363293428</v>
      </c>
      <c r="U87" s="92">
        <f t="shared" si="72"/>
        <v>6.3978686868252375</v>
      </c>
      <c r="V87" s="92">
        <f t="shared" si="73"/>
        <v>4.9632430691863769</v>
      </c>
      <c r="W87" s="92">
        <f t="shared" si="74"/>
        <v>3.496313269363061</v>
      </c>
      <c r="X87" s="8">
        <f t="shared" si="60"/>
        <v>1.8298899995282076</v>
      </c>
      <c r="Y87" s="8">
        <f t="shared" si="61"/>
        <v>0.40218978102189784</v>
      </c>
      <c r="Z87" s="8">
        <f t="shared" si="62"/>
        <v>0.29817518248175184</v>
      </c>
      <c r="AA87" s="93">
        <f t="shared" si="63"/>
        <v>0.99755799755799757</v>
      </c>
      <c r="AB87" s="93">
        <f t="shared" si="64"/>
        <v>7.1735689850527251E-6</v>
      </c>
      <c r="AC87" s="93">
        <f t="shared" si="65"/>
        <v>3.2081152772079407E-6</v>
      </c>
      <c r="AD87" s="92">
        <f t="shared" si="66"/>
        <v>7.1735638391225642E-5</v>
      </c>
      <c r="AE87" s="92"/>
      <c r="AF87" s="91">
        <f t="shared" si="67"/>
        <v>0.28795130059945456</v>
      </c>
      <c r="AG87" s="91">
        <f t="shared" si="68"/>
        <v>0.28637871048883251</v>
      </c>
      <c r="AH87" s="91"/>
      <c r="AI87" s="90">
        <f t="shared" si="69"/>
        <v>4.7442219772316861E-3</v>
      </c>
      <c r="AJ87" s="90">
        <f t="shared" si="70"/>
        <v>1.2239902080783353E-2</v>
      </c>
      <c r="AK87" s="90">
        <f t="shared" si="71"/>
        <v>-1.3607841277744189E-3</v>
      </c>
    </row>
    <row r="88" spans="1:37">
      <c r="A88" t="s">
        <v>1236</v>
      </c>
      <c r="B88" t="s">
        <v>1235</v>
      </c>
      <c r="C88" t="s">
        <v>1129</v>
      </c>
      <c r="D88" t="s">
        <v>1234</v>
      </c>
      <c r="E88" s="57">
        <v>7</v>
      </c>
      <c r="F88" s="57">
        <v>4</v>
      </c>
      <c r="G88" s="103">
        <v>7.36</v>
      </c>
      <c r="H88" s="95">
        <v>247</v>
      </c>
      <c r="I88" s="95">
        <v>66</v>
      </c>
      <c r="J88" s="95">
        <v>108</v>
      </c>
      <c r="K88" s="92">
        <f t="shared" si="50"/>
        <v>154.33333333333334</v>
      </c>
      <c r="L88" s="92">
        <f t="shared" si="51"/>
        <v>67.356828193832598</v>
      </c>
      <c r="M88" s="92">
        <f t="shared" si="52"/>
        <v>67.400000000000006</v>
      </c>
      <c r="N88" s="92">
        <f t="shared" si="53"/>
        <v>67.378414096916302</v>
      </c>
      <c r="O88" s="92">
        <f t="shared" si="76"/>
        <v>67.379710900724803</v>
      </c>
      <c r="P88" s="92">
        <f t="shared" si="77"/>
        <v>67.379258518268486</v>
      </c>
      <c r="Q88" s="92">
        <f t="shared" si="75"/>
        <v>67.379484709496637</v>
      </c>
      <c r="R88" s="92">
        <f t="shared" si="57"/>
        <v>2.290545650293017</v>
      </c>
      <c r="S88" s="92">
        <f t="shared" si="58"/>
        <v>0.30944243117913484</v>
      </c>
      <c r="T88" s="92">
        <f t="shared" si="59"/>
        <v>176.45630872812114</v>
      </c>
      <c r="U88" s="92">
        <f t="shared" si="72"/>
        <v>5.7598122657251496</v>
      </c>
      <c r="V88" s="92">
        <f t="shared" si="73"/>
        <v>4.5792142228280523</v>
      </c>
      <c r="W88" s="92">
        <f t="shared" si="74"/>
        <v>3.0256694843266287</v>
      </c>
      <c r="X88" s="8">
        <f t="shared" si="60"/>
        <v>1.903648860380073</v>
      </c>
      <c r="Y88" s="8">
        <f t="shared" si="61"/>
        <v>0.43724696356275305</v>
      </c>
      <c r="Z88" s="8">
        <f t="shared" si="62"/>
        <v>0.26720647773279355</v>
      </c>
      <c r="AA88" s="93">
        <f t="shared" si="63"/>
        <v>0.94964028776978415</v>
      </c>
      <c r="AB88" s="93">
        <f t="shared" si="64"/>
        <v>3.2047089601050516E-3</v>
      </c>
      <c r="AC88" s="93">
        <f t="shared" si="65"/>
        <v>1.4327303172431873E-3</v>
      </c>
      <c r="AD88" s="92">
        <f t="shared" si="66"/>
        <v>3.2036822731765217E-2</v>
      </c>
      <c r="AE88" s="92"/>
      <c r="AF88" s="91">
        <f t="shared" si="67"/>
        <v>0.32748218355833791</v>
      </c>
      <c r="AG88" s="91">
        <f t="shared" si="68"/>
        <v>0.29405637318096967</v>
      </c>
      <c r="AH88" s="91"/>
      <c r="AI88" s="90">
        <f t="shared" si="69"/>
        <v>5.5161054741519958E-3</v>
      </c>
      <c r="AJ88" s="90">
        <f t="shared" si="70"/>
        <v>1.5151515151515152E-2</v>
      </c>
      <c r="AK88" s="90">
        <f t="shared" si="71"/>
        <v>-1.6781391301645509E-3</v>
      </c>
    </row>
    <row r="89" spans="1:37">
      <c r="U89" s="92"/>
      <c r="V89" s="92"/>
      <c r="W89" s="92"/>
      <c r="X89" s="8"/>
      <c r="Y89" s="8"/>
      <c r="Z89" s="8"/>
      <c r="AA89" s="93"/>
      <c r="AB89" s="93"/>
      <c r="AC89" s="93"/>
      <c r="AD89" s="92"/>
      <c r="AE89" s="92"/>
      <c r="AF89" s="91"/>
      <c r="AG89" s="91"/>
      <c r="AH89" s="91"/>
      <c r="AI89" s="90"/>
      <c r="AJ89" s="90"/>
      <c r="AK89" s="90"/>
    </row>
    <row r="90" spans="1:37">
      <c r="A90" t="s">
        <v>1233</v>
      </c>
      <c r="B90" t="s">
        <v>1232</v>
      </c>
      <c r="C90" t="s">
        <v>1209</v>
      </c>
      <c r="D90" t="s">
        <v>996</v>
      </c>
      <c r="E90" s="57">
        <v>7</v>
      </c>
      <c r="F90" s="57" t="s">
        <v>1208</v>
      </c>
      <c r="G90" s="69">
        <v>3.5840000000000001</v>
      </c>
      <c r="H90" s="95">
        <v>296.10000000000002</v>
      </c>
      <c r="I90" s="96">
        <v>156</v>
      </c>
      <c r="J90" s="95">
        <v>94.3</v>
      </c>
      <c r="K90" s="92">
        <f t="shared" ref="K90:K106" si="78">(H90+2*J90)/3</f>
        <v>161.56666666666669</v>
      </c>
      <c r="L90" s="92">
        <f t="shared" ref="L90:L106" si="79">(5*(H90-J90)*I90)/(4*I90 + 3*(H90-J90))</f>
        <v>128.033186920449</v>
      </c>
      <c r="M90" s="92">
        <f t="shared" ref="M90:M106" si="80">(H90-J90+3*I90)/5</f>
        <v>133.95999999999998</v>
      </c>
      <c r="N90" s="92">
        <f t="shared" ref="N90:N106" si="81">0.5*(M90+L90)</f>
        <v>130.99659346022449</v>
      </c>
      <c r="O90" s="92">
        <f t="shared" ref="O90:O106" si="82">0.5*(H90-J90)+3/(5/(I90-0.5*(H90-J90))-4*(-3*(K90+(H90-J90))/(5*0.5*(H90-J90)*(3*K90+2*(H90-J90)))))</f>
        <v>130.75848952750118</v>
      </c>
      <c r="P90" s="92">
        <f t="shared" ref="P90:P106" si="83">I90+2/(5/(0.5*(H90-J90)-I90)-6*(-(3*(K90+2*I90))/(5*I90*(3*K90+4*I90))))</f>
        <v>131.27417739837497</v>
      </c>
      <c r="Q90" s="92">
        <f t="shared" ref="Q90:Q106" si="84">(O90+P90)/2</f>
        <v>131.01633346293806</v>
      </c>
      <c r="R90" s="92">
        <f t="shared" ref="R90:R106" si="85">K90/N90</f>
        <v>1.2333654059158754</v>
      </c>
      <c r="S90" s="92">
        <f t="shared" ref="S90:S106" si="86">(3*K90-2*N90)/(2*(3*K90+N90))</f>
        <v>0.18085759726875802</v>
      </c>
      <c r="T90" s="92">
        <f t="shared" ref="T90:T106" si="87">9*N90*K90/(N90+3*K90)</f>
        <v>309.37664520766594</v>
      </c>
      <c r="U90" s="92">
        <f t="shared" ref="U90:U106" si="88">SQRT((K90+4/3*N90)/G90)</f>
        <v>9.6857543254390919</v>
      </c>
      <c r="V90" s="92">
        <f t="shared" ref="V90:V106" si="89">SQRT(K90/G90)</f>
        <v>6.7141630244616213</v>
      </c>
      <c r="W90" s="92">
        <f t="shared" ref="W90:W106" si="90">SQRT(N90/G90)</f>
        <v>6.0456917553151728</v>
      </c>
      <c r="X90" s="8">
        <f t="shared" ref="X90:X106" si="91">SQRT((K90/N90) +4/3)</f>
        <v>1.6020919883855635</v>
      </c>
      <c r="Y90" s="8">
        <f t="shared" ref="Y90:Y106" si="92">J90/H90</f>
        <v>0.31847348868625464</v>
      </c>
      <c r="Z90" s="8">
        <f t="shared" ref="Z90:Z106" si="93">I90/H90</f>
        <v>0.52684903748733536</v>
      </c>
      <c r="AA90" s="93">
        <f t="shared" ref="AA90:AA106" si="94">2*I90/(H90-J90)</f>
        <v>1.5460852329038652</v>
      </c>
      <c r="AB90" s="93">
        <f t="shared" ref="AB90:AB106" si="95">5*M90/L90 +1 -6</f>
        <v>0.23145612563848417</v>
      </c>
      <c r="AC90" s="93">
        <f t="shared" ref="AC90:AC106" si="96">SQRT(5)*LN(M90/L90)</f>
        <v>0.10118597746380695</v>
      </c>
      <c r="AD90" s="92">
        <f t="shared" ref="AD90:AD106" si="97">100*(M90-L90)/(M90+L90)</f>
        <v>2.2622012233282183</v>
      </c>
      <c r="AE90" s="92"/>
      <c r="AF90" s="91">
        <f t="shared" ref="AF90:AF106" si="98">-(2*H90*I90-(H90-J90)*(H90+2*J90))/(2*H90*I90+(H90-J90)*(H90+2*J90))</f>
        <v>2.8545656614877585E-2</v>
      </c>
      <c r="AG90" s="91">
        <f t="shared" ref="AG90:AG106" si="99">(4*J90*I90)/(2*H90*I90+(H90-J90)*(H90+2*J90))</f>
        <v>0.30938245383727464</v>
      </c>
      <c r="AH90" s="91"/>
      <c r="AI90" s="90">
        <f t="shared" ref="AI90:AI106" si="100">(H90+J90)/((H90-J90)*(H90+2*J90))</f>
        <v>3.9913115363829918E-3</v>
      </c>
      <c r="AJ90" s="90">
        <f t="shared" ref="AJ90:AJ106" si="101">1/I90</f>
        <v>6.41025641025641E-3</v>
      </c>
      <c r="AK90" s="90">
        <f t="shared" ref="AK90:AK106" si="102">-J90/((H90-J90)*(H90+2*J90))</f>
        <v>-9.640898511293957E-4</v>
      </c>
    </row>
    <row r="91" spans="1:37">
      <c r="A91" t="s">
        <v>1223</v>
      </c>
      <c r="B91" t="s">
        <v>1231</v>
      </c>
      <c r="C91" t="s">
        <v>1209</v>
      </c>
      <c r="D91" t="s">
        <v>996</v>
      </c>
      <c r="E91" s="57">
        <v>7</v>
      </c>
      <c r="F91" s="57" t="s">
        <v>1208</v>
      </c>
      <c r="G91" s="57">
        <v>3.7229999999999999</v>
      </c>
      <c r="H91" s="95">
        <v>281</v>
      </c>
      <c r="I91" s="95">
        <v>147</v>
      </c>
      <c r="J91" s="95">
        <v>101</v>
      </c>
      <c r="K91" s="92">
        <f t="shared" si="78"/>
        <v>161</v>
      </c>
      <c r="L91" s="92">
        <f t="shared" si="79"/>
        <v>117.28723404255319</v>
      </c>
      <c r="M91" s="92">
        <f t="shared" si="80"/>
        <v>124.2</v>
      </c>
      <c r="N91" s="92">
        <f t="shared" si="81"/>
        <v>120.74361702127661</v>
      </c>
      <c r="O91" s="92">
        <f t="shared" si="82"/>
        <v>120.45494494350689</v>
      </c>
      <c r="P91" s="92">
        <f t="shared" si="83"/>
        <v>121.131844184146</v>
      </c>
      <c r="Q91" s="92">
        <f t="shared" si="84"/>
        <v>120.79339456382644</v>
      </c>
      <c r="R91" s="92">
        <f t="shared" si="85"/>
        <v>1.3334038185358461</v>
      </c>
      <c r="S91" s="92">
        <f t="shared" si="86"/>
        <v>0.2000126867999133</v>
      </c>
      <c r="T91" s="92">
        <f t="shared" si="87"/>
        <v>289.78774455128382</v>
      </c>
      <c r="U91" s="92">
        <f t="shared" si="88"/>
        <v>9.2998443166637301</v>
      </c>
      <c r="V91" s="92">
        <f t="shared" si="89"/>
        <v>6.5760698854505266</v>
      </c>
      <c r="W91" s="92">
        <f t="shared" si="90"/>
        <v>5.6948930527174992</v>
      </c>
      <c r="X91" s="8">
        <f t="shared" si="91"/>
        <v>1.6330147433104145</v>
      </c>
      <c r="Y91" s="8">
        <f t="shared" si="92"/>
        <v>0.35943060498220641</v>
      </c>
      <c r="Z91" s="8">
        <f t="shared" si="93"/>
        <v>0.52313167259786475</v>
      </c>
      <c r="AA91" s="93">
        <f t="shared" si="94"/>
        <v>1.6333333333333333</v>
      </c>
      <c r="AB91" s="93">
        <f t="shared" si="95"/>
        <v>0.29469387755101994</v>
      </c>
      <c r="AC91" s="93">
        <f t="shared" si="96"/>
        <v>0.12805346713646779</v>
      </c>
      <c r="AD91" s="92">
        <f t="shared" si="97"/>
        <v>2.8625802870509873</v>
      </c>
      <c r="AE91" s="92"/>
      <c r="AF91" s="91">
        <f t="shared" si="98"/>
        <v>2.5513995541243499E-2</v>
      </c>
      <c r="AG91" s="91">
        <f t="shared" si="99"/>
        <v>0.35026009412930392</v>
      </c>
      <c r="AH91" s="91"/>
      <c r="AI91" s="90">
        <f t="shared" si="100"/>
        <v>4.3938348286174369E-3</v>
      </c>
      <c r="AJ91" s="90">
        <f t="shared" si="101"/>
        <v>6.8027210884353739E-3</v>
      </c>
      <c r="AK91" s="90">
        <f t="shared" si="102"/>
        <v>-1.1617207269381182E-3</v>
      </c>
    </row>
    <row r="92" spans="1:37">
      <c r="A92" t="s">
        <v>1223</v>
      </c>
      <c r="B92" t="s">
        <v>1230</v>
      </c>
      <c r="C92" t="s">
        <v>1209</v>
      </c>
      <c r="D92" t="s">
        <v>996</v>
      </c>
      <c r="E92" s="57">
        <v>7</v>
      </c>
      <c r="F92" s="57" t="s">
        <v>1208</v>
      </c>
      <c r="G92" s="57">
        <v>3.948</v>
      </c>
      <c r="H92" s="95">
        <v>277</v>
      </c>
      <c r="I92" s="95">
        <v>131</v>
      </c>
      <c r="J92" s="95">
        <v>111</v>
      </c>
      <c r="K92" s="92">
        <f t="shared" si="78"/>
        <v>166.33333333333334</v>
      </c>
      <c r="L92" s="92">
        <f t="shared" si="79"/>
        <v>106.3894324853229</v>
      </c>
      <c r="M92" s="92">
        <f t="shared" si="80"/>
        <v>111.8</v>
      </c>
      <c r="N92" s="92">
        <f t="shared" si="81"/>
        <v>109.09471624266145</v>
      </c>
      <c r="O92" s="92">
        <f t="shared" si="82"/>
        <v>108.92226852265094</v>
      </c>
      <c r="P92" s="92">
        <f t="shared" si="83"/>
        <v>109.41578796374124</v>
      </c>
      <c r="Q92" s="92">
        <f t="shared" si="84"/>
        <v>109.1690282431961</v>
      </c>
      <c r="R92" s="92">
        <f t="shared" si="85"/>
        <v>1.5246690129644314</v>
      </c>
      <c r="S92" s="92">
        <f t="shared" si="86"/>
        <v>0.23089377362935276</v>
      </c>
      <c r="T92" s="92">
        <f t="shared" si="87"/>
        <v>268.568013917906</v>
      </c>
      <c r="U92" s="92">
        <f t="shared" si="88"/>
        <v>8.8867830293927703</v>
      </c>
      <c r="V92" s="92">
        <f t="shared" si="89"/>
        <v>6.4908425348245729</v>
      </c>
      <c r="W92" s="92">
        <f t="shared" si="90"/>
        <v>5.2567011375682764</v>
      </c>
      <c r="X92" s="8">
        <f t="shared" si="91"/>
        <v>1.6905627306603457</v>
      </c>
      <c r="Y92" s="8">
        <f t="shared" si="92"/>
        <v>0.4007220216606498</v>
      </c>
      <c r="Z92" s="8">
        <f t="shared" si="93"/>
        <v>0.47292418772563177</v>
      </c>
      <c r="AA92" s="93">
        <f t="shared" si="94"/>
        <v>1.5783132530120483</v>
      </c>
      <c r="AB92" s="93">
        <f t="shared" si="95"/>
        <v>0.25428124712590794</v>
      </c>
      <c r="AC92" s="93">
        <f t="shared" si="96"/>
        <v>0.11092083959879979</v>
      </c>
      <c r="AD92" s="92">
        <f t="shared" si="97"/>
        <v>2.4797569034609657</v>
      </c>
      <c r="AE92" s="92"/>
      <c r="AF92" s="91">
        <f t="shared" si="98"/>
        <v>6.6019767322145581E-2</v>
      </c>
      <c r="AG92" s="91">
        <f t="shared" si="99"/>
        <v>0.37426644702975392</v>
      </c>
      <c r="AH92" s="91"/>
      <c r="AI92" s="90">
        <f t="shared" si="100"/>
        <v>4.6840669290388005E-3</v>
      </c>
      <c r="AJ92" s="90">
        <f t="shared" si="101"/>
        <v>7.6335877862595417E-3</v>
      </c>
      <c r="AK92" s="90">
        <f t="shared" si="102"/>
        <v>-1.3400294565033683E-3</v>
      </c>
    </row>
    <row r="93" spans="1:37">
      <c r="A93" t="s">
        <v>1223</v>
      </c>
      <c r="B93" t="s">
        <v>1229</v>
      </c>
      <c r="C93" t="s">
        <v>1209</v>
      </c>
      <c r="D93" t="s">
        <v>996</v>
      </c>
      <c r="E93" s="57">
        <v>7</v>
      </c>
      <c r="F93" s="57" t="s">
        <v>1208</v>
      </c>
      <c r="G93" s="57">
        <v>4.157</v>
      </c>
      <c r="H93" s="95">
        <v>266</v>
      </c>
      <c r="I93" s="95">
        <v>123</v>
      </c>
      <c r="J93" s="95">
        <v>114</v>
      </c>
      <c r="K93" s="92">
        <f t="shared" si="78"/>
        <v>164.66666666666666</v>
      </c>
      <c r="L93" s="92">
        <f t="shared" si="79"/>
        <v>98.607594936708864</v>
      </c>
      <c r="M93" s="92">
        <f t="shared" si="80"/>
        <v>104.2</v>
      </c>
      <c r="N93" s="92">
        <f t="shared" si="81"/>
        <v>101.40379746835444</v>
      </c>
      <c r="O93" s="92">
        <f t="shared" si="82"/>
        <v>101.22825112107623</v>
      </c>
      <c r="P93" s="92">
        <f t="shared" si="83"/>
        <v>101.76695550722921</v>
      </c>
      <c r="Q93" s="92">
        <f t="shared" si="84"/>
        <v>101.49760331415271</v>
      </c>
      <c r="R93" s="92">
        <f t="shared" si="85"/>
        <v>1.623870809355586</v>
      </c>
      <c r="S93" s="92">
        <f t="shared" si="86"/>
        <v>0.24453354706623945</v>
      </c>
      <c r="T93" s="92">
        <f t="shared" si="87"/>
        <v>252.40085549855539</v>
      </c>
      <c r="U93" s="92">
        <f t="shared" si="88"/>
        <v>8.493325146077904</v>
      </c>
      <c r="V93" s="92">
        <f t="shared" si="89"/>
        <v>6.2937985038519022</v>
      </c>
      <c r="W93" s="92">
        <f t="shared" si="90"/>
        <v>4.9389780645831083</v>
      </c>
      <c r="X93" s="8">
        <f t="shared" si="91"/>
        <v>1.7196523319232058</v>
      </c>
      <c r="Y93" s="8">
        <f t="shared" si="92"/>
        <v>0.42857142857142855</v>
      </c>
      <c r="Z93" s="8">
        <f t="shared" si="93"/>
        <v>0.46240601503759399</v>
      </c>
      <c r="AA93" s="93">
        <f t="shared" si="94"/>
        <v>1.618421052631579</v>
      </c>
      <c r="AB93" s="93">
        <f t="shared" si="95"/>
        <v>0.28356867779204098</v>
      </c>
      <c r="AC93" s="93">
        <f t="shared" si="96"/>
        <v>0.12335010267258135</v>
      </c>
      <c r="AD93" s="92">
        <f t="shared" si="97"/>
        <v>2.7574929159020831</v>
      </c>
      <c r="AE93" s="92"/>
      <c r="AF93" s="91">
        <f t="shared" si="98"/>
        <v>6.8685776095186585E-2</v>
      </c>
      <c r="AG93" s="91">
        <f t="shared" si="99"/>
        <v>0.3991346673877772</v>
      </c>
      <c r="AH93" s="91"/>
      <c r="AI93" s="90">
        <f t="shared" si="100"/>
        <v>5.0607287449392713E-3</v>
      </c>
      <c r="AJ93" s="90">
        <f t="shared" si="101"/>
        <v>8.130081300813009E-3</v>
      </c>
      <c r="AK93" s="90">
        <f t="shared" si="102"/>
        <v>-1.5182186234817814E-3</v>
      </c>
    </row>
    <row r="94" spans="1:37">
      <c r="A94" t="s">
        <v>1223</v>
      </c>
      <c r="B94" t="s">
        <v>1228</v>
      </c>
      <c r="C94" t="s">
        <v>1209</v>
      </c>
      <c r="D94" t="s">
        <v>996</v>
      </c>
      <c r="E94" s="57">
        <v>7</v>
      </c>
      <c r="F94" s="57" t="s">
        <v>1208</v>
      </c>
      <c r="G94" s="57">
        <v>4.2270000000000003</v>
      </c>
      <c r="H94" s="95">
        <v>268</v>
      </c>
      <c r="I94" s="95">
        <v>121</v>
      </c>
      <c r="J94" s="95">
        <v>109</v>
      </c>
      <c r="K94" s="92">
        <f t="shared" si="78"/>
        <v>162</v>
      </c>
      <c r="L94" s="92">
        <f t="shared" si="79"/>
        <v>100.09885535900104</v>
      </c>
      <c r="M94" s="92">
        <f t="shared" si="80"/>
        <v>104.4</v>
      </c>
      <c r="N94" s="92">
        <f t="shared" si="81"/>
        <v>102.24942767950051</v>
      </c>
      <c r="O94" s="92">
        <f t="shared" si="82"/>
        <v>102.13555234701401</v>
      </c>
      <c r="P94" s="92">
        <f t="shared" si="83"/>
        <v>102.49695988014261</v>
      </c>
      <c r="Q94" s="92">
        <f t="shared" si="84"/>
        <v>102.31625611357831</v>
      </c>
      <c r="R94" s="92">
        <f t="shared" si="85"/>
        <v>1.5843609463300554</v>
      </c>
      <c r="S94" s="92">
        <f t="shared" si="86"/>
        <v>0.23927022398598147</v>
      </c>
      <c r="T94" s="92">
        <f t="shared" si="87"/>
        <v>253.42934228562603</v>
      </c>
      <c r="U94" s="92">
        <f t="shared" si="88"/>
        <v>8.4010624087254708</v>
      </c>
      <c r="V94" s="92">
        <f t="shared" si="89"/>
        <v>6.1907231588272946</v>
      </c>
      <c r="W94" s="92">
        <f t="shared" si="90"/>
        <v>4.9182921095177656</v>
      </c>
      <c r="X94" s="8">
        <f t="shared" si="91"/>
        <v>1.7081259554445594</v>
      </c>
      <c r="Y94" s="8">
        <f t="shared" si="92"/>
        <v>0.40671641791044777</v>
      </c>
      <c r="Z94" s="8">
        <f t="shared" si="93"/>
        <v>0.45149253731343286</v>
      </c>
      <c r="AA94" s="93">
        <f t="shared" si="94"/>
        <v>1.5220125786163523</v>
      </c>
      <c r="AB94" s="93">
        <f t="shared" si="95"/>
        <v>0.21484484640573864</v>
      </c>
      <c r="AC94" s="93">
        <f t="shared" si="96"/>
        <v>9.4074564349334103E-2</v>
      </c>
      <c r="AD94" s="92">
        <f t="shared" si="97"/>
        <v>2.1032609857146838</v>
      </c>
      <c r="AE94" s="92"/>
      <c r="AF94" s="91">
        <f t="shared" si="98"/>
        <v>8.7370716949271787E-2</v>
      </c>
      <c r="AG94" s="91">
        <f t="shared" si="99"/>
        <v>0.37118131288257228</v>
      </c>
      <c r="AH94" s="91"/>
      <c r="AI94" s="90">
        <f t="shared" si="100"/>
        <v>4.8787431736418462E-3</v>
      </c>
      <c r="AJ94" s="90">
        <f t="shared" si="101"/>
        <v>8.2644628099173556E-3</v>
      </c>
      <c r="AK94" s="90">
        <f t="shared" si="102"/>
        <v>-1.4105650024587831E-3</v>
      </c>
    </row>
    <row r="95" spans="1:37">
      <c r="A95" t="s">
        <v>1223</v>
      </c>
      <c r="B95" t="s">
        <v>1227</v>
      </c>
      <c r="C95" t="s">
        <v>1209</v>
      </c>
      <c r="D95" t="s">
        <v>996</v>
      </c>
      <c r="E95" s="57">
        <v>7</v>
      </c>
      <c r="F95" s="57" t="s">
        <v>1208</v>
      </c>
      <c r="G95" s="57">
        <v>4.4451999999999998</v>
      </c>
      <c r="H95" s="95">
        <v>259</v>
      </c>
      <c r="I95" s="95">
        <v>103</v>
      </c>
      <c r="J95" s="95">
        <v>117</v>
      </c>
      <c r="K95" s="92">
        <f t="shared" si="78"/>
        <v>164.33333333333334</v>
      </c>
      <c r="L95" s="92">
        <f t="shared" si="79"/>
        <v>87.267303102625291</v>
      </c>
      <c r="M95" s="92">
        <f t="shared" si="80"/>
        <v>90.2</v>
      </c>
      <c r="N95" s="92">
        <f t="shared" si="81"/>
        <v>88.733651551312647</v>
      </c>
      <c r="O95" s="92">
        <f t="shared" si="82"/>
        <v>88.691098451570582</v>
      </c>
      <c r="P95" s="92">
        <f t="shared" si="83"/>
        <v>88.910291757968466</v>
      </c>
      <c r="Q95" s="92">
        <f t="shared" si="84"/>
        <v>88.800695104769517</v>
      </c>
      <c r="R95" s="92">
        <f t="shared" si="85"/>
        <v>1.8519843425839759</v>
      </c>
      <c r="S95" s="92">
        <f t="shared" si="86"/>
        <v>0.27120031311231674</v>
      </c>
      <c r="T95" s="92">
        <f t="shared" si="87"/>
        <v>225.5964912712557</v>
      </c>
      <c r="U95" s="92">
        <f t="shared" si="88"/>
        <v>7.9739755540602557</v>
      </c>
      <c r="V95" s="92">
        <f t="shared" si="89"/>
        <v>6.0801904014920352</v>
      </c>
      <c r="W95" s="92">
        <f t="shared" si="90"/>
        <v>4.4678493835139523</v>
      </c>
      <c r="X95" s="8">
        <f t="shared" si="91"/>
        <v>1.7847458294999066</v>
      </c>
      <c r="Y95" s="8">
        <f t="shared" si="92"/>
        <v>0.45173745173745172</v>
      </c>
      <c r="Z95" s="8">
        <f t="shared" si="93"/>
        <v>0.39768339768339767</v>
      </c>
      <c r="AA95" s="93">
        <f t="shared" si="94"/>
        <v>1.4507042253521127</v>
      </c>
      <c r="AB95" s="93">
        <f t="shared" si="95"/>
        <v>0.16802953644195284</v>
      </c>
      <c r="AC95" s="93">
        <f t="shared" si="96"/>
        <v>7.391002782174462E-2</v>
      </c>
      <c r="AD95" s="92">
        <f t="shared" si="97"/>
        <v>1.6525280128243114</v>
      </c>
      <c r="AE95" s="92"/>
      <c r="AF95" s="91">
        <f t="shared" si="98"/>
        <v>0.1349870298313878</v>
      </c>
      <c r="AG95" s="91">
        <f t="shared" si="99"/>
        <v>0.39075875486381323</v>
      </c>
      <c r="AH95" s="91"/>
      <c r="AI95" s="90">
        <f t="shared" si="100"/>
        <v>5.3709682027254808E-3</v>
      </c>
      <c r="AJ95" s="90">
        <f t="shared" si="101"/>
        <v>9.7087378640776691E-3</v>
      </c>
      <c r="AK95" s="90">
        <f t="shared" si="102"/>
        <v>-1.67128531840128E-3</v>
      </c>
    </row>
    <row r="96" spans="1:37">
      <c r="A96" t="s">
        <v>1223</v>
      </c>
      <c r="B96" t="s">
        <v>1226</v>
      </c>
      <c r="C96" t="s">
        <v>1209</v>
      </c>
      <c r="D96" t="s">
        <v>996</v>
      </c>
      <c r="E96" s="57">
        <v>7</v>
      </c>
      <c r="F96" s="57" t="s">
        <v>1208</v>
      </c>
      <c r="G96" s="57">
        <v>4.7690000000000001</v>
      </c>
      <c r="H96" s="95">
        <v>243</v>
      </c>
      <c r="I96" s="95">
        <v>86</v>
      </c>
      <c r="J96" s="95">
        <v>120</v>
      </c>
      <c r="K96" s="92">
        <f t="shared" si="78"/>
        <v>161</v>
      </c>
      <c r="L96" s="92">
        <f t="shared" si="79"/>
        <v>74.179523141654983</v>
      </c>
      <c r="M96" s="92">
        <f t="shared" si="80"/>
        <v>76.2</v>
      </c>
      <c r="N96" s="92">
        <f t="shared" si="81"/>
        <v>75.1897615708275</v>
      </c>
      <c r="O96" s="92">
        <f t="shared" si="82"/>
        <v>75.180854389585605</v>
      </c>
      <c r="P96" s="92">
        <f t="shared" si="83"/>
        <v>75.317728024266842</v>
      </c>
      <c r="Q96" s="92">
        <f t="shared" si="84"/>
        <v>75.249291206926216</v>
      </c>
      <c r="R96" s="92">
        <f t="shared" si="85"/>
        <v>2.1412489764093836</v>
      </c>
      <c r="S96" s="92">
        <f t="shared" si="86"/>
        <v>0.29794569854013658</v>
      </c>
      <c r="T96" s="92">
        <f t="shared" si="87"/>
        <v>195.18445521022804</v>
      </c>
      <c r="U96" s="92">
        <f t="shared" si="88"/>
        <v>7.4014531540591415</v>
      </c>
      <c r="V96" s="92">
        <f t="shared" si="89"/>
        <v>5.8103096345982834</v>
      </c>
      <c r="W96" s="92">
        <f t="shared" si="90"/>
        <v>3.9706873531379658</v>
      </c>
      <c r="X96" s="8">
        <f t="shared" si="91"/>
        <v>1.8640231516112444</v>
      </c>
      <c r="Y96" s="8">
        <f t="shared" si="92"/>
        <v>0.49382716049382713</v>
      </c>
      <c r="Z96" s="8">
        <f t="shared" si="93"/>
        <v>0.35390946502057613</v>
      </c>
      <c r="AA96" s="93">
        <f t="shared" si="94"/>
        <v>1.3983739837398375</v>
      </c>
      <c r="AB96" s="93">
        <f t="shared" si="95"/>
        <v>0.13618831537152598</v>
      </c>
      <c r="AC96" s="93">
        <f t="shared" si="96"/>
        <v>6.0090568169843324E-2</v>
      </c>
      <c r="AD96" s="92">
        <f t="shared" si="97"/>
        <v>1.3435850946553174</v>
      </c>
      <c r="AE96" s="92"/>
      <c r="AF96" s="91">
        <f t="shared" si="98"/>
        <v>0.17403290351267231</v>
      </c>
      <c r="AG96" s="91">
        <f t="shared" si="99"/>
        <v>0.40788498591966799</v>
      </c>
      <c r="AH96" s="91"/>
      <c r="AI96" s="90">
        <f t="shared" si="100"/>
        <v>6.1101853254557394E-3</v>
      </c>
      <c r="AJ96" s="90">
        <f t="shared" si="101"/>
        <v>1.1627906976744186E-2</v>
      </c>
      <c r="AK96" s="90">
        <f t="shared" si="102"/>
        <v>-2.0198959753572692E-3</v>
      </c>
    </row>
    <row r="97" spans="1:37">
      <c r="A97" t="s">
        <v>1223</v>
      </c>
      <c r="B97" t="s">
        <v>1225</v>
      </c>
      <c r="C97" t="s">
        <v>1209</v>
      </c>
      <c r="D97" t="s">
        <v>996</v>
      </c>
      <c r="E97" s="57">
        <v>7</v>
      </c>
      <c r="F97" s="57" t="s">
        <v>1208</v>
      </c>
      <c r="G97" s="57">
        <v>4.8470000000000004</v>
      </c>
      <c r="H97" s="95">
        <v>244</v>
      </c>
      <c r="I97" s="95">
        <v>83</v>
      </c>
      <c r="J97" s="95">
        <v>117</v>
      </c>
      <c r="K97" s="92">
        <f t="shared" si="78"/>
        <v>159.33333333333334</v>
      </c>
      <c r="L97" s="92">
        <f t="shared" si="79"/>
        <v>73.920056100981768</v>
      </c>
      <c r="M97" s="92">
        <f t="shared" si="80"/>
        <v>75.2</v>
      </c>
      <c r="N97" s="92">
        <f t="shared" si="81"/>
        <v>74.560028050490885</v>
      </c>
      <c r="O97" s="92">
        <f t="shared" si="82"/>
        <v>74.562172308413309</v>
      </c>
      <c r="P97" s="92">
        <f t="shared" si="83"/>
        <v>74.631430180050785</v>
      </c>
      <c r="Q97" s="92">
        <f t="shared" si="84"/>
        <v>74.59680124423204</v>
      </c>
      <c r="R97" s="92">
        <f t="shared" si="85"/>
        <v>2.1369805980415579</v>
      </c>
      <c r="S97" s="92">
        <f t="shared" si="86"/>
        <v>0.29759657521677119</v>
      </c>
      <c r="T97" s="92">
        <f t="shared" si="87"/>
        <v>193.49767409276674</v>
      </c>
      <c r="U97" s="92">
        <f t="shared" si="88"/>
        <v>7.3063572465080293</v>
      </c>
      <c r="V97" s="92">
        <f t="shared" si="89"/>
        <v>5.733460318491117</v>
      </c>
      <c r="W97" s="92">
        <f t="shared" si="90"/>
        <v>3.9220806649552875</v>
      </c>
      <c r="X97" s="8">
        <f t="shared" si="91"/>
        <v>1.8628778627099767</v>
      </c>
      <c r="Y97" s="8">
        <f t="shared" si="92"/>
        <v>0.47950819672131145</v>
      </c>
      <c r="Z97" s="8">
        <f t="shared" si="93"/>
        <v>0.3401639344262295</v>
      </c>
      <c r="AA97" s="93">
        <f t="shared" si="94"/>
        <v>1.3070866141732282</v>
      </c>
      <c r="AB97" s="93">
        <f t="shared" si="95"/>
        <v>8.6576226164500447E-2</v>
      </c>
      <c r="AC97" s="93">
        <f t="shared" si="96"/>
        <v>3.8386678879046274E-2</v>
      </c>
      <c r="AD97" s="92">
        <f t="shared" si="97"/>
        <v>0.85833115443000996</v>
      </c>
      <c r="AE97" s="92"/>
      <c r="AF97" s="91">
        <f t="shared" si="98"/>
        <v>0.19960478213615254</v>
      </c>
      <c r="AG97" s="91">
        <f t="shared" si="99"/>
        <v>0.38379606758225471</v>
      </c>
      <c r="AH97" s="91"/>
      <c r="AI97" s="90">
        <f t="shared" si="100"/>
        <v>5.9466939017560044E-3</v>
      </c>
      <c r="AJ97" s="90">
        <f t="shared" si="101"/>
        <v>1.2048192771084338E-2</v>
      </c>
      <c r="AK97" s="90">
        <f t="shared" si="102"/>
        <v>-1.9273218462754918E-3</v>
      </c>
    </row>
    <row r="98" spans="1:37">
      <c r="A98" t="s">
        <v>1223</v>
      </c>
      <c r="B98" t="s">
        <v>1224</v>
      </c>
      <c r="C98" t="s">
        <v>1209</v>
      </c>
      <c r="D98" t="s">
        <v>996</v>
      </c>
      <c r="E98" s="57">
        <v>7</v>
      </c>
      <c r="F98" s="57" t="s">
        <v>1208</v>
      </c>
      <c r="G98" s="57">
        <v>5.2610000000000001</v>
      </c>
      <c r="H98" s="95">
        <v>234</v>
      </c>
      <c r="I98" s="95">
        <v>67</v>
      </c>
      <c r="J98" s="95">
        <v>123</v>
      </c>
      <c r="K98" s="92">
        <f t="shared" si="78"/>
        <v>160</v>
      </c>
      <c r="L98" s="92">
        <f t="shared" si="79"/>
        <v>61.871880199667224</v>
      </c>
      <c r="M98" s="92">
        <f t="shared" si="80"/>
        <v>62.4</v>
      </c>
      <c r="N98" s="92">
        <f t="shared" si="81"/>
        <v>62.135940099833611</v>
      </c>
      <c r="O98" s="92">
        <f t="shared" si="82"/>
        <v>62.144868170883996</v>
      </c>
      <c r="P98" s="92">
        <f t="shared" si="83"/>
        <v>62.165153576803505</v>
      </c>
      <c r="Q98" s="92">
        <f t="shared" si="84"/>
        <v>62.15501087384375</v>
      </c>
      <c r="R98" s="92">
        <f t="shared" si="85"/>
        <v>2.5749992635973404</v>
      </c>
      <c r="S98" s="92">
        <f t="shared" si="86"/>
        <v>0.32808018569551567</v>
      </c>
      <c r="T98" s="92">
        <f t="shared" si="87"/>
        <v>165.04302173230494</v>
      </c>
      <c r="U98" s="92">
        <f t="shared" si="88"/>
        <v>6.7941173405947781</v>
      </c>
      <c r="V98" s="92">
        <f t="shared" si="89"/>
        <v>5.5147501405173438</v>
      </c>
      <c r="W98" s="92">
        <f t="shared" si="90"/>
        <v>3.4366656797069974</v>
      </c>
      <c r="X98" s="8">
        <f t="shared" si="91"/>
        <v>1.9769503273807041</v>
      </c>
      <c r="Y98" s="8">
        <f t="shared" si="92"/>
        <v>0.52564102564102566</v>
      </c>
      <c r="Z98" s="8">
        <f t="shared" si="93"/>
        <v>0.28632478632478631</v>
      </c>
      <c r="AA98" s="93">
        <f t="shared" si="94"/>
        <v>1.2072072072072073</v>
      </c>
      <c r="AB98" s="93">
        <f t="shared" si="95"/>
        <v>4.2678499394916969E-2</v>
      </c>
      <c r="AC98" s="93">
        <f t="shared" si="96"/>
        <v>1.9005407838030994E-2</v>
      </c>
      <c r="AD98" s="92">
        <f t="shared" si="97"/>
        <v>0.42497128029627151</v>
      </c>
      <c r="AE98" s="92"/>
      <c r="AF98" s="91">
        <f t="shared" si="98"/>
        <v>0.2590387069332199</v>
      </c>
      <c r="AG98" s="91">
        <f t="shared" si="99"/>
        <v>0.3894796540479229</v>
      </c>
      <c r="AH98" s="91"/>
      <c r="AI98" s="90">
        <f t="shared" si="100"/>
        <v>6.7004504504504505E-3</v>
      </c>
      <c r="AJ98" s="90">
        <f t="shared" si="101"/>
        <v>1.4925373134328358E-2</v>
      </c>
      <c r="AK98" s="90">
        <f t="shared" si="102"/>
        <v>-2.3085585585585584E-3</v>
      </c>
    </row>
    <row r="99" spans="1:37">
      <c r="A99" t="s">
        <v>1223</v>
      </c>
      <c r="B99" t="s">
        <v>1222</v>
      </c>
      <c r="C99" t="s">
        <v>1209</v>
      </c>
      <c r="D99" t="s">
        <v>996</v>
      </c>
      <c r="E99" s="57">
        <v>7</v>
      </c>
      <c r="F99" s="57" t="s">
        <v>1208</v>
      </c>
      <c r="G99" s="57">
        <v>5.37</v>
      </c>
      <c r="H99" s="95">
        <v>231</v>
      </c>
      <c r="I99" s="95">
        <v>63.4</v>
      </c>
      <c r="J99" s="95">
        <v>122</v>
      </c>
      <c r="K99" s="92">
        <f t="shared" si="78"/>
        <v>158.33333333333334</v>
      </c>
      <c r="L99" s="92">
        <f t="shared" si="79"/>
        <v>59.512573200137787</v>
      </c>
      <c r="M99" s="92">
        <f t="shared" si="80"/>
        <v>59.839999999999996</v>
      </c>
      <c r="N99" s="92">
        <f t="shared" si="81"/>
        <v>59.676286600068892</v>
      </c>
      <c r="O99" s="92">
        <f t="shared" si="82"/>
        <v>59.683267786411029</v>
      </c>
      <c r="P99" s="92">
        <f t="shared" si="83"/>
        <v>59.693388112929163</v>
      </c>
      <c r="Q99" s="92">
        <f t="shared" si="84"/>
        <v>59.688327949670096</v>
      </c>
      <c r="R99" s="92">
        <f t="shared" si="85"/>
        <v>2.6532035143947876</v>
      </c>
      <c r="S99" s="92">
        <f t="shared" si="86"/>
        <v>0.33258200869667703</v>
      </c>
      <c r="T99" s="92">
        <f t="shared" si="87"/>
        <v>159.04709173815681</v>
      </c>
      <c r="U99" s="92">
        <f t="shared" si="88"/>
        <v>6.6559744163740726</v>
      </c>
      <c r="V99" s="92">
        <f t="shared" si="89"/>
        <v>5.4299900602693976</v>
      </c>
      <c r="W99" s="92">
        <f t="shared" si="90"/>
        <v>3.3336020357267127</v>
      </c>
      <c r="X99" s="8">
        <f t="shared" si="91"/>
        <v>1.9966313750234721</v>
      </c>
      <c r="Y99" s="8">
        <f t="shared" si="92"/>
        <v>0.52813852813852813</v>
      </c>
      <c r="Z99" s="8">
        <f t="shared" si="93"/>
        <v>0.27445887445887446</v>
      </c>
      <c r="AA99" s="93">
        <f t="shared" si="94"/>
        <v>1.1633027522935779</v>
      </c>
      <c r="AB99" s="93">
        <f t="shared" si="95"/>
        <v>2.7509044077214995E-2</v>
      </c>
      <c r="AC99" s="93">
        <f t="shared" si="96"/>
        <v>1.2268699354260578E-2</v>
      </c>
      <c r="AD99" s="92">
        <f t="shared" si="97"/>
        <v>0.27433576929519554</v>
      </c>
      <c r="AE99" s="92"/>
      <c r="AF99" s="91">
        <f t="shared" si="98"/>
        <v>0.27735740595910974</v>
      </c>
      <c r="AG99" s="91">
        <f t="shared" si="99"/>
        <v>0.38165539598696369</v>
      </c>
      <c r="AH99" s="91"/>
      <c r="AI99" s="90">
        <f t="shared" si="100"/>
        <v>6.817962337035249E-3</v>
      </c>
      <c r="AJ99" s="90">
        <f t="shared" si="101"/>
        <v>1.5772870662460567E-2</v>
      </c>
      <c r="AK99" s="90">
        <f t="shared" si="102"/>
        <v>-2.3563495895702561E-3</v>
      </c>
    </row>
    <row r="100" spans="1:37">
      <c r="A100" t="s">
        <v>1221</v>
      </c>
      <c r="B100" t="s">
        <v>1220</v>
      </c>
      <c r="C100" t="s">
        <v>1209</v>
      </c>
      <c r="D100" t="s">
        <v>996</v>
      </c>
      <c r="E100" s="57">
        <v>7</v>
      </c>
      <c r="F100" s="57" t="s">
        <v>1208</v>
      </c>
      <c r="G100" s="57">
        <v>5.7089999999999996</v>
      </c>
      <c r="H100" s="96">
        <v>218</v>
      </c>
      <c r="I100" s="95">
        <v>45.8</v>
      </c>
      <c r="J100" s="95">
        <v>122.2</v>
      </c>
      <c r="K100" s="92">
        <f t="shared" si="78"/>
        <v>154.13333333333333</v>
      </c>
      <c r="L100" s="92">
        <f t="shared" si="79"/>
        <v>46.617509562260942</v>
      </c>
      <c r="M100" s="92">
        <f t="shared" si="80"/>
        <v>46.64</v>
      </c>
      <c r="N100" s="92">
        <f t="shared" si="81"/>
        <v>46.628754781130468</v>
      </c>
      <c r="O100" s="92">
        <f t="shared" si="82"/>
        <v>46.629784755345661</v>
      </c>
      <c r="P100" s="92">
        <f t="shared" si="83"/>
        <v>46.629575795197631</v>
      </c>
      <c r="Q100" s="92">
        <f t="shared" si="84"/>
        <v>46.629680275271646</v>
      </c>
      <c r="R100" s="92">
        <f t="shared" si="85"/>
        <v>3.3055425575230539</v>
      </c>
      <c r="S100" s="92">
        <f t="shared" si="86"/>
        <v>0.36259492903938312</v>
      </c>
      <c r="T100" s="92">
        <f t="shared" si="87"/>
        <v>127.07220962437852</v>
      </c>
      <c r="U100" s="92">
        <f t="shared" si="88"/>
        <v>6.1553572525716076</v>
      </c>
      <c r="V100" s="92">
        <f t="shared" si="89"/>
        <v>5.1959894887396469</v>
      </c>
      <c r="W100" s="92">
        <f t="shared" si="90"/>
        <v>2.8578990718305195</v>
      </c>
      <c r="X100" s="8">
        <f t="shared" si="91"/>
        <v>2.1538049797640424</v>
      </c>
      <c r="Y100" s="8">
        <f t="shared" si="92"/>
        <v>0.56055045871559639</v>
      </c>
      <c r="Z100" s="8">
        <f t="shared" si="93"/>
        <v>0.21009174311926604</v>
      </c>
      <c r="AA100" s="93">
        <f t="shared" si="94"/>
        <v>0.95615866388308979</v>
      </c>
      <c r="AB100" s="93">
        <f t="shared" si="95"/>
        <v>2.4122307208429561E-3</v>
      </c>
      <c r="AC100" s="93">
        <f t="shared" si="96"/>
        <v>1.0785222303121042E-3</v>
      </c>
      <c r="AD100" s="92">
        <f t="shared" si="97"/>
        <v>2.4116489754686752E-2</v>
      </c>
      <c r="AE100" s="92"/>
      <c r="AF100" s="91">
        <f t="shared" si="98"/>
        <v>0.37856483106653022</v>
      </c>
      <c r="AG100" s="91">
        <f t="shared" si="99"/>
        <v>0.34834576900766057</v>
      </c>
      <c r="AH100" s="91"/>
      <c r="AI100" s="90">
        <f t="shared" si="100"/>
        <v>7.6798188267078902E-3</v>
      </c>
      <c r="AJ100" s="90">
        <f t="shared" si="101"/>
        <v>2.1834061135371181E-2</v>
      </c>
      <c r="AK100" s="90">
        <f t="shared" si="102"/>
        <v>-2.7585945344612119E-3</v>
      </c>
    </row>
    <row r="101" spans="1:37">
      <c r="A101" s="11" t="s">
        <v>1219</v>
      </c>
      <c r="B101" s="11" t="s">
        <v>1219</v>
      </c>
      <c r="C101" t="s">
        <v>1209</v>
      </c>
      <c r="D101" t="s">
        <v>996</v>
      </c>
      <c r="E101" s="69">
        <v>7</v>
      </c>
      <c r="F101" s="69">
        <v>4</v>
      </c>
      <c r="G101" s="91">
        <v>5.992</v>
      </c>
      <c r="H101" s="95">
        <v>125.9</v>
      </c>
      <c r="I101" s="95">
        <v>34.6</v>
      </c>
      <c r="J101" s="95">
        <v>49.1</v>
      </c>
      <c r="K101" s="91">
        <f t="shared" si="78"/>
        <v>74.7</v>
      </c>
      <c r="L101" s="91">
        <f t="shared" si="79"/>
        <v>36.026030368763557</v>
      </c>
      <c r="M101" s="91">
        <f t="shared" si="80"/>
        <v>36.120000000000005</v>
      </c>
      <c r="N101" s="91">
        <f t="shared" si="81"/>
        <v>36.073015184381781</v>
      </c>
      <c r="O101" s="92">
        <f t="shared" si="82"/>
        <v>36.075715832835705</v>
      </c>
      <c r="P101" s="92">
        <f t="shared" si="83"/>
        <v>36.073739171712916</v>
      </c>
      <c r="Q101" s="92">
        <f t="shared" si="84"/>
        <v>36.074727502274314</v>
      </c>
      <c r="R101" s="91">
        <f t="shared" si="85"/>
        <v>2.0708000043296133</v>
      </c>
      <c r="S101" s="91">
        <f t="shared" si="86"/>
        <v>0.29202484647292942</v>
      </c>
      <c r="T101" s="92">
        <f t="shared" si="87"/>
        <v>93.214463810833038</v>
      </c>
      <c r="U101" s="92">
        <f t="shared" si="88"/>
        <v>4.5269802661711509</v>
      </c>
      <c r="V101" s="92">
        <f t="shared" si="89"/>
        <v>3.5308104116312795</v>
      </c>
      <c r="W101" s="92">
        <f t="shared" si="90"/>
        <v>2.4536087963578019</v>
      </c>
      <c r="X101" s="33">
        <f t="shared" si="91"/>
        <v>1.8450293595666565</v>
      </c>
      <c r="Y101" s="33">
        <f t="shared" si="92"/>
        <v>0.38999205718824465</v>
      </c>
      <c r="Z101" s="33">
        <f t="shared" si="93"/>
        <v>0.27482128673550438</v>
      </c>
      <c r="AA101" s="90">
        <f t="shared" si="94"/>
        <v>0.90104166666666652</v>
      </c>
      <c r="AB101" s="90">
        <f t="shared" si="95"/>
        <v>1.3041907514451445E-2</v>
      </c>
      <c r="AC101" s="93">
        <f t="shared" si="96"/>
        <v>5.8249248368801177E-3</v>
      </c>
      <c r="AD101" s="92">
        <f t="shared" si="97"/>
        <v>0.13024920533553394</v>
      </c>
      <c r="AE101" s="92"/>
      <c r="AF101" s="91">
        <f t="shared" si="98"/>
        <v>0.32783811850098532</v>
      </c>
      <c r="AG101" s="91">
        <f t="shared" si="99"/>
        <v>0.26213779492932188</v>
      </c>
      <c r="AH101" s="91"/>
      <c r="AI101" s="90">
        <f t="shared" si="100"/>
        <v>1.0167986761862261E-2</v>
      </c>
      <c r="AJ101" s="90">
        <f t="shared" si="101"/>
        <v>2.8901734104046242E-2</v>
      </c>
      <c r="AK101" s="90">
        <f t="shared" si="102"/>
        <v>-2.8528465714710688E-3</v>
      </c>
    </row>
    <row r="102" spans="1:37" s="109" customFormat="1">
      <c r="A102" s="11" t="s">
        <v>1218</v>
      </c>
      <c r="B102" s="11" t="s">
        <v>1217</v>
      </c>
      <c r="C102" t="s">
        <v>1209</v>
      </c>
      <c r="D102" t="s">
        <v>996</v>
      </c>
      <c r="E102" s="113">
        <v>7</v>
      </c>
      <c r="F102" s="113" t="s">
        <v>1208</v>
      </c>
      <c r="G102" s="113">
        <v>3.3439999999999999</v>
      </c>
      <c r="H102" s="95">
        <v>222.2</v>
      </c>
      <c r="I102" s="95">
        <v>80.400000000000006</v>
      </c>
      <c r="J102" s="96">
        <v>59</v>
      </c>
      <c r="K102" s="112">
        <f t="shared" si="78"/>
        <v>113.39999999999999</v>
      </c>
      <c r="L102" s="112">
        <f t="shared" si="79"/>
        <v>80.875739644970423</v>
      </c>
      <c r="M102" s="112">
        <f t="shared" si="80"/>
        <v>80.88</v>
      </c>
      <c r="N102" s="112">
        <f t="shared" si="81"/>
        <v>80.877869822485209</v>
      </c>
      <c r="O102" s="92">
        <f t="shared" si="82"/>
        <v>80.877884925827118</v>
      </c>
      <c r="P102" s="92">
        <f t="shared" si="83"/>
        <v>80.877872300755868</v>
      </c>
      <c r="Q102" s="92">
        <f t="shared" si="84"/>
        <v>80.8778786132915</v>
      </c>
      <c r="R102" s="112">
        <f t="shared" si="85"/>
        <v>1.4021140795238052</v>
      </c>
      <c r="S102" s="112">
        <f t="shared" si="86"/>
        <v>0.21188985831795998</v>
      </c>
      <c r="T102" s="92">
        <f t="shared" si="87"/>
        <v>196.03014040046003</v>
      </c>
      <c r="U102" s="92">
        <f t="shared" si="88"/>
        <v>8.133845199428352</v>
      </c>
      <c r="V102" s="92">
        <f t="shared" si="89"/>
        <v>5.8233566998414679</v>
      </c>
      <c r="W102" s="92">
        <f t="shared" si="90"/>
        <v>4.9179229209094304</v>
      </c>
      <c r="X102" s="111">
        <f t="shared" si="91"/>
        <v>1.6539188047957911</v>
      </c>
      <c r="Y102" s="111">
        <f t="shared" si="92"/>
        <v>0.26552655265526554</v>
      </c>
      <c r="Z102" s="111">
        <f t="shared" si="93"/>
        <v>0.3618361836183619</v>
      </c>
      <c r="AA102" s="110">
        <f t="shared" si="94"/>
        <v>0.98529411764705899</v>
      </c>
      <c r="AB102" s="90">
        <f t="shared" si="95"/>
        <v>2.6338893766375548E-4</v>
      </c>
      <c r="AC102" s="93">
        <f t="shared" si="96"/>
        <v>1.1778801144873986E-4</v>
      </c>
      <c r="AD102" s="92">
        <f t="shared" si="97"/>
        <v>2.6338200047325545E-3</v>
      </c>
      <c r="AE102" s="92"/>
      <c r="AF102" s="91">
        <f t="shared" si="98"/>
        <v>0.21688540543383911</v>
      </c>
      <c r="AG102" s="91">
        <f t="shared" si="99"/>
        <v>0.20793771862917865</v>
      </c>
      <c r="AH102" s="91"/>
      <c r="AI102" s="90">
        <f t="shared" si="100"/>
        <v>5.0647831148920479E-3</v>
      </c>
      <c r="AJ102" s="90">
        <f t="shared" si="101"/>
        <v>1.2437810945273631E-2</v>
      </c>
      <c r="AK102" s="90">
        <f t="shared" si="102"/>
        <v>-1.0626678655001097E-3</v>
      </c>
    </row>
    <row r="103" spans="1:37">
      <c r="A103" t="s">
        <v>1216</v>
      </c>
      <c r="B103" t="s">
        <v>1215</v>
      </c>
      <c r="C103" t="s">
        <v>1209</v>
      </c>
      <c r="D103" t="s">
        <v>996</v>
      </c>
      <c r="E103" s="57">
        <v>7</v>
      </c>
      <c r="F103" s="57">
        <v>4</v>
      </c>
      <c r="G103" s="57">
        <v>6.44</v>
      </c>
      <c r="H103" s="95">
        <v>260</v>
      </c>
      <c r="I103" s="95">
        <v>82.4</v>
      </c>
      <c r="J103" s="95">
        <v>145</v>
      </c>
      <c r="K103" s="92">
        <f t="shared" si="78"/>
        <v>183.33333333333334</v>
      </c>
      <c r="L103" s="92">
        <f t="shared" si="79"/>
        <v>70.234212866884079</v>
      </c>
      <c r="M103" s="92">
        <f t="shared" si="80"/>
        <v>72.440000000000012</v>
      </c>
      <c r="N103" s="92">
        <f t="shared" si="81"/>
        <v>71.337106433442045</v>
      </c>
      <c r="O103" s="92">
        <f t="shared" si="82"/>
        <v>71.339710606150732</v>
      </c>
      <c r="P103" s="92">
        <f t="shared" si="83"/>
        <v>71.501505979699886</v>
      </c>
      <c r="Q103" s="92">
        <f t="shared" si="84"/>
        <v>71.420608292925309</v>
      </c>
      <c r="R103" s="92">
        <f t="shared" si="85"/>
        <v>2.5699575227989442</v>
      </c>
      <c r="S103" s="92">
        <f t="shared" si="86"/>
        <v>0.32778163650262282</v>
      </c>
      <c r="T103" s="92">
        <f t="shared" si="87"/>
        <v>189.44019984711494</v>
      </c>
      <c r="U103" s="92">
        <f t="shared" si="88"/>
        <v>6.575522500607244</v>
      </c>
      <c r="V103" s="92">
        <f t="shared" si="89"/>
        <v>5.3355326728164183</v>
      </c>
      <c r="W103" s="92">
        <f t="shared" si="90"/>
        <v>3.328241343408779</v>
      </c>
      <c r="X103" s="8">
        <f t="shared" si="91"/>
        <v>1.9756747850120164</v>
      </c>
      <c r="Y103" s="8">
        <f t="shared" si="92"/>
        <v>0.55769230769230771</v>
      </c>
      <c r="Z103" s="8">
        <f t="shared" si="93"/>
        <v>0.31692307692307692</v>
      </c>
      <c r="AA103" s="93">
        <f t="shared" si="94"/>
        <v>1.4330434782608696</v>
      </c>
      <c r="AB103" s="93">
        <f t="shared" si="95"/>
        <v>0.157030814689743</v>
      </c>
      <c r="AC103" s="93">
        <f t="shared" si="96"/>
        <v>6.9146104324972785E-2</v>
      </c>
      <c r="AD103" s="92">
        <f t="shared" si="97"/>
        <v>1.546030700848475</v>
      </c>
      <c r="AE103" s="92"/>
      <c r="AF103" s="91">
        <f t="shared" si="98"/>
        <v>0.19229391694471148</v>
      </c>
      <c r="AG103" s="91">
        <f t="shared" si="99"/>
        <v>0.45045146939621861</v>
      </c>
      <c r="AH103" s="91"/>
      <c r="AI103" s="90">
        <f t="shared" si="100"/>
        <v>6.403162055335968E-3</v>
      </c>
      <c r="AJ103" s="90">
        <f t="shared" si="101"/>
        <v>1.2135922330097087E-2</v>
      </c>
      <c r="AK103" s="90">
        <f t="shared" si="102"/>
        <v>-2.2924901185770751E-3</v>
      </c>
    </row>
    <row r="104" spans="1:37">
      <c r="A104" s="11" t="s">
        <v>1214</v>
      </c>
      <c r="B104" s="11" t="s">
        <v>1213</v>
      </c>
      <c r="C104" t="s">
        <v>1209</v>
      </c>
      <c r="D104" t="s">
        <v>996</v>
      </c>
      <c r="E104" s="57">
        <v>7</v>
      </c>
      <c r="F104" s="57" t="s">
        <v>1208</v>
      </c>
      <c r="G104" s="57">
        <v>5.37</v>
      </c>
      <c r="H104" s="95">
        <v>227.3</v>
      </c>
      <c r="I104" s="95">
        <v>79.099999999999994</v>
      </c>
      <c r="J104" s="95">
        <v>115.8</v>
      </c>
      <c r="K104" s="91">
        <f t="shared" si="78"/>
        <v>152.96666666666667</v>
      </c>
      <c r="L104" s="91">
        <f t="shared" si="79"/>
        <v>67.749654324781076</v>
      </c>
      <c r="M104" s="91">
        <f t="shared" si="80"/>
        <v>69.760000000000005</v>
      </c>
      <c r="N104" s="91">
        <f t="shared" si="81"/>
        <v>68.754827162390541</v>
      </c>
      <c r="O104" s="92">
        <f t="shared" si="82"/>
        <v>68.746638196109942</v>
      </c>
      <c r="P104" s="92">
        <f t="shared" si="83"/>
        <v>68.888964254430562</v>
      </c>
      <c r="Q104" s="92">
        <f t="shared" si="84"/>
        <v>68.817801225270244</v>
      </c>
      <c r="R104" s="91">
        <f t="shared" si="85"/>
        <v>2.2248134855372119</v>
      </c>
      <c r="S104" s="91">
        <f t="shared" si="86"/>
        <v>0.30454601107658219</v>
      </c>
      <c r="T104" s="92">
        <f t="shared" si="87"/>
        <v>179.38767103391282</v>
      </c>
      <c r="U104" s="92">
        <f t="shared" si="88"/>
        <v>6.7495743648113162</v>
      </c>
      <c r="V104" s="92">
        <f t="shared" si="89"/>
        <v>5.3371727334880932</v>
      </c>
      <c r="W104" s="92">
        <f t="shared" si="90"/>
        <v>3.5781987073487103</v>
      </c>
      <c r="X104" s="33">
        <f t="shared" si="91"/>
        <v>1.8863050704672735</v>
      </c>
      <c r="Y104" s="33">
        <f t="shared" si="92"/>
        <v>0.50945886493620762</v>
      </c>
      <c r="Z104" s="33">
        <f t="shared" si="93"/>
        <v>0.34799824021117459</v>
      </c>
      <c r="AA104" s="90">
        <f t="shared" si="94"/>
        <v>1.4188340807174884</v>
      </c>
      <c r="AB104" s="90">
        <f t="shared" si="95"/>
        <v>0.14836575147539843</v>
      </c>
      <c r="AC104" s="93">
        <f t="shared" si="96"/>
        <v>6.5385807509929769E-2</v>
      </c>
      <c r="AD104" s="92">
        <f t="shared" si="97"/>
        <v>1.4619669324967808</v>
      </c>
      <c r="AE104" s="92"/>
      <c r="AF104" s="91">
        <f t="shared" si="98"/>
        <v>0.17455700184823836</v>
      </c>
      <c r="AG104" s="91">
        <f t="shared" si="99"/>
        <v>0.42052925290793658</v>
      </c>
      <c r="AH104" s="91"/>
      <c r="AI104" s="90">
        <f t="shared" si="100"/>
        <v>6.7054479076989523E-3</v>
      </c>
      <c r="AJ104" s="90">
        <f t="shared" si="101"/>
        <v>1.2642225031605564E-2</v>
      </c>
      <c r="AK104" s="90">
        <f t="shared" si="102"/>
        <v>-2.2631619577718992E-3</v>
      </c>
    </row>
    <row r="105" spans="1:37">
      <c r="A105" s="11" t="s">
        <v>1212</v>
      </c>
      <c r="B105" s="11" t="s">
        <v>1212</v>
      </c>
      <c r="C105" t="s">
        <v>1209</v>
      </c>
      <c r="D105" t="s">
        <v>996</v>
      </c>
      <c r="E105" s="57">
        <v>7</v>
      </c>
      <c r="F105" s="57">
        <v>4</v>
      </c>
      <c r="G105" s="57">
        <v>5.0090000000000003</v>
      </c>
      <c r="H105" s="95">
        <v>174.2</v>
      </c>
      <c r="I105" s="95">
        <v>55.9</v>
      </c>
      <c r="J105" s="95">
        <v>47.4</v>
      </c>
      <c r="K105" s="92">
        <f t="shared" si="78"/>
        <v>89.666666666666671</v>
      </c>
      <c r="L105" s="92">
        <f t="shared" si="79"/>
        <v>58.676490066225149</v>
      </c>
      <c r="M105" s="92">
        <f t="shared" si="80"/>
        <v>58.9</v>
      </c>
      <c r="N105" s="92">
        <f t="shared" si="81"/>
        <v>58.788245033112574</v>
      </c>
      <c r="O105" s="92">
        <f t="shared" si="82"/>
        <v>58.791611309543676</v>
      </c>
      <c r="P105" s="92">
        <f t="shared" si="83"/>
        <v>58.785979235795089</v>
      </c>
      <c r="Q105" s="92">
        <f t="shared" si="84"/>
        <v>58.788795272669383</v>
      </c>
      <c r="R105" s="92">
        <f t="shared" si="85"/>
        <v>1.5252482297466403</v>
      </c>
      <c r="S105" s="92">
        <f t="shared" si="86"/>
        <v>0.23097763911344399</v>
      </c>
      <c r="T105" s="92">
        <f t="shared" si="87"/>
        <v>144.73403015696718</v>
      </c>
      <c r="U105" s="92">
        <f t="shared" si="88"/>
        <v>5.7922196970817685</v>
      </c>
      <c r="V105" s="92">
        <f t="shared" si="89"/>
        <v>4.230970495398668</v>
      </c>
      <c r="W105" s="92">
        <f t="shared" si="90"/>
        <v>3.4258609523367949</v>
      </c>
      <c r="X105" s="8">
        <f t="shared" si="91"/>
        <v>1.6907340308516812</v>
      </c>
      <c r="Y105" s="8">
        <f t="shared" si="92"/>
        <v>0.27210103329506313</v>
      </c>
      <c r="Z105" s="8">
        <f t="shared" si="93"/>
        <v>0.32089552238805974</v>
      </c>
      <c r="AA105" s="93">
        <f t="shared" si="94"/>
        <v>0.88170347003154581</v>
      </c>
      <c r="AB105" s="93">
        <f t="shared" si="95"/>
        <v>1.9045952946622258E-2</v>
      </c>
      <c r="AC105" s="93">
        <f t="shared" si="96"/>
        <v>8.5014275780824124E-3</v>
      </c>
      <c r="AD105" s="92">
        <f t="shared" si="97"/>
        <v>0.19009747071796163</v>
      </c>
      <c r="AE105" s="92"/>
      <c r="AF105" s="91">
        <f t="shared" si="98"/>
        <v>0.27309331981705248</v>
      </c>
      <c r="AG105" s="91">
        <f t="shared" si="99"/>
        <v>0.19779205878686404</v>
      </c>
      <c r="AH105" s="91"/>
      <c r="AI105" s="90">
        <f t="shared" si="100"/>
        <v>6.4967809271398924E-3</v>
      </c>
      <c r="AJ105" s="90">
        <f t="shared" si="101"/>
        <v>1.7889087656529516E-2</v>
      </c>
      <c r="AK105" s="90">
        <f t="shared" si="102"/>
        <v>-1.3896544040903922E-3</v>
      </c>
    </row>
    <row r="106" spans="1:37">
      <c r="A106" s="66" t="s">
        <v>1805</v>
      </c>
      <c r="B106" s="11" t="s">
        <v>1210</v>
      </c>
      <c r="C106" t="s">
        <v>1209</v>
      </c>
      <c r="D106" t="s">
        <v>996</v>
      </c>
      <c r="E106" s="57">
        <v>7</v>
      </c>
      <c r="F106" s="57" t="s">
        <v>1208</v>
      </c>
      <c r="G106" s="57">
        <v>8.27</v>
      </c>
      <c r="H106" s="102">
        <v>183.99</v>
      </c>
      <c r="I106" s="98">
        <v>45.8</v>
      </c>
      <c r="J106" s="102">
        <v>96</v>
      </c>
      <c r="K106" s="92">
        <f t="shared" si="78"/>
        <v>125.33</v>
      </c>
      <c r="L106" s="92">
        <f t="shared" si="79"/>
        <v>45.060513898517335</v>
      </c>
      <c r="M106" s="92">
        <f t="shared" si="80"/>
        <v>45.077999999999996</v>
      </c>
      <c r="N106" s="92">
        <f t="shared" si="81"/>
        <v>45.069256949258666</v>
      </c>
      <c r="O106" s="92">
        <f t="shared" si="82"/>
        <v>45.069819744690889</v>
      </c>
      <c r="P106" s="92">
        <f t="shared" si="83"/>
        <v>45.069963835478248</v>
      </c>
      <c r="Q106" s="92">
        <f t="shared" si="84"/>
        <v>45.069891790084569</v>
      </c>
      <c r="R106" s="92">
        <f t="shared" si="85"/>
        <v>2.7808312912969275</v>
      </c>
      <c r="S106" s="92">
        <f t="shared" si="86"/>
        <v>0.33944329851882382</v>
      </c>
      <c r="T106" s="92">
        <f t="shared" si="87"/>
        <v>120.73542837981489</v>
      </c>
      <c r="U106" s="92">
        <f t="shared" si="88"/>
        <v>4.7350904246898295</v>
      </c>
      <c r="V106" s="92">
        <f t="shared" si="89"/>
        <v>3.8929136003614415</v>
      </c>
      <c r="W106" s="92">
        <f t="shared" si="90"/>
        <v>2.334465414732604</v>
      </c>
      <c r="X106" s="8">
        <f t="shared" si="91"/>
        <v>2.0283403621262042</v>
      </c>
      <c r="Y106" s="8">
        <f t="shared" si="92"/>
        <v>0.52176748736344369</v>
      </c>
      <c r="Z106" s="8">
        <f t="shared" si="93"/>
        <v>0.24892657209630956</v>
      </c>
      <c r="AA106" s="93">
        <f t="shared" si="94"/>
        <v>1.0410273894760766</v>
      </c>
      <c r="AB106" s="93">
        <f t="shared" si="95"/>
        <v>1.9402909520787048E-3</v>
      </c>
      <c r="AC106" s="93">
        <f t="shared" si="96"/>
        <v>8.6755617274065111E-4</v>
      </c>
      <c r="AD106" s="92">
        <f t="shared" si="97"/>
        <v>1.9399145522131813E-2</v>
      </c>
      <c r="AE106" s="92"/>
      <c r="AF106" s="91">
        <f t="shared" si="98"/>
        <v>0.32500804551243168</v>
      </c>
      <c r="AG106" s="91">
        <f t="shared" si="99"/>
        <v>0.35218885608351841</v>
      </c>
      <c r="AH106" s="91"/>
      <c r="AI106" s="90">
        <f t="shared" si="100"/>
        <v>8.4631669562487983E-3</v>
      </c>
      <c r="AJ106" s="90">
        <f t="shared" si="101"/>
        <v>2.1834061135371181E-2</v>
      </c>
      <c r="AK106" s="90">
        <f t="shared" si="102"/>
        <v>-2.9017608764594616E-3</v>
      </c>
    </row>
    <row r="107" spans="1:37">
      <c r="A107" s="11"/>
      <c r="B107" s="11"/>
      <c r="J107" s="101"/>
      <c r="U107" s="92"/>
      <c r="V107" s="92"/>
      <c r="W107" s="92"/>
      <c r="X107" s="8"/>
      <c r="Y107" s="8"/>
      <c r="Z107" s="8"/>
      <c r="AA107" s="93"/>
      <c r="AB107" s="93"/>
      <c r="AC107" s="93"/>
      <c r="AD107" s="92"/>
      <c r="AE107" s="92"/>
      <c r="AF107" s="91"/>
      <c r="AG107" s="91"/>
      <c r="AH107" s="91"/>
      <c r="AI107" s="90"/>
      <c r="AJ107" s="90"/>
      <c r="AK107" s="90"/>
    </row>
    <row r="108" spans="1:37">
      <c r="A108" s="11" t="s">
        <v>1207</v>
      </c>
      <c r="B108" s="11" t="s">
        <v>1206</v>
      </c>
      <c r="C108" s="11" t="s">
        <v>1205</v>
      </c>
      <c r="D108" t="s">
        <v>1204</v>
      </c>
      <c r="E108" s="57">
        <v>7</v>
      </c>
      <c r="F108" s="57" t="s">
        <v>1203</v>
      </c>
      <c r="G108" s="57">
        <v>6.07</v>
      </c>
      <c r="H108" s="95">
        <v>121</v>
      </c>
      <c r="I108" s="95">
        <v>12.1</v>
      </c>
      <c r="J108" s="95">
        <v>105</v>
      </c>
      <c r="K108" s="91">
        <f>(H108+2*J108)/3</f>
        <v>110.33333333333333</v>
      </c>
      <c r="L108" s="91">
        <f>(5*(H108-J108)*I108)/(4*I108 + 3*(H108-J108))</f>
        <v>10.04149377593361</v>
      </c>
      <c r="M108" s="91">
        <f>(H108-J108+3*I108)/5</f>
        <v>10.459999999999999</v>
      </c>
      <c r="N108" s="92">
        <f>0.5*(M108+L108)</f>
        <v>10.250746887966805</v>
      </c>
      <c r="O108" s="92">
        <f>0.5*(H108-J108)+3/(5/(I108-0.5*(H108-J108))-4*(-3*(K108+(H108-J108))/(5*0.5*(H108-J108)*(3*K108+2*(H108-J108)))))</f>
        <v>10.265998101898608</v>
      </c>
      <c r="P108" s="92">
        <f>I108+2/(5/(0.5*(H108-J108)-I108)-6*(-(3*(K108+2*I108))/(5*I108*(3*K108+4*I108))))</f>
        <v>10.304688594823691</v>
      </c>
      <c r="Q108" s="92">
        <f>(O108+P108)/2</f>
        <v>10.285343348361149</v>
      </c>
      <c r="R108" s="92">
        <f>K108/N108</f>
        <v>10.763443341172723</v>
      </c>
      <c r="S108" s="92">
        <f>(3*K108-2*N108)/(2*(3*K108+N108))</f>
        <v>0.45494187053897289</v>
      </c>
      <c r="T108" s="92">
        <f>9*N108*K108/(N108+3*K108)</f>
        <v>29.828481703199962</v>
      </c>
      <c r="U108" s="92">
        <f>SQRT((K108+4/3*N108)/G108)</f>
        <v>4.519789833624511</v>
      </c>
      <c r="V108" s="92">
        <f>SQRT(K108/G108)</f>
        <v>4.263428892314761</v>
      </c>
      <c r="W108" s="92">
        <f>SQRT(N108/G108)</f>
        <v>1.2995213215770687</v>
      </c>
      <c r="X108" s="33">
        <f>SQRT((K108/N108) +4/3)</f>
        <v>3.4780420748613805</v>
      </c>
      <c r="Y108" s="33">
        <f>J108/H108</f>
        <v>0.86776859504132231</v>
      </c>
      <c r="Z108" s="33">
        <f>I108/H108</f>
        <v>9.9999999999999992E-2</v>
      </c>
      <c r="AA108" s="90">
        <f>2*I108/(H108-J108)</f>
        <v>1.5125</v>
      </c>
      <c r="AB108" s="90">
        <f>5*M108/L108 +1 -6</f>
        <v>0.20838842975206617</v>
      </c>
      <c r="AC108" s="93">
        <f>SQRT(5)*LN(M108/L108)</f>
        <v>9.1304408872121337E-2</v>
      </c>
      <c r="AD108" s="92">
        <f>100*(M108-L108)/(M108+L108)</f>
        <v>2.0413450290030442</v>
      </c>
      <c r="AE108" s="92"/>
      <c r="AF108" s="91">
        <f>-(2*H108*I108-(H108-J108)*(H108+2*J108))/(2*H108*I108+(H108-J108)*(H108+2*J108))</f>
        <v>0.28790642250918019</v>
      </c>
      <c r="AG108" s="91">
        <f>(4*J108*I108)/(2*H108*I108+(H108-J108)*(H108+2*J108))</f>
        <v>0.61793244327715757</v>
      </c>
      <c r="AH108" s="91"/>
      <c r="AI108" s="90">
        <f>(H108+J108)/((H108-J108)*(H108+2*J108))</f>
        <v>4.2673716012084591E-2</v>
      </c>
      <c r="AJ108" s="90">
        <f>1/I108</f>
        <v>8.2644628099173556E-2</v>
      </c>
      <c r="AK108" s="90">
        <f>-J108/((H108-J108)*(H108+2*J108))</f>
        <v>-1.9826283987915409E-2</v>
      </c>
    </row>
    <row r="109" spans="1:37">
      <c r="A109" s="11"/>
      <c r="B109" s="11"/>
      <c r="C109" s="11"/>
      <c r="H109" s="95"/>
      <c r="I109" s="108"/>
      <c r="J109" s="95"/>
      <c r="K109" s="91"/>
      <c r="L109" s="91"/>
      <c r="M109" s="91"/>
      <c r="U109" s="92"/>
      <c r="V109" s="92"/>
      <c r="W109" s="92"/>
      <c r="X109" s="33"/>
      <c r="Y109" s="33"/>
      <c r="Z109" s="33"/>
      <c r="AA109" s="90"/>
      <c r="AB109" s="90"/>
      <c r="AC109" s="93"/>
      <c r="AD109" s="92"/>
      <c r="AE109" s="92"/>
      <c r="AF109" s="91"/>
      <c r="AG109" s="91"/>
      <c r="AH109" s="91"/>
      <c r="AI109" s="90"/>
      <c r="AJ109" s="90"/>
      <c r="AK109" s="90"/>
    </row>
    <row r="110" spans="1:37">
      <c r="A110" t="s">
        <v>1202</v>
      </c>
      <c r="B110" t="s">
        <v>1201</v>
      </c>
      <c r="C110" t="s">
        <v>1192</v>
      </c>
      <c r="D110" t="s">
        <v>1115</v>
      </c>
      <c r="E110" s="57">
        <v>7</v>
      </c>
      <c r="F110" s="57" t="s">
        <v>1196</v>
      </c>
      <c r="G110" s="57">
        <v>10.97</v>
      </c>
      <c r="H110" s="95">
        <v>392.5</v>
      </c>
      <c r="I110" s="95">
        <v>61.9</v>
      </c>
      <c r="J110" s="95">
        <v>120</v>
      </c>
      <c r="K110" s="92">
        <f>(H110+2*J110)/3</f>
        <v>210.83333333333334</v>
      </c>
      <c r="L110" s="92">
        <f>(5*(H110-J110)*I110)/(4*I110 + 3*(H110-J110))</f>
        <v>79.183879447939162</v>
      </c>
      <c r="M110" s="92">
        <f>(H110-J110+3*I110)/5</f>
        <v>91.64</v>
      </c>
      <c r="N110" s="92">
        <f>0.5*(M110+L110)</f>
        <v>85.411939723969581</v>
      </c>
      <c r="O110" s="92">
        <f>0.5*(H110-J110)+3/(5/(I110-0.5*(H110-J110))-4*(-3*(K110+(H110-J110))/(5*0.5*(H110-J110)*(3*K110+2*(H110-J110)))))</f>
        <v>86.265932384410618</v>
      </c>
      <c r="P110" s="92">
        <f>I110+2/(5/(0.5*(H110-J110)-I110)-6*(-(3*(K110+2*I110))/(5*I110*(3*K110+4*I110))))</f>
        <v>84.280736249209809</v>
      </c>
      <c r="Q110" s="92">
        <f>(O110+P110)/2</f>
        <v>85.273334316810207</v>
      </c>
      <c r="R110" s="92">
        <f>K110/N110</f>
        <v>2.4684292853516139</v>
      </c>
      <c r="S110" s="92">
        <f>(3*K110-2*N110)/(2*(3*K110+N110))</f>
        <v>0.3215409126149727</v>
      </c>
      <c r="T110" s="92">
        <f>9*N110*K110/(N110+3*K110)</f>
        <v>225.75074554205963</v>
      </c>
      <c r="U110" s="92">
        <f>SQRT((K110+4/3*N110)/G110)</f>
        <v>5.4406210403450581</v>
      </c>
      <c r="V110" s="92">
        <f>SQRT(K110/G110)</f>
        <v>4.3839573841212864</v>
      </c>
      <c r="W110" s="92">
        <f>SQRT(N110/G110)</f>
        <v>2.7903326359307674</v>
      </c>
      <c r="X110" s="33">
        <f>SQRT((K110/N110) +4/3)</f>
        <v>1.9498109187008228</v>
      </c>
      <c r="Y110" s="33">
        <f>J110/H110</f>
        <v>0.30573248407643311</v>
      </c>
      <c r="Z110" s="33">
        <f>I110/H110</f>
        <v>0.15770700636942675</v>
      </c>
      <c r="AA110" s="90">
        <f>2*I110/(H110-J110)</f>
        <v>0.45431192660550457</v>
      </c>
      <c r="AB110" s="90">
        <f>5*M110/L110 +1 -6</f>
        <v>0.78653133939025643</v>
      </c>
      <c r="AC110" s="93">
        <f>SQRT(5)*LN(M110/L110)</f>
        <v>0.32667862354036808</v>
      </c>
      <c r="AD110" s="92">
        <f>100*(M110-L110)/(M110+L110)</f>
        <v>7.2917911666190705</v>
      </c>
      <c r="AE110" s="92"/>
      <c r="AF110" s="91">
        <f>-(2*H110*I110-(H110-J110)*(H110+2*J110))/(2*H110*I110+(H110-J110)*(H110+2*J110))</f>
        <v>0.56015392779514617</v>
      </c>
      <c r="AG110" s="91">
        <f>(4*J110*I110)/(2*H110*I110+(H110-J110)*(H110+2*J110))</f>
        <v>0.13447523226645214</v>
      </c>
      <c r="AH110" s="91"/>
      <c r="AI110" s="90">
        <f>(H110+J110)/((H110-J110)*(H110+2*J110))</f>
        <v>2.9734924030895313E-3</v>
      </c>
      <c r="AJ110" s="90">
        <f>1/I110</f>
        <v>1.6155088852988692E-2</v>
      </c>
      <c r="AK110" s="90">
        <f>-J110/((H110-J110)*(H110+2*J110))</f>
        <v>-6.9623236755267067E-4</v>
      </c>
    </row>
    <row r="111" spans="1:37">
      <c r="A111" s="11" t="s">
        <v>1200</v>
      </c>
      <c r="B111" s="11" t="s">
        <v>1199</v>
      </c>
      <c r="C111" t="s">
        <v>1192</v>
      </c>
      <c r="D111" t="s">
        <v>1115</v>
      </c>
      <c r="E111" s="57">
        <v>7</v>
      </c>
      <c r="F111" s="57" t="s">
        <v>1196</v>
      </c>
      <c r="G111" s="57">
        <v>10.01</v>
      </c>
      <c r="H111" s="95">
        <v>367</v>
      </c>
      <c r="I111" s="95">
        <v>79.7</v>
      </c>
      <c r="J111" s="95">
        <v>106</v>
      </c>
      <c r="K111" s="92">
        <f>(H111+2*J111)/3</f>
        <v>193</v>
      </c>
      <c r="L111" s="92">
        <f>(5*(H111-J111)*I111)/(4*I111 + 3*(H111-J111))</f>
        <v>94.398711199854787</v>
      </c>
      <c r="M111" s="92">
        <f>(H111-J111+3*I111)/5</f>
        <v>100.02000000000001</v>
      </c>
      <c r="N111" s="92">
        <f>0.5*(M111+L111)</f>
        <v>97.209355599927392</v>
      </c>
      <c r="O111" s="92">
        <f>0.5*(H111-J111)+3/(5/(I111-0.5*(H111-J111))-4*(-3*(K111+(H111-J111))/(5*0.5*(H111-J111)*(3*K111+2*(H111-J111)))))</f>
        <v>97.475520518924924</v>
      </c>
      <c r="P111" s="92">
        <f>I111+2/(5/(0.5*(H111-J111)-I111)-6*(-(3*(K111+2*I111))/(5*I111*(3*K111+4*I111))))</f>
        <v>96.918392794516436</v>
      </c>
      <c r="Q111" s="92">
        <f>(O111+P111)/2</f>
        <v>97.196956656720687</v>
      </c>
      <c r="R111" s="92">
        <f>K111/N111</f>
        <v>1.9854056104878053</v>
      </c>
      <c r="S111" s="92">
        <f>(3*K111-2*N111)/(2*(3*K111+N111))</f>
        <v>0.28436554863911029</v>
      </c>
      <c r="T111" s="92">
        <f>9*N111*K111/(N111+3*K111)</f>
        <v>249.70469467591022</v>
      </c>
      <c r="U111" s="92">
        <f>SQRT((K111+4/3*N111)/G111)</f>
        <v>5.6770607179180956</v>
      </c>
      <c r="V111" s="92">
        <f>SQRT(K111/G111)</f>
        <v>4.3909815851036411</v>
      </c>
      <c r="W111" s="92">
        <f>SQRT(N111/G111)</f>
        <v>3.1162837379893831</v>
      </c>
      <c r="X111" s="33">
        <f>SQRT((K111/N111) +4/3)</f>
        <v>1.8217406357166046</v>
      </c>
      <c r="Y111" s="33">
        <f>J111/H111</f>
        <v>0.28882833787465939</v>
      </c>
      <c r="Z111" s="33">
        <f>I111/H111</f>
        <v>0.21716621253405996</v>
      </c>
      <c r="AA111" s="90">
        <f>2*I111/(H111-J111)</f>
        <v>0.61072796934865903</v>
      </c>
      <c r="AB111" s="90">
        <f>5*M111/L111 +1 -6</f>
        <v>0.29774181917824016</v>
      </c>
      <c r="AC111" s="93">
        <f>SQRT(5)*LN(M111/L111)</f>
        <v>0.12934031089047304</v>
      </c>
      <c r="AD111" s="92">
        <f>100*(M111-L111)/(M111+L111)</f>
        <v>2.891331171497562</v>
      </c>
      <c r="AE111" s="92"/>
      <c r="AF111" s="91">
        <f>-(2*H111*I111-(H111-J111)*(H111+2*J111))/(2*H111*I111+(H111-J111)*(H111+2*J111))</f>
        <v>0.44184586497012673</v>
      </c>
      <c r="AG111" s="91">
        <f>(4*J111*I111)/(2*H111*I111+(H111-J111)*(H111+2*J111))</f>
        <v>0.16121073109854653</v>
      </c>
      <c r="AH111" s="91"/>
      <c r="AI111" s="90">
        <f>(H111+J111)/((H111-J111)*(H111+2*J111))</f>
        <v>3.129983655265056E-3</v>
      </c>
      <c r="AJ111" s="90">
        <f>1/I111</f>
        <v>1.2547051442910916E-2</v>
      </c>
      <c r="AK111" s="90">
        <f>-J111/((H111-J111)*(H111+2*J111))</f>
        <v>-7.0143396925601681E-4</v>
      </c>
    </row>
    <row r="112" spans="1:37">
      <c r="A112" s="11" t="s">
        <v>1198</v>
      </c>
      <c r="B112" s="11" t="s">
        <v>1197</v>
      </c>
      <c r="C112" t="s">
        <v>1192</v>
      </c>
      <c r="D112" t="s">
        <v>1115</v>
      </c>
      <c r="E112" s="57">
        <v>7</v>
      </c>
      <c r="F112" s="57" t="s">
        <v>1196</v>
      </c>
      <c r="G112" s="57">
        <v>7.22</v>
      </c>
      <c r="H112" s="95">
        <v>403</v>
      </c>
      <c r="I112" s="95">
        <v>60</v>
      </c>
      <c r="J112" s="95">
        <v>105</v>
      </c>
      <c r="K112" s="92">
        <f>(H112+2*J112)/3</f>
        <v>204.33333333333334</v>
      </c>
      <c r="L112" s="92">
        <f>(5*(H112-J112)*I112)/(4*I112 + 3*(H112-J112))</f>
        <v>78.835978835978835</v>
      </c>
      <c r="M112" s="92">
        <f>(H112-J112+3*I112)/5</f>
        <v>95.6</v>
      </c>
      <c r="N112" s="92">
        <f>0.5*(M112+L112)</f>
        <v>87.217989417989415</v>
      </c>
      <c r="O112" s="92">
        <f>0.5*(H112-J112)+3/(5/(I112-0.5*(H112-J112))-4*(-3*(K112+(H112-J112))/(5*0.5*(H112-J112)*(3*K112+2*(H112-J112)))))</f>
        <v>88.378312456689912</v>
      </c>
      <c r="P112" s="92">
        <f>I112+2/(5/(0.5*(H112-J112)-I112)-6*(-(3*(K112+2*I112))/(5*I112*(3*K112+4*I112))))</f>
        <v>85.318579142029108</v>
      </c>
      <c r="Q112" s="92">
        <f>(O112+P112)/2</f>
        <v>86.84844579935951</v>
      </c>
      <c r="R112" s="92">
        <f>K112/N112</f>
        <v>2.3427888523555893</v>
      </c>
      <c r="S112" s="92">
        <f>(3*K112-2*N112)/(2*(3*K112+N112))</f>
        <v>0.31316249210374392</v>
      </c>
      <c r="T112" s="92">
        <f>9*N112*K112/(N112+3*K112)</f>
        <v>229.06278468080993</v>
      </c>
      <c r="U112" s="92">
        <f>SQRT((K112+4/3*N112)/G112)</f>
        <v>6.6639143360703343</v>
      </c>
      <c r="V112" s="92">
        <f>SQRT(K112/G112)</f>
        <v>5.3198698947565983</v>
      </c>
      <c r="W112" s="92">
        <f>SQRT(N112/G112)</f>
        <v>3.4756371985593684</v>
      </c>
      <c r="X112" s="33">
        <f>SQRT((K112/N112) +4/3)</f>
        <v>1.9173216176971777</v>
      </c>
      <c r="Y112" s="33">
        <f>J112/H112</f>
        <v>0.26054590570719605</v>
      </c>
      <c r="Z112" s="33">
        <f>I112/H112</f>
        <v>0.14888337468982629</v>
      </c>
      <c r="AA112" s="90">
        <f>2*I112/(H112-J112)</f>
        <v>0.40268456375838924</v>
      </c>
      <c r="AB112" s="90">
        <f>5*M112/L112 +1 -6</f>
        <v>1.0632214765100674</v>
      </c>
      <c r="AC112" s="93">
        <f>SQRT(5)*LN(M112/L112)</f>
        <v>0.43112138164740915</v>
      </c>
      <c r="AD112" s="92">
        <f>100*(M112-L112)/(M112+L112)</f>
        <v>9.610414821465401</v>
      </c>
      <c r="AE112" s="92"/>
      <c r="AF112" s="91">
        <f>-(2*H112*I112-(H112-J112)*(H112+2*J112))/(2*H112*I112+(H112-J112)*(H112+2*J112))</f>
        <v>0.58136031926036857</v>
      </c>
      <c r="AG112" s="91">
        <f>(4*J112*I112)/(2*H112*I112+(H112-J112)*(H112+2*J112))</f>
        <v>0.10907485478327865</v>
      </c>
      <c r="AH112" s="91"/>
      <c r="AI112" s="90">
        <f>(H112+J112)/((H112-J112)*(H112+2*J112))</f>
        <v>2.7809102554277017E-3</v>
      </c>
      <c r="AJ112" s="90">
        <f>1/I112</f>
        <v>1.6666666666666666E-2</v>
      </c>
      <c r="AK112" s="90">
        <f>-J112/((H112-J112)*(H112+2*J112))</f>
        <v>-5.747944425588754E-4</v>
      </c>
    </row>
    <row r="113" spans="1:37">
      <c r="A113" s="11" t="s">
        <v>1795</v>
      </c>
      <c r="B113" t="s">
        <v>1195</v>
      </c>
      <c r="C113" t="s">
        <v>1192</v>
      </c>
      <c r="D113" t="s">
        <v>1115</v>
      </c>
      <c r="E113" s="57">
        <v>7</v>
      </c>
      <c r="F113" s="57">
        <v>4</v>
      </c>
      <c r="G113" s="57">
        <v>5.96</v>
      </c>
      <c r="H113" s="95">
        <v>430</v>
      </c>
      <c r="I113" s="95">
        <v>64</v>
      </c>
      <c r="J113" s="95">
        <v>94</v>
      </c>
      <c r="K113" s="92">
        <f>(H113+2*J113)/3</f>
        <v>206</v>
      </c>
      <c r="L113" s="92">
        <f>(5*(H113-J113)*I113)/(4*I113 + 3*(H113-J113))</f>
        <v>85.063291139240505</v>
      </c>
      <c r="M113" s="92">
        <f>(H113-J113+3*I113)/5</f>
        <v>105.6</v>
      </c>
      <c r="N113" s="92">
        <f>0.5*(M113+L113)</f>
        <v>95.33164556962025</v>
      </c>
      <c r="O113" s="92">
        <f>0.5*(H113-J113)+3/(5/(I113-0.5*(H113-J113))-4*(-3*(K113+(H113-J113))/(5*0.5*(H113-J113)*(3*K113+2*(H113-J113)))))</f>
        <v>96.698257797394291</v>
      </c>
      <c r="P113" s="92">
        <f>I113+2/(5/(0.5*(H113-J113)-I113)-6*(-(3*(K113+2*I113))/(5*I113*(3*K113+4*I113))))</f>
        <v>92.746817628362237</v>
      </c>
      <c r="Q113" s="92">
        <f>(O113+P113)/2</f>
        <v>94.722537712878264</v>
      </c>
      <c r="R113" s="92">
        <f>K113/N113</f>
        <v>2.1608774166135545</v>
      </c>
      <c r="S113" s="92">
        <f>(3*K113-2*N113)/(2*(3*K113+N113))</f>
        <v>0.29953578501309597</v>
      </c>
      <c r="T113" s="92">
        <f>9*N113*K113/(N113+3*K113)</f>
        <v>247.77376972381339</v>
      </c>
      <c r="U113" s="92">
        <f>SQRT((K113+4/3*N113)/G113)</f>
        <v>7.4760115335370818</v>
      </c>
      <c r="V113" s="92">
        <f>SQRT(K113/G113)</f>
        <v>5.8790950314875623</v>
      </c>
      <c r="W113" s="92">
        <f>SQRT(N113/G113)</f>
        <v>3.9994052739424015</v>
      </c>
      <c r="X113" s="8">
        <f>SQRT((K113/N113) +4/3)</f>
        <v>1.869280810886071</v>
      </c>
      <c r="Y113" s="8">
        <f>J113/H113</f>
        <v>0.21860465116279071</v>
      </c>
      <c r="Z113" s="8">
        <f>I113/H113</f>
        <v>0.14883720930232558</v>
      </c>
      <c r="AA113" s="93">
        <f>2*I113/(H113-J113)</f>
        <v>0.38095238095238093</v>
      </c>
      <c r="AB113" s="93">
        <f>5*M113/L113 +1 -6</f>
        <v>1.2071428571428573</v>
      </c>
      <c r="AC113" s="93">
        <f>SQRT(5)*LN(M113/L113)</f>
        <v>0.4835782999401404</v>
      </c>
      <c r="AD113" s="92">
        <f>100*(M113-L113)/(M113+L113)</f>
        <v>10.771191841937538</v>
      </c>
      <c r="AE113" s="92"/>
      <c r="AF113" s="91">
        <f>-(2*H113*I113-(H113-J113)*(H113+2*J113))/(2*H113*I113+(H113-J113)*(H113+2*J113))</f>
        <v>0.58094774028505303</v>
      </c>
      <c r="AG113" s="91">
        <f>(4*J113*I113)/(2*H113*I113+(H113-J113)*(H113+2*J113))</f>
        <v>9.1606773053965154E-2</v>
      </c>
      <c r="AH113" s="91"/>
      <c r="AI113" s="90">
        <f>(H113+J113)/((H113-J113)*(H113+2*J113))</f>
        <v>2.5235013099090767E-3</v>
      </c>
      <c r="AJ113" s="90">
        <f>1/I113</f>
        <v>1.5625E-2</v>
      </c>
      <c r="AK113" s="90">
        <f>-J113/((H113-J113)*(H113+2*J113))</f>
        <v>-4.5268916628139928E-4</v>
      </c>
    </row>
    <row r="114" spans="1:37">
      <c r="A114" s="11" t="s">
        <v>1795</v>
      </c>
      <c r="B114" t="s">
        <v>1193</v>
      </c>
      <c r="C114" t="s">
        <v>1192</v>
      </c>
      <c r="D114" t="s">
        <v>1115</v>
      </c>
      <c r="E114" s="57">
        <v>7</v>
      </c>
      <c r="F114" s="57">
        <v>4</v>
      </c>
      <c r="G114" s="57">
        <v>5.9080000000000004</v>
      </c>
      <c r="H114" s="95">
        <v>413</v>
      </c>
      <c r="I114" s="95">
        <v>61</v>
      </c>
      <c r="J114" s="95">
        <v>112</v>
      </c>
      <c r="K114" s="92">
        <f>(H114+2*J114)/3</f>
        <v>212.33333333333334</v>
      </c>
      <c r="L114" s="92">
        <f>(5*(H114-J114)*I114)/(4*I114 + 3*(H114-J114))</f>
        <v>80.039232781168266</v>
      </c>
      <c r="M114" s="92">
        <f>(H114-J114+3*I114)/5</f>
        <v>96.8</v>
      </c>
      <c r="N114" s="92">
        <f>0.5*(M114+L114)</f>
        <v>88.419616390584139</v>
      </c>
      <c r="O114" s="92">
        <f>0.5*(H114-J114)+3/(5/(I114-0.5*(H114-J114))-4*(-3*(K114+(H114-J114))/(5*0.5*(H114-J114)*(3*K114+2*(H114-J114)))))</f>
        <v>89.597353553501563</v>
      </c>
      <c r="P114" s="92">
        <f>I114+2/(5/(0.5*(H114-J114)-I114)-6*(-(3*(K114+2*I114))/(5*I114*(3*K114+4*I114))))</f>
        <v>86.555111320329672</v>
      </c>
      <c r="Q114" s="92">
        <f>(O114+P114)/2</f>
        <v>88.076232436915618</v>
      </c>
      <c r="R114" s="92">
        <f>K114/N114</f>
        <v>2.4014278957666328</v>
      </c>
      <c r="S114" s="92">
        <f>(3*K114-2*N114)/(2*(3*K114+N114))</f>
        <v>0.31716868197500581</v>
      </c>
      <c r="T114" s="92">
        <f>9*N114*K114/(N114+3*K114)</f>
        <v>232.92709916384268</v>
      </c>
      <c r="U114" s="92">
        <f>SQRT((K114+4/3*N114)/G114)</f>
        <v>7.4762788399303908</v>
      </c>
      <c r="V114" s="92">
        <f>SQRT(K114/G114)</f>
        <v>5.994995279766564</v>
      </c>
      <c r="W114" s="92">
        <f>SQRT(N114/G114)</f>
        <v>3.8686021591752811</v>
      </c>
      <c r="X114" s="8">
        <f>SQRT((K114/N114) +4/3)</f>
        <v>1.9325530339682702</v>
      </c>
      <c r="Y114" s="8">
        <f>J114/H114</f>
        <v>0.2711864406779661</v>
      </c>
      <c r="Z114" s="8">
        <f>I114/H114</f>
        <v>0.14769975786924938</v>
      </c>
      <c r="AA114" s="93">
        <f>2*I114/(H114-J114)</f>
        <v>0.40531561461794019</v>
      </c>
      <c r="AB114" s="93">
        <f>5*M114/L114 +1 -6</f>
        <v>1.0470344752464458</v>
      </c>
      <c r="AC114" s="93">
        <f>SQRT(5)*LN(M114/L114)</f>
        <v>0.42514376121115138</v>
      </c>
      <c r="AD114" s="92">
        <f>100*(M114-L114)/(M114+L114)</f>
        <v>9.4779687489215316</v>
      </c>
      <c r="AE114" s="92"/>
      <c r="AF114" s="91">
        <f>-(2*H114*I114-(H114-J114)*(H114+2*J114))/(2*H114*I114+(H114-J114)*(H114+2*J114))</f>
        <v>0.58379831738413945</v>
      </c>
      <c r="AG114" s="91">
        <f>(4*J114*I114)/(2*H114*I114+(H114-J114)*(H114+2*J114))</f>
        <v>0.11286825291277573</v>
      </c>
      <c r="AH114" s="91"/>
      <c r="AI114" s="90">
        <f>(H114+J114)/((H114-J114)*(H114+2*J114))</f>
        <v>2.7381256617137017E-3</v>
      </c>
      <c r="AJ114" s="90">
        <f>1/I114</f>
        <v>1.6393442622950821E-2</v>
      </c>
      <c r="AK114" s="90">
        <f>-J114/((H114-J114)*(H114+2*J114))</f>
        <v>-5.8413347449892304E-4</v>
      </c>
    </row>
    <row r="115" spans="1:37">
      <c r="A115" s="11"/>
      <c r="H115" s="95"/>
      <c r="I115" s="95"/>
      <c r="J115" s="95"/>
      <c r="U115" s="92"/>
      <c r="V115" s="92"/>
      <c r="W115" s="92"/>
      <c r="X115" s="8"/>
      <c r="Y115" s="8"/>
      <c r="Z115" s="8"/>
      <c r="AA115" s="93"/>
      <c r="AB115" s="93"/>
      <c r="AC115" s="93"/>
      <c r="AD115" s="92"/>
      <c r="AE115" s="92"/>
      <c r="AF115" s="91"/>
      <c r="AG115" s="91"/>
      <c r="AH115" s="91"/>
      <c r="AI115" s="90"/>
      <c r="AJ115" s="90"/>
      <c r="AK115" s="90"/>
    </row>
    <row r="116" spans="1:37" ht="16.5" customHeight="1">
      <c r="A116" t="s">
        <v>1191</v>
      </c>
      <c r="B116" t="s">
        <v>1190</v>
      </c>
      <c r="C116" t="s">
        <v>1187</v>
      </c>
      <c r="D116" t="s">
        <v>1186</v>
      </c>
      <c r="E116" s="57">
        <v>7</v>
      </c>
      <c r="F116" s="57" t="s">
        <v>1134</v>
      </c>
      <c r="G116" s="57">
        <v>5.0330000000000004</v>
      </c>
      <c r="H116" s="95">
        <v>223.7</v>
      </c>
      <c r="I116" s="95">
        <v>74.599999999999994</v>
      </c>
      <c r="J116" s="95">
        <v>112.4</v>
      </c>
      <c r="K116" s="92">
        <f>(H116+2*J116)/3</f>
        <v>149.5</v>
      </c>
      <c r="L116" s="92">
        <f>(5*(H116-J116)*I116)/(4*I116 + 3*(H116-J116))</f>
        <v>65.656966629764341</v>
      </c>
      <c r="M116" s="92">
        <f>(H116-J116+3*I116)/5</f>
        <v>67.02</v>
      </c>
      <c r="N116" s="92">
        <f>0.5*(M116+L116)</f>
        <v>66.338483314882168</v>
      </c>
      <c r="O116" s="92">
        <f>0.5*(H116-J116)+3/(5/(I116-0.5*(H116-J116))-4*(-3*(K116+(H116-J116))/(5*0.5*(H116-J116)*(3*K116+2*(H116-J116)))))</f>
        <v>66.340920336674131</v>
      </c>
      <c r="P116" s="92">
        <f>I116+2/(5/(0.5*(H116-J116)-I116)-6*(-(3*(K116+2*I116))/(5*I116*(3*K116+4*I116))))</f>
        <v>66.421819371292713</v>
      </c>
      <c r="Q116" s="92">
        <f>(O116+P116)/2</f>
        <v>66.381369853983415</v>
      </c>
      <c r="R116" s="92">
        <f>K116/N116</f>
        <v>2.2535938798959796</v>
      </c>
      <c r="S116" s="92">
        <f>(3*K116-2*N116)/(2*(3*K116+N116))</f>
        <v>0.30672049934646589</v>
      </c>
      <c r="T116" s="92">
        <f>9*N116*K116/(N116+3*K116)</f>
        <v>173.37171208622004</v>
      </c>
      <c r="U116" s="92">
        <f>SQRT((K116+4/3*N116)/G116)</f>
        <v>6.875916369924016</v>
      </c>
      <c r="V116" s="92">
        <f>SQRT(K116/G116)</f>
        <v>5.4501333840771338</v>
      </c>
      <c r="W116" s="92">
        <f>SQRT(N116/G116)</f>
        <v>3.6305239313999493</v>
      </c>
      <c r="X116" s="8">
        <f>SQRT((K116/N116) +4/3)</f>
        <v>1.8939184811467764</v>
      </c>
      <c r="Y116" s="8">
        <f>J116/H116</f>
        <v>0.50245864997764866</v>
      </c>
      <c r="Z116" s="8">
        <f>I116/H116</f>
        <v>0.33348234242288777</v>
      </c>
      <c r="AA116" s="93">
        <f>2*I116/(H116-J116)</f>
        <v>1.3405211141060198</v>
      </c>
      <c r="AB116" s="93">
        <f>5*M116/L116 +1 -6</f>
        <v>0.10379959966180863</v>
      </c>
      <c r="AC116" s="93">
        <f>SQRT(5)*LN(M116/L116)</f>
        <v>4.5945314845463561E-2</v>
      </c>
      <c r="AD116" s="92">
        <f>100*(M116-L116)/(M116+L116)</f>
        <v>1.0273323281796198</v>
      </c>
      <c r="AE116" s="92"/>
      <c r="AF116" s="91">
        <f>-(2*H116*I116-(H116-J116)*(H116+2*J116))/(2*H116*I116+(H116-J116)*(H116+2*J116))</f>
        <v>0.19859764360232524</v>
      </c>
      <c r="AG116" s="91">
        <f>(4*J116*I116)/(2*H116*I116+(H116-J116)*(H116+2*J116))</f>
        <v>0.40267154608448208</v>
      </c>
      <c r="AH116" s="91"/>
      <c r="AI116" s="90">
        <f>(H116+J116)/((H116-J116)*(H116+2*J116))</f>
        <v>6.7330354450945108E-3</v>
      </c>
      <c r="AJ116" s="90">
        <f>1/I116</f>
        <v>1.3404825737265416E-2</v>
      </c>
      <c r="AK116" s="90">
        <f>-J116/((H116-J116)*(H116+2*J116))</f>
        <v>-2.2516905207635319E-3</v>
      </c>
    </row>
    <row r="117" spans="1:37" ht="16.5" customHeight="1">
      <c r="A117" s="66" t="s">
        <v>1804</v>
      </c>
      <c r="B117" t="s">
        <v>1188</v>
      </c>
      <c r="C117" t="s">
        <v>1187</v>
      </c>
      <c r="D117" t="s">
        <v>1186</v>
      </c>
      <c r="E117" s="57">
        <v>7</v>
      </c>
      <c r="F117" s="57" t="s">
        <v>1134</v>
      </c>
      <c r="G117" s="57">
        <v>10.199999999999999</v>
      </c>
      <c r="H117" s="98">
        <v>177</v>
      </c>
      <c r="I117" s="98">
        <v>32.799999999999997</v>
      </c>
      <c r="J117" s="98">
        <v>99.2</v>
      </c>
      <c r="K117" s="92">
        <f>(H117+2*J117)/3</f>
        <v>125.13333333333333</v>
      </c>
      <c r="L117" s="92">
        <f>(5*(H117-J117)*I117)/(4*I117 + 3*(H117-J117))</f>
        <v>34.995063082830498</v>
      </c>
      <c r="M117" s="92">
        <f>(H117-J117+3*I117)/5</f>
        <v>35.239999999999995</v>
      </c>
      <c r="N117" s="92">
        <f>0.5*(M117+L117)</f>
        <v>35.117531541415246</v>
      </c>
      <c r="O117" s="92">
        <f>0.5*(H117-J117)+3/(5/(I117-0.5*(H117-J117))-4*(-3*(K117+(H117-J117))/(5*0.5*(H117-J117)*(3*K117+2*(H117-J117)))))</f>
        <v>35.131597930688983</v>
      </c>
      <c r="P117" s="92">
        <f>I117+2/(5/(0.5*(H117-J117)-I117)-6*(-(3*(K117+2*I117))/(5*I117*(3*K117+4*I117))))</f>
        <v>35.122893962459699</v>
      </c>
      <c r="Q117" s="92">
        <f>(O117+P117)/2</f>
        <v>35.127245946574341</v>
      </c>
      <c r="R117" s="92">
        <f>K117/N117</f>
        <v>3.5632724693579192</v>
      </c>
      <c r="S117" s="92">
        <f>(3*K117-2*N117)/(2*(3*K117+N117))</f>
        <v>0.3716831967825262</v>
      </c>
      <c r="T117" s="92">
        <f>9*N117*K117/(N117+3*K117)</f>
        <v>96.340255855679317</v>
      </c>
      <c r="U117" s="92">
        <f>SQRT((K117+4/3*N117)/G117)</f>
        <v>4.1059104782114968</v>
      </c>
      <c r="V117" s="92">
        <f>SQRT(K117/G117)</f>
        <v>3.5025667525700563</v>
      </c>
      <c r="W117" s="92">
        <f>SQRT(N117/G117)</f>
        <v>1.855504041805988</v>
      </c>
      <c r="X117" s="8">
        <f>SQRT((K117/N117) +4/3)</f>
        <v>2.2128275582817682</v>
      </c>
      <c r="Y117" s="8">
        <f>J117/H117</f>
        <v>0.56045197740112995</v>
      </c>
      <c r="Z117" s="8">
        <f>I117/H117</f>
        <v>0.18531073446327681</v>
      </c>
      <c r="AA117" s="93">
        <f>2*I117/(H117-J117)</f>
        <v>0.84318766066838047</v>
      </c>
      <c r="AB117" s="93">
        <f>5*M117/L117 +1 -6</f>
        <v>3.4995924509373388E-2</v>
      </c>
      <c r="AC117" s="93">
        <f>SQRT(5)*LN(M117/L117)</f>
        <v>1.5596136553495475E-2</v>
      </c>
      <c r="AD117" s="92">
        <f>100*(M117-L117)/(M117+L117)</f>
        <v>0.34873880141694297</v>
      </c>
      <c r="AE117" s="92"/>
      <c r="AF117" s="91">
        <f>-(2*H117*I117-(H117-J117)*(H117+2*J117))/(2*H117*I117+(H117-J117)*(H117+2*J117))</f>
        <v>0.43106504787673466</v>
      </c>
      <c r="AG117" s="91">
        <f>(4*J117*I117)/(2*H117*I117+(H117-J117)*(H117+2*J117))</f>
        <v>0.31886071893010121</v>
      </c>
      <c r="AH117" s="91"/>
      <c r="AI117" s="90">
        <f>(H117+J117)/((H117-J117)*(H117+2*J117))</f>
        <v>9.4569220423664623E-3</v>
      </c>
      <c r="AJ117" s="90">
        <f>1/I117</f>
        <v>3.0487804878048783E-2</v>
      </c>
      <c r="AK117" s="90">
        <f>-J117/((H117-J117)*(H117+2*J117))</f>
        <v>-3.396548394651532E-3</v>
      </c>
    </row>
    <row r="118" spans="1:37">
      <c r="U118" s="92"/>
      <c r="V118" s="92"/>
      <c r="W118" s="92"/>
      <c r="X118" s="8"/>
      <c r="Y118" s="8"/>
      <c r="Z118" s="8"/>
      <c r="AA118" s="93"/>
      <c r="AB118" s="93"/>
      <c r="AC118" s="93"/>
      <c r="AD118" s="92"/>
      <c r="AE118" s="92"/>
      <c r="AF118" s="91"/>
      <c r="AG118" s="91"/>
      <c r="AH118" s="91"/>
      <c r="AI118" s="90"/>
      <c r="AJ118" s="90"/>
      <c r="AK118" s="90"/>
    </row>
    <row r="119" spans="1:37">
      <c r="A119" s="11" t="s">
        <v>1185</v>
      </c>
      <c r="B119" t="s">
        <v>931</v>
      </c>
      <c r="C119" t="s">
        <v>1129</v>
      </c>
      <c r="D119" t="s">
        <v>990</v>
      </c>
      <c r="E119" s="57">
        <v>7</v>
      </c>
      <c r="F119" s="57" t="s">
        <v>1142</v>
      </c>
      <c r="G119" s="57">
        <v>3.5779999999999998</v>
      </c>
      <c r="H119" s="95">
        <v>282.3</v>
      </c>
      <c r="I119" s="95">
        <v>153.9</v>
      </c>
      <c r="J119" s="95">
        <v>155.80000000000001</v>
      </c>
      <c r="K119" s="92">
        <f t="shared" ref="K119:K146" si="103">(H119+2*J119)/3</f>
        <v>197.9666666666667</v>
      </c>
      <c r="L119" s="92">
        <f t="shared" ref="L119:L146" si="104">(5*(H119-J119)*I119)/(4*I119 + 3*(H119-J119))</f>
        <v>97.821073258968951</v>
      </c>
      <c r="M119" s="92">
        <f t="shared" ref="M119:M146" si="105">(H119-J119+3*I119)/5</f>
        <v>117.64000000000001</v>
      </c>
      <c r="N119" s="92">
        <f t="shared" ref="N119:N146" si="106">0.5*(M119+L119)</f>
        <v>107.73053662948448</v>
      </c>
      <c r="O119" s="92">
        <f t="shared" ref="O119:O146" si="107">0.5*(H119-J119)+3/(5/(I119-0.5*(H119-J119))-4*(-3*(K119+(H119-J119))/(5*0.5*(H119-J119)*(3*K119+2*(H119-J119)))))</f>
        <v>106.2949031997648</v>
      </c>
      <c r="P119" s="92">
        <f t="shared" ref="P119:P146" si="108">I119+2/(5/(0.5*(H119-J119)-I119)-6*(-(3*(K119+2*I119))/(5*I119*(3*K119+4*I119))))</f>
        <v>109.82348284252252</v>
      </c>
      <c r="Q119" s="92">
        <f t="shared" ref="Q119:Q146" si="109">(O119+P119)/2</f>
        <v>108.05919302114367</v>
      </c>
      <c r="R119" s="92">
        <f t="shared" ref="R119:R146" si="110">K119/N119</f>
        <v>1.8376095846206502</v>
      </c>
      <c r="S119" s="92">
        <f t="shared" ref="S119:S146" si="111">(3*K119-2*N119)/(2*(3*K119+N119))</f>
        <v>0.26968533080030144</v>
      </c>
      <c r="T119" s="92">
        <f t="shared" ref="T119:T146" si="112">9*N119*K119/(N119+3*K119)</f>
        <v>273.56776407540195</v>
      </c>
      <c r="U119" s="92">
        <f t="shared" ref="U119:U146" si="113">SQRT((K119+4/3*N119)/G119)</f>
        <v>9.7710999443846802</v>
      </c>
      <c r="V119" s="92">
        <f t="shared" ref="V119:V146" si="114">SQRT(K119/G119)</f>
        <v>7.4383372847292772</v>
      </c>
      <c r="W119" s="92">
        <f t="shared" ref="W119:W146" si="115">SQRT(N119/G119)</f>
        <v>5.4871804618875464</v>
      </c>
      <c r="X119" s="8">
        <f t="shared" ref="X119:X146" si="116">SQRT((K119/N119) +4/3)</f>
        <v>1.7807141595309404</v>
      </c>
      <c r="Y119" s="8">
        <f t="shared" ref="Y119:Y146" si="117">J119/H119</f>
        <v>0.55189514700673048</v>
      </c>
      <c r="Z119" s="8">
        <f t="shared" ref="Z119:Z146" si="118">I119/H119</f>
        <v>0.54516471838469716</v>
      </c>
      <c r="AA119" s="93">
        <f t="shared" ref="AA119:AA146" si="119">2*I119/(H119-J119)</f>
        <v>2.4332015810276681</v>
      </c>
      <c r="AB119" s="93">
        <f t="shared" ref="AB119:AB146" si="120">5*M119/L119 +1 -6</f>
        <v>1.0130192851474318</v>
      </c>
      <c r="AC119" s="93">
        <f t="shared" ref="AC119:AC146" si="121">SQRT(5)*LN(M119/L119)</f>
        <v>0.41253013932672189</v>
      </c>
      <c r="AD119" s="92">
        <f t="shared" ref="AD119:AD146" si="122">100*(M119-L119)/(M119+L119)</f>
        <v>9.1983792901700241</v>
      </c>
      <c r="AE119" s="92"/>
      <c r="AF119" s="91">
        <f t="shared" ref="AF119:AF146" si="123">-(2*H119*I119-(H119-J119)*(H119+2*J119))/(2*H119*I119+(H119-J119)*(H119+2*J119))</f>
        <v>-7.2605659451664945E-2</v>
      </c>
      <c r="AG119" s="91">
        <f t="shared" ref="AG119:AG146" si="124">(4*J119*I119)/(2*H119*I119+(H119-J119)*(H119+2*J119))</f>
        <v>0.59196585810332769</v>
      </c>
      <c r="AH119" s="91"/>
      <c r="AI119" s="90">
        <f t="shared" ref="AI119:AI146" si="125">(H119+J119)/((H119-J119)*(H119+2*J119))</f>
        <v>5.8313539429522944E-3</v>
      </c>
      <c r="AJ119" s="90">
        <f t="shared" ref="AJ119:AJ146" si="126">1/I119</f>
        <v>6.4977257959714096E-3</v>
      </c>
      <c r="AK119" s="90">
        <f t="shared" ref="AK119:AK146" si="127">-J119/((H119-J119)*(H119+2*J119))</f>
        <v>-2.0737843969686541E-3</v>
      </c>
    </row>
    <row r="120" spans="1:37">
      <c r="A120" s="11" t="s">
        <v>1184</v>
      </c>
      <c r="B120" t="s">
        <v>931</v>
      </c>
      <c r="C120" t="s">
        <v>1129</v>
      </c>
      <c r="D120" t="s">
        <v>990</v>
      </c>
      <c r="E120" s="57">
        <v>7</v>
      </c>
      <c r="F120" s="57" t="s">
        <v>1142</v>
      </c>
      <c r="G120" s="57">
        <v>3.5739999999999998</v>
      </c>
      <c r="H120" s="95">
        <v>292.5</v>
      </c>
      <c r="I120" s="95">
        <v>156.6</v>
      </c>
      <c r="J120" s="95">
        <v>168.9</v>
      </c>
      <c r="K120" s="92">
        <f t="shared" si="103"/>
        <v>210.1</v>
      </c>
      <c r="L120" s="92">
        <f t="shared" si="104"/>
        <v>97.050541516245502</v>
      </c>
      <c r="M120" s="92">
        <f t="shared" si="105"/>
        <v>118.67999999999999</v>
      </c>
      <c r="N120" s="92">
        <f t="shared" si="106"/>
        <v>107.86527075812275</v>
      </c>
      <c r="O120" s="92">
        <f t="shared" si="107"/>
        <v>106.23722805198167</v>
      </c>
      <c r="P120" s="92">
        <f t="shared" si="108"/>
        <v>110.27154952626549</v>
      </c>
      <c r="Q120" s="92">
        <f t="shared" si="109"/>
        <v>108.25438878912358</v>
      </c>
      <c r="R120" s="92">
        <f t="shared" si="110"/>
        <v>1.947800237493758</v>
      </c>
      <c r="S120" s="92">
        <f t="shared" si="111"/>
        <v>0.280810730947811</v>
      </c>
      <c r="T120" s="92">
        <f t="shared" si="112"/>
        <v>276.30999256718951</v>
      </c>
      <c r="U120" s="92">
        <f t="shared" si="113"/>
        <v>9.9512010367361956</v>
      </c>
      <c r="V120" s="92">
        <f t="shared" si="114"/>
        <v>7.6671816408960574</v>
      </c>
      <c r="W120" s="92">
        <f t="shared" si="115"/>
        <v>5.4936823551498213</v>
      </c>
      <c r="X120" s="8">
        <f t="shared" si="116"/>
        <v>1.8113899554836588</v>
      </c>
      <c r="Y120" s="8">
        <f t="shared" si="117"/>
        <v>0.57743589743589741</v>
      </c>
      <c r="Z120" s="8">
        <f t="shared" si="118"/>
        <v>0.53538461538461535</v>
      </c>
      <c r="AA120" s="93">
        <f t="shared" si="119"/>
        <v>2.5339805825242721</v>
      </c>
      <c r="AB120" s="93">
        <f t="shared" si="120"/>
        <v>1.1143399174199295</v>
      </c>
      <c r="AC120" s="93">
        <f t="shared" si="121"/>
        <v>0.44989443094345538</v>
      </c>
      <c r="AD120" s="92">
        <f t="shared" si="122"/>
        <v>10.026145733345638</v>
      </c>
      <c r="AE120" s="92"/>
      <c r="AF120" s="91">
        <f t="shared" si="123"/>
        <v>-8.0853214633089754E-2</v>
      </c>
      <c r="AG120" s="91">
        <f t="shared" si="124"/>
        <v>0.62412344598813285</v>
      </c>
      <c r="AH120" s="91"/>
      <c r="AI120" s="90">
        <f t="shared" si="125"/>
        <v>5.9225919542088921E-3</v>
      </c>
      <c r="AJ120" s="90">
        <f t="shared" si="126"/>
        <v>6.3856960408684551E-3</v>
      </c>
      <c r="AK120" s="90">
        <f t="shared" si="127"/>
        <v>-2.168022932522501E-3</v>
      </c>
    </row>
    <row r="121" spans="1:37">
      <c r="A121" s="11" t="s">
        <v>1183</v>
      </c>
      <c r="B121" t="s">
        <v>1183</v>
      </c>
      <c r="C121" t="s">
        <v>1129</v>
      </c>
      <c r="D121" t="s">
        <v>990</v>
      </c>
      <c r="E121" s="57">
        <v>7</v>
      </c>
      <c r="F121" s="57">
        <v>4</v>
      </c>
      <c r="G121" s="92">
        <v>3.63</v>
      </c>
      <c r="H121" s="95">
        <v>300.5</v>
      </c>
      <c r="I121" s="95">
        <v>158.5</v>
      </c>
      <c r="J121" s="95">
        <v>153.69999999999999</v>
      </c>
      <c r="K121" s="92">
        <f t="shared" si="103"/>
        <v>202.63333333333333</v>
      </c>
      <c r="L121" s="92">
        <f t="shared" si="104"/>
        <v>108.28276247207742</v>
      </c>
      <c r="M121" s="92">
        <f t="shared" si="105"/>
        <v>124.46</v>
      </c>
      <c r="N121" s="92">
        <f t="shared" si="106"/>
        <v>116.3713812360387</v>
      </c>
      <c r="O121" s="92">
        <f t="shared" si="107"/>
        <v>115.40009557485487</v>
      </c>
      <c r="P121" s="92">
        <f t="shared" si="108"/>
        <v>117.89160990363762</v>
      </c>
      <c r="Q121" s="92">
        <f t="shared" si="109"/>
        <v>116.64585273924624</v>
      </c>
      <c r="R121" s="92">
        <f t="shared" si="110"/>
        <v>1.7412643141386073</v>
      </c>
      <c r="S121" s="92">
        <f t="shared" si="111"/>
        <v>0.25898941146043952</v>
      </c>
      <c r="T121" s="92">
        <f t="shared" si="112"/>
        <v>293.02067354639763</v>
      </c>
      <c r="U121" s="92">
        <f t="shared" si="113"/>
        <v>9.9280493505379805</v>
      </c>
      <c r="V121" s="92">
        <f t="shared" si="114"/>
        <v>7.4714024729473651</v>
      </c>
      <c r="W121" s="92">
        <f t="shared" si="115"/>
        <v>5.6619989178262129</v>
      </c>
      <c r="X121" s="8">
        <f t="shared" si="116"/>
        <v>1.7534530639489443</v>
      </c>
      <c r="Y121" s="8">
        <f t="shared" si="117"/>
        <v>0.51148086522462555</v>
      </c>
      <c r="Z121" s="8">
        <f t="shared" si="118"/>
        <v>0.52745424292845255</v>
      </c>
      <c r="AA121" s="93">
        <f t="shared" si="119"/>
        <v>2.1594005449591278</v>
      </c>
      <c r="AB121" s="93">
        <f t="shared" si="120"/>
        <v>0.74699043313076441</v>
      </c>
      <c r="AC121" s="93">
        <f t="shared" si="121"/>
        <v>0.31134653288567571</v>
      </c>
      <c r="AD121" s="92">
        <f t="shared" si="122"/>
        <v>6.9506941294741162</v>
      </c>
      <c r="AE121" s="92"/>
      <c r="AF121" s="91">
        <f t="shared" si="123"/>
        <v>-3.2622428552427217E-2</v>
      </c>
      <c r="AG121" s="91">
        <f t="shared" si="124"/>
        <v>0.52816661320634961</v>
      </c>
      <c r="AH121" s="91"/>
      <c r="AI121" s="90">
        <f t="shared" si="125"/>
        <v>5.0896618680560625E-3</v>
      </c>
      <c r="AJ121" s="90">
        <f t="shared" si="126"/>
        <v>6.3091482649842269E-3</v>
      </c>
      <c r="AK121" s="90">
        <f t="shared" si="127"/>
        <v>-1.7223272327613756E-3</v>
      </c>
    </row>
    <row r="122" spans="1:37">
      <c r="A122" s="11" t="s">
        <v>1182</v>
      </c>
      <c r="B122" t="s">
        <v>1182</v>
      </c>
      <c r="C122" t="s">
        <v>1129</v>
      </c>
      <c r="D122" t="s">
        <v>990</v>
      </c>
      <c r="E122" s="57">
        <v>7</v>
      </c>
      <c r="F122" s="57">
        <v>4</v>
      </c>
      <c r="G122" s="57">
        <v>3.6240000000000001</v>
      </c>
      <c r="H122" s="95">
        <v>299</v>
      </c>
      <c r="I122" s="95">
        <v>158</v>
      </c>
      <c r="J122" s="95">
        <v>154.4</v>
      </c>
      <c r="K122" s="92">
        <f t="shared" si="103"/>
        <v>202.6</v>
      </c>
      <c r="L122" s="92">
        <f t="shared" si="104"/>
        <v>107.18145993619817</v>
      </c>
      <c r="M122" s="92">
        <f t="shared" si="105"/>
        <v>123.72</v>
      </c>
      <c r="N122" s="92">
        <f t="shared" si="106"/>
        <v>115.45072996809908</v>
      </c>
      <c r="O122" s="92">
        <f t="shared" si="107"/>
        <v>114.43969195769174</v>
      </c>
      <c r="P122" s="92">
        <f t="shared" si="108"/>
        <v>117.02674118136423</v>
      </c>
      <c r="Q122" s="92">
        <f t="shared" si="109"/>
        <v>115.73321656952798</v>
      </c>
      <c r="R122" s="92">
        <f t="shared" si="110"/>
        <v>1.7548611434157382</v>
      </c>
      <c r="S122" s="92">
        <f t="shared" si="111"/>
        <v>0.26055870007931131</v>
      </c>
      <c r="T122" s="92">
        <f t="shared" si="112"/>
        <v>291.06484418358917</v>
      </c>
      <c r="U122" s="92">
        <f t="shared" si="113"/>
        <v>9.9187414114732526</v>
      </c>
      <c r="V122" s="92">
        <f t="shared" si="114"/>
        <v>7.4769697914792426</v>
      </c>
      <c r="W122" s="92">
        <f t="shared" si="115"/>
        <v>5.6442240780939894</v>
      </c>
      <c r="X122" s="8">
        <f t="shared" si="116"/>
        <v>1.7573259449370999</v>
      </c>
      <c r="Y122" s="8">
        <f t="shared" si="117"/>
        <v>0.51638795986622077</v>
      </c>
      <c r="Z122" s="8">
        <f t="shared" si="118"/>
        <v>0.52842809364548493</v>
      </c>
      <c r="AA122" s="93">
        <f t="shared" si="119"/>
        <v>2.1853388658367914</v>
      </c>
      <c r="AB122" s="93">
        <f t="shared" si="120"/>
        <v>0.77152056305478212</v>
      </c>
      <c r="AC122" s="93">
        <f t="shared" si="121"/>
        <v>0.32087052794850163</v>
      </c>
      <c r="AD122" s="92">
        <f t="shared" si="122"/>
        <v>7.1625965762068811</v>
      </c>
      <c r="AE122" s="92"/>
      <c r="AF122" s="91">
        <f t="shared" si="123"/>
        <v>-3.6168514575821722E-2</v>
      </c>
      <c r="AG122" s="91">
        <f t="shared" si="124"/>
        <v>0.53506494531942095</v>
      </c>
      <c r="AH122" s="91"/>
      <c r="AI122" s="90">
        <f t="shared" si="125"/>
        <v>5.1588455655091469E-3</v>
      </c>
      <c r="AJ122" s="90">
        <f t="shared" si="126"/>
        <v>6.3291139240506328E-3</v>
      </c>
      <c r="AK122" s="90">
        <f t="shared" si="127"/>
        <v>-1.7567837567591803E-3</v>
      </c>
    </row>
    <row r="123" spans="1:37" ht="15.75" customHeight="1">
      <c r="A123" s="11" t="s">
        <v>1181</v>
      </c>
      <c r="B123" t="s">
        <v>1181</v>
      </c>
      <c r="C123" t="s">
        <v>1129</v>
      </c>
      <c r="D123" t="s">
        <v>990</v>
      </c>
      <c r="E123" s="57">
        <v>7</v>
      </c>
      <c r="F123" s="57">
        <v>4</v>
      </c>
      <c r="G123" s="57">
        <v>3.6193</v>
      </c>
      <c r="H123" s="95">
        <v>298.60000000000002</v>
      </c>
      <c r="I123" s="95">
        <v>157.6</v>
      </c>
      <c r="J123" s="95">
        <v>153.69999999999999</v>
      </c>
      <c r="K123" s="92">
        <f t="shared" si="103"/>
        <v>202</v>
      </c>
      <c r="L123" s="92">
        <f t="shared" si="104"/>
        <v>107.20232841986669</v>
      </c>
      <c r="M123" s="92">
        <f t="shared" si="105"/>
        <v>123.54</v>
      </c>
      <c r="N123" s="92">
        <f t="shared" si="106"/>
        <v>115.37116420993334</v>
      </c>
      <c r="O123" s="92">
        <f t="shared" si="107"/>
        <v>114.37982464133671</v>
      </c>
      <c r="P123" s="92">
        <f t="shared" si="108"/>
        <v>116.92030202263585</v>
      </c>
      <c r="Q123" s="92">
        <f t="shared" si="109"/>
        <v>115.65006333198627</v>
      </c>
      <c r="R123" s="92">
        <f t="shared" si="110"/>
        <v>1.7508707776618588</v>
      </c>
      <c r="S123" s="92">
        <f t="shared" si="111"/>
        <v>0.26010027167576516</v>
      </c>
      <c r="T123" s="92">
        <f t="shared" si="112"/>
        <v>290.75847072897267</v>
      </c>
      <c r="U123" s="92">
        <f t="shared" si="113"/>
        <v>9.9153466465087092</v>
      </c>
      <c r="V123" s="92">
        <f t="shared" si="114"/>
        <v>7.4707360633482853</v>
      </c>
      <c r="W123" s="92">
        <f t="shared" si="115"/>
        <v>5.6459411389213185</v>
      </c>
      <c r="X123" s="8">
        <f t="shared" si="116"/>
        <v>1.7561902263123981</v>
      </c>
      <c r="Y123" s="8">
        <f t="shared" si="117"/>
        <v>0.51473543201607497</v>
      </c>
      <c r="Z123" s="8">
        <f t="shared" si="118"/>
        <v>0.52779638312123234</v>
      </c>
      <c r="AA123" s="93">
        <f t="shared" si="119"/>
        <v>2.1752933057280877</v>
      </c>
      <c r="AB123" s="93">
        <f t="shared" si="120"/>
        <v>0.76200171306659925</v>
      </c>
      <c r="AC123" s="93">
        <f t="shared" si="121"/>
        <v>0.31717958255222717</v>
      </c>
      <c r="AD123" s="92">
        <f t="shared" si="122"/>
        <v>7.0804831051217993</v>
      </c>
      <c r="AE123" s="92"/>
      <c r="AF123" s="91">
        <f t="shared" si="123"/>
        <v>-3.4680290215718036E-2</v>
      </c>
      <c r="AG123" s="91">
        <f t="shared" si="124"/>
        <v>0.53258660618270548</v>
      </c>
      <c r="AH123" s="91"/>
      <c r="AI123" s="90">
        <f t="shared" si="125"/>
        <v>5.1509291715921062E-3</v>
      </c>
      <c r="AJ123" s="90">
        <f t="shared" si="126"/>
        <v>6.3451776649746192E-3</v>
      </c>
      <c r="AK123" s="90">
        <f t="shared" si="127"/>
        <v>-1.750382077545228E-3</v>
      </c>
    </row>
    <row r="124" spans="1:37" ht="15.75" customHeight="1">
      <c r="A124" s="11" t="s">
        <v>1179</v>
      </c>
      <c r="B124" t="s">
        <v>1180</v>
      </c>
      <c r="C124" t="s">
        <v>1129</v>
      </c>
      <c r="D124" t="s">
        <v>990</v>
      </c>
      <c r="E124" s="57">
        <v>7</v>
      </c>
      <c r="F124" s="57">
        <v>4</v>
      </c>
      <c r="G124" s="57">
        <v>3.83</v>
      </c>
      <c r="H124" s="95">
        <v>264.8</v>
      </c>
      <c r="I124" s="95">
        <v>142.6</v>
      </c>
      <c r="J124" s="95">
        <v>154.5</v>
      </c>
      <c r="K124" s="92">
        <f t="shared" si="103"/>
        <v>191.26666666666665</v>
      </c>
      <c r="L124" s="92">
        <f t="shared" si="104"/>
        <v>87.256074558970369</v>
      </c>
      <c r="M124" s="92">
        <f t="shared" si="105"/>
        <v>107.61999999999998</v>
      </c>
      <c r="N124" s="92">
        <f t="shared" si="106"/>
        <v>97.438037279485172</v>
      </c>
      <c r="O124" s="92">
        <f t="shared" si="107"/>
        <v>95.858037289731755</v>
      </c>
      <c r="P124" s="92">
        <f t="shared" si="108"/>
        <v>99.739348275382469</v>
      </c>
      <c r="Q124" s="92">
        <f t="shared" si="109"/>
        <v>97.798692782557112</v>
      </c>
      <c r="R124" s="92">
        <f t="shared" si="110"/>
        <v>1.9629568904189778</v>
      </c>
      <c r="S124" s="92">
        <f t="shared" si="111"/>
        <v>0.28225748869715506</v>
      </c>
      <c r="T124" s="92">
        <f t="shared" si="112"/>
        <v>249.88130597114485</v>
      </c>
      <c r="U124" s="92">
        <f t="shared" si="113"/>
        <v>9.1575141385303827</v>
      </c>
      <c r="V124" s="92">
        <f t="shared" si="114"/>
        <v>7.0667586246213121</v>
      </c>
      <c r="W124" s="92">
        <f t="shared" si="115"/>
        <v>5.0438815216104285</v>
      </c>
      <c r="X124" s="8">
        <f t="shared" si="116"/>
        <v>1.8155688430220185</v>
      </c>
      <c r="Y124" s="8">
        <f t="shared" si="117"/>
        <v>0.5834592145015105</v>
      </c>
      <c r="Z124" s="8">
        <f t="shared" si="118"/>
        <v>0.53851963746223563</v>
      </c>
      <c r="AA124" s="93">
        <f t="shared" si="119"/>
        <v>2.5856754306436986</v>
      </c>
      <c r="AB124" s="93">
        <f t="shared" si="120"/>
        <v>1.1669058884414429</v>
      </c>
      <c r="AC124" s="93">
        <f t="shared" si="121"/>
        <v>0.4690361050302741</v>
      </c>
      <c r="AD124" s="92">
        <f t="shared" si="122"/>
        <v>10.449679616708103</v>
      </c>
      <c r="AE124" s="92"/>
      <c r="AF124" s="91">
        <f t="shared" si="123"/>
        <v>-8.8111253350776755E-2</v>
      </c>
      <c r="AG124" s="91">
        <f t="shared" si="124"/>
        <v>0.63486853717029834</v>
      </c>
      <c r="AH124" s="91"/>
      <c r="AI124" s="90">
        <f t="shared" si="125"/>
        <v>6.6250445962040853E-3</v>
      </c>
      <c r="AJ124" s="90">
        <f t="shared" si="126"/>
        <v>7.0126227208976164E-3</v>
      </c>
      <c r="AK124" s="90">
        <f t="shared" si="127"/>
        <v>-2.4411385406952805E-3</v>
      </c>
    </row>
    <row r="125" spans="1:37">
      <c r="A125" s="11" t="s">
        <v>1179</v>
      </c>
      <c r="B125" t="s">
        <v>1178</v>
      </c>
      <c r="C125" t="s">
        <v>1129</v>
      </c>
      <c r="D125" t="s">
        <v>990</v>
      </c>
      <c r="E125" s="57">
        <v>7</v>
      </c>
      <c r="F125" s="57" t="s">
        <v>1142</v>
      </c>
      <c r="G125" s="57">
        <v>3.8260000000000001</v>
      </c>
      <c r="H125" s="95">
        <v>269.5</v>
      </c>
      <c r="I125" s="95">
        <v>143.5</v>
      </c>
      <c r="J125" s="95">
        <v>163.30000000000001</v>
      </c>
      <c r="K125" s="92">
        <f t="shared" si="103"/>
        <v>198.70000000000002</v>
      </c>
      <c r="L125" s="92">
        <f t="shared" si="104"/>
        <v>85.366905668832629</v>
      </c>
      <c r="M125" s="92">
        <f t="shared" si="105"/>
        <v>107.34</v>
      </c>
      <c r="N125" s="92">
        <f t="shared" si="106"/>
        <v>96.353452834416316</v>
      </c>
      <c r="O125" s="92">
        <f t="shared" si="107"/>
        <v>94.562451830140049</v>
      </c>
      <c r="P125" s="92">
        <f t="shared" si="108"/>
        <v>98.952857992238904</v>
      </c>
      <c r="Q125" s="92">
        <f t="shared" si="109"/>
        <v>96.757654911189476</v>
      </c>
      <c r="R125" s="92">
        <f t="shared" si="110"/>
        <v>2.0621990614230143</v>
      </c>
      <c r="S125" s="92">
        <f t="shared" si="111"/>
        <v>0.29127813045047318</v>
      </c>
      <c r="T125" s="92">
        <f t="shared" si="112"/>
        <v>248.8382128769459</v>
      </c>
      <c r="U125" s="92">
        <f t="shared" si="113"/>
        <v>9.2473031974734816</v>
      </c>
      <c r="V125" s="92">
        <f t="shared" si="114"/>
        <v>7.2065341785563968</v>
      </c>
      <c r="W125" s="92">
        <f t="shared" si="115"/>
        <v>5.0183524357578051</v>
      </c>
      <c r="X125" s="8">
        <f t="shared" si="116"/>
        <v>1.8426970436716796</v>
      </c>
      <c r="Y125" s="8">
        <f t="shared" si="117"/>
        <v>0.60593692022263457</v>
      </c>
      <c r="Z125" s="8">
        <f t="shared" si="118"/>
        <v>0.53246753246753242</v>
      </c>
      <c r="AA125" s="93">
        <f t="shared" si="119"/>
        <v>2.7024482109227876</v>
      </c>
      <c r="AB125" s="93">
        <f t="shared" si="120"/>
        <v>1.2869796649540346</v>
      </c>
      <c r="AC125" s="93">
        <f t="shared" si="121"/>
        <v>0.51215541031614109</v>
      </c>
      <c r="AD125" s="92">
        <f t="shared" si="122"/>
        <v>11.40233882896143</v>
      </c>
      <c r="AE125" s="92"/>
      <c r="AF125" s="91">
        <f t="shared" si="123"/>
        <v>-9.98254419123695E-2</v>
      </c>
      <c r="AG125" s="91">
        <f t="shared" si="124"/>
        <v>0.6664248410548792</v>
      </c>
      <c r="AH125" s="91"/>
      <c r="AI125" s="90">
        <f t="shared" si="125"/>
        <v>6.8366541970390727E-3</v>
      </c>
      <c r="AJ125" s="90">
        <f t="shared" si="126"/>
        <v>6.9686411149825784E-3</v>
      </c>
      <c r="AK125" s="90">
        <f t="shared" si="127"/>
        <v>-2.5795416598347518E-3</v>
      </c>
    </row>
    <row r="126" spans="1:37">
      <c r="A126" s="11" t="s">
        <v>1177</v>
      </c>
      <c r="B126" s="34" t="s">
        <v>1176</v>
      </c>
      <c r="C126" t="s">
        <v>1129</v>
      </c>
      <c r="D126" t="s">
        <v>990</v>
      </c>
      <c r="E126" s="57">
        <v>7</v>
      </c>
      <c r="F126" s="57" t="s">
        <v>1142</v>
      </c>
      <c r="G126" s="92">
        <v>4.28</v>
      </c>
      <c r="H126" s="96">
        <v>266</v>
      </c>
      <c r="I126" s="95">
        <v>133.5</v>
      </c>
      <c r="J126" s="95">
        <v>182.5</v>
      </c>
      <c r="K126" s="92">
        <f t="shared" si="103"/>
        <v>210.33333333333334</v>
      </c>
      <c r="L126" s="92">
        <f t="shared" si="104"/>
        <v>71.046845124282981</v>
      </c>
      <c r="M126" s="92">
        <f t="shared" si="105"/>
        <v>96.8</v>
      </c>
      <c r="N126" s="92">
        <f t="shared" si="106"/>
        <v>83.923422562141496</v>
      </c>
      <c r="O126" s="92">
        <f t="shared" si="107"/>
        <v>81.399707006000398</v>
      </c>
      <c r="P126" s="92">
        <f t="shared" si="108"/>
        <v>87.466968872741973</v>
      </c>
      <c r="Q126" s="92">
        <f t="shared" si="109"/>
        <v>84.433337939371185</v>
      </c>
      <c r="R126" s="92">
        <f t="shared" si="110"/>
        <v>2.5062530448825657</v>
      </c>
      <c r="S126" s="92">
        <f t="shared" si="111"/>
        <v>0.32391801713242896</v>
      </c>
      <c r="T126" s="92">
        <f t="shared" si="112"/>
        <v>222.21546237887466</v>
      </c>
      <c r="U126" s="92">
        <f t="shared" si="113"/>
        <v>8.6768468109161851</v>
      </c>
      <c r="V126" s="92">
        <f t="shared" si="114"/>
        <v>7.0102283971840293</v>
      </c>
      <c r="W126" s="92">
        <f t="shared" si="115"/>
        <v>4.4281233383416243</v>
      </c>
      <c r="X126" s="8">
        <f t="shared" si="116"/>
        <v>1.9594862536430051</v>
      </c>
      <c r="Y126" s="8">
        <f t="shared" si="117"/>
        <v>0.68609022556390975</v>
      </c>
      <c r="Z126" s="8">
        <f t="shared" si="118"/>
        <v>0.50187969924812026</v>
      </c>
      <c r="AA126" s="93">
        <f t="shared" si="119"/>
        <v>3.1976047904191618</v>
      </c>
      <c r="AB126" s="93">
        <f t="shared" si="120"/>
        <v>1.8124066473793983</v>
      </c>
      <c r="AC126" s="93">
        <f t="shared" si="121"/>
        <v>0.69163269506289726</v>
      </c>
      <c r="AD126" s="92">
        <f t="shared" si="122"/>
        <v>15.343246312820458</v>
      </c>
      <c r="AE126" s="92"/>
      <c r="AF126" s="91">
        <f t="shared" si="123"/>
        <v>-0.1481967981699209</v>
      </c>
      <c r="AG126" s="91">
        <f t="shared" si="124"/>
        <v>0.78776660024816003</v>
      </c>
      <c r="AH126" s="91"/>
      <c r="AI126" s="90">
        <f t="shared" si="125"/>
        <v>8.5122939540886525E-3</v>
      </c>
      <c r="AJ126" s="90">
        <f t="shared" si="126"/>
        <v>7.4906367041198503E-3</v>
      </c>
      <c r="AK126" s="90">
        <f t="shared" si="127"/>
        <v>-3.4637539501029637E-3</v>
      </c>
    </row>
    <row r="127" spans="1:37">
      <c r="A127" s="11" t="s">
        <v>1173</v>
      </c>
      <c r="B127" t="s">
        <v>1175</v>
      </c>
      <c r="C127" t="s">
        <v>1129</v>
      </c>
      <c r="D127" t="s">
        <v>990</v>
      </c>
      <c r="E127" s="57">
        <v>7</v>
      </c>
      <c r="F127" s="57" t="s">
        <v>1142</v>
      </c>
      <c r="G127" s="57">
        <v>3.73</v>
      </c>
      <c r="H127" s="95">
        <v>282.60000000000002</v>
      </c>
      <c r="I127" s="95">
        <v>145.5</v>
      </c>
      <c r="J127" s="95">
        <v>161.5</v>
      </c>
      <c r="K127" s="92">
        <f t="shared" si="103"/>
        <v>201.86666666666667</v>
      </c>
      <c r="L127" s="92">
        <f t="shared" si="104"/>
        <v>93.198191050460181</v>
      </c>
      <c r="M127" s="92">
        <f t="shared" si="105"/>
        <v>111.52000000000001</v>
      </c>
      <c r="N127" s="92">
        <f t="shared" si="106"/>
        <v>102.35909552523009</v>
      </c>
      <c r="O127" s="92">
        <f t="shared" si="107"/>
        <v>101.11377661482561</v>
      </c>
      <c r="P127" s="92">
        <f t="shared" si="108"/>
        <v>104.33913749597625</v>
      </c>
      <c r="Q127" s="92">
        <f t="shared" si="109"/>
        <v>102.72645705540093</v>
      </c>
      <c r="R127" s="92">
        <f t="shared" si="110"/>
        <v>1.9721419540768543</v>
      </c>
      <c r="S127" s="92">
        <f t="shared" si="111"/>
        <v>0.28312497959513344</v>
      </c>
      <c r="T127" s="92">
        <f t="shared" si="112"/>
        <v>262.67902471437435</v>
      </c>
      <c r="U127" s="92">
        <f t="shared" si="113"/>
        <v>9.5241397928447018</v>
      </c>
      <c r="V127" s="92">
        <f t="shared" si="114"/>
        <v>7.3566126564191379</v>
      </c>
      <c r="W127" s="92">
        <f t="shared" si="115"/>
        <v>5.2385223835349093</v>
      </c>
      <c r="X127" s="8">
        <f t="shared" si="116"/>
        <v>1.8180966111321444</v>
      </c>
      <c r="Y127" s="8">
        <f t="shared" si="117"/>
        <v>0.57147912243453636</v>
      </c>
      <c r="Z127" s="8">
        <f t="shared" si="118"/>
        <v>0.5148619957537155</v>
      </c>
      <c r="AA127" s="93">
        <f t="shared" si="119"/>
        <v>2.4029727497935585</v>
      </c>
      <c r="AB127" s="93">
        <f t="shared" si="120"/>
        <v>0.98294874305123958</v>
      </c>
      <c r="AC127" s="93">
        <f t="shared" si="121"/>
        <v>0.40131971980461639</v>
      </c>
      <c r="AD127" s="92">
        <f t="shared" si="122"/>
        <v>8.9497708315641376</v>
      </c>
      <c r="AE127" s="92"/>
      <c r="AF127" s="91">
        <f t="shared" si="123"/>
        <v>-5.7197195740491501E-2</v>
      </c>
      <c r="AG127" s="91">
        <f t="shared" si="124"/>
        <v>0.60416612566202899</v>
      </c>
      <c r="AH127" s="91"/>
      <c r="AI127" s="90">
        <f t="shared" si="125"/>
        <v>6.0555105282161419E-3</v>
      </c>
      <c r="AJ127" s="90">
        <f t="shared" si="126"/>
        <v>6.8728522336769758E-3</v>
      </c>
      <c r="AK127" s="90">
        <f t="shared" si="127"/>
        <v>-2.20212778722564E-3</v>
      </c>
    </row>
    <row r="128" spans="1:37">
      <c r="A128" s="11" t="s">
        <v>1173</v>
      </c>
      <c r="B128" t="s">
        <v>1174</v>
      </c>
      <c r="C128" t="s">
        <v>1129</v>
      </c>
      <c r="D128" t="s">
        <v>990</v>
      </c>
      <c r="E128" s="57">
        <v>7</v>
      </c>
      <c r="F128" s="57" t="s">
        <v>1142</v>
      </c>
      <c r="G128" s="57">
        <v>3.86</v>
      </c>
      <c r="H128" s="95">
        <v>282.7</v>
      </c>
      <c r="I128" s="95">
        <v>143.1</v>
      </c>
      <c r="J128" s="95">
        <v>162.30000000000001</v>
      </c>
      <c r="K128" s="92">
        <f t="shared" si="103"/>
        <v>202.43333333333331</v>
      </c>
      <c r="L128" s="92">
        <f t="shared" si="104"/>
        <v>92.273136246786621</v>
      </c>
      <c r="M128" s="92">
        <f t="shared" si="105"/>
        <v>109.93999999999998</v>
      </c>
      <c r="N128" s="92">
        <f t="shared" si="106"/>
        <v>101.1065681233933</v>
      </c>
      <c r="O128" s="92">
        <f t="shared" si="107"/>
        <v>99.940764420359699</v>
      </c>
      <c r="P128" s="92">
        <f t="shared" si="108"/>
        <v>103.01459493099193</v>
      </c>
      <c r="Q128" s="92">
        <f t="shared" si="109"/>
        <v>101.47767967567582</v>
      </c>
      <c r="R128" s="92">
        <f t="shared" si="110"/>
        <v>2.0021778712365945</v>
      </c>
      <c r="S128" s="92">
        <f t="shared" si="111"/>
        <v>0.28591410778863191</v>
      </c>
      <c r="T128" s="92">
        <f t="shared" si="112"/>
        <v>260.02872467992762</v>
      </c>
      <c r="U128" s="92">
        <f t="shared" si="113"/>
        <v>9.3471074303112651</v>
      </c>
      <c r="V128" s="92">
        <f t="shared" si="114"/>
        <v>7.2418139122187837</v>
      </c>
      <c r="W128" s="92">
        <f t="shared" si="115"/>
        <v>5.1179499246212741</v>
      </c>
      <c r="X128" s="8">
        <f t="shared" si="116"/>
        <v>1.8263381955623463</v>
      </c>
      <c r="Y128" s="8">
        <f t="shared" si="117"/>
        <v>0.57410682702511506</v>
      </c>
      <c r="Z128" s="8">
        <f t="shared" si="118"/>
        <v>0.50619030774672802</v>
      </c>
      <c r="AA128" s="93">
        <f t="shared" si="119"/>
        <v>2.3770764119601333</v>
      </c>
      <c r="AB128" s="93">
        <f t="shared" si="120"/>
        <v>0.95731349728716975</v>
      </c>
      <c r="AC128" s="93">
        <f t="shared" si="121"/>
        <v>0.39171821540396518</v>
      </c>
      <c r="AD128" s="92">
        <f t="shared" si="122"/>
        <v>8.7367537446490253</v>
      </c>
      <c r="AE128" s="92"/>
      <c r="AF128" s="91">
        <f t="shared" si="123"/>
        <v>-5.0574163108106737E-2</v>
      </c>
      <c r="AG128" s="91">
        <f t="shared" si="124"/>
        <v>0.60314179933656087</v>
      </c>
      <c r="AH128" s="91"/>
      <c r="AI128" s="90">
        <f t="shared" si="125"/>
        <v>6.0859761057739927E-3</v>
      </c>
      <c r="AJ128" s="90">
        <f t="shared" si="126"/>
        <v>6.9881201956673656E-3</v>
      </c>
      <c r="AK128" s="90">
        <f t="shared" si="127"/>
        <v>-2.2196717347575711E-3</v>
      </c>
    </row>
    <row r="129" spans="1:37">
      <c r="A129" s="11" t="s">
        <v>1173</v>
      </c>
      <c r="B129" t="s">
        <v>1172</v>
      </c>
      <c r="C129" t="s">
        <v>1129</v>
      </c>
      <c r="D129" t="s">
        <v>990</v>
      </c>
      <c r="E129" s="57">
        <v>7</v>
      </c>
      <c r="F129" s="57" t="s">
        <v>1142</v>
      </c>
      <c r="G129" s="57">
        <v>4.0199999999999996</v>
      </c>
      <c r="H129" s="95">
        <v>276.39999999999998</v>
      </c>
      <c r="I129" s="95">
        <v>129.69999999999999</v>
      </c>
      <c r="J129" s="95">
        <v>164.8</v>
      </c>
      <c r="K129" s="92">
        <f t="shared" si="103"/>
        <v>202</v>
      </c>
      <c r="L129" s="92">
        <f t="shared" si="104"/>
        <v>84.785145267103999</v>
      </c>
      <c r="M129" s="92">
        <f t="shared" si="105"/>
        <v>100.13999999999999</v>
      </c>
      <c r="N129" s="92">
        <f t="shared" si="106"/>
        <v>92.462572633551986</v>
      </c>
      <c r="O129" s="92">
        <f t="shared" si="107"/>
        <v>91.545994590261017</v>
      </c>
      <c r="P129" s="92">
        <f t="shared" si="108"/>
        <v>94.159081432626238</v>
      </c>
      <c r="Q129" s="92">
        <f t="shared" si="109"/>
        <v>92.852538011443627</v>
      </c>
      <c r="R129" s="92">
        <f t="shared" si="110"/>
        <v>2.1846677444350067</v>
      </c>
      <c r="S129" s="92">
        <f t="shared" si="111"/>
        <v>0.30142979110908835</v>
      </c>
      <c r="T129" s="92">
        <f t="shared" si="112"/>
        <v>240.66709317578494</v>
      </c>
      <c r="U129" s="92">
        <f t="shared" si="113"/>
        <v>8.9953474732051806</v>
      </c>
      <c r="V129" s="92">
        <f t="shared" si="114"/>
        <v>7.0886357092818271</v>
      </c>
      <c r="W129" s="92">
        <f t="shared" si="115"/>
        <v>4.7958982431443458</v>
      </c>
      <c r="X129" s="8">
        <f t="shared" si="116"/>
        <v>1.8756335137143236</v>
      </c>
      <c r="Y129" s="8">
        <f t="shared" si="117"/>
        <v>0.59623733719247474</v>
      </c>
      <c r="Z129" s="8">
        <f t="shared" si="118"/>
        <v>0.46924746743849494</v>
      </c>
      <c r="AA129" s="93">
        <f t="shared" si="119"/>
        <v>2.3243727598566313</v>
      </c>
      <c r="AB129" s="93">
        <f t="shared" si="120"/>
        <v>0.90551562331600799</v>
      </c>
      <c r="AC129" s="93">
        <f t="shared" si="121"/>
        <v>0.37219095049995882</v>
      </c>
      <c r="AD129" s="92">
        <f t="shared" si="122"/>
        <v>8.3032811523373926</v>
      </c>
      <c r="AE129" s="92"/>
      <c r="AF129" s="91">
        <f t="shared" si="123"/>
        <v>-2.9201359441937583E-2</v>
      </c>
      <c r="AG129" s="91">
        <f t="shared" si="124"/>
        <v>0.61364827798853605</v>
      </c>
      <c r="AH129" s="91"/>
      <c r="AI129" s="90">
        <f t="shared" si="125"/>
        <v>6.5237706566355583E-3</v>
      </c>
      <c r="AJ129" s="90">
        <f t="shared" si="126"/>
        <v>7.7101002313030072E-3</v>
      </c>
      <c r="AK129" s="90">
        <f t="shared" si="127"/>
        <v>-2.4368028200669541E-3</v>
      </c>
    </row>
    <row r="130" spans="1:37">
      <c r="A130" s="11" t="s">
        <v>1171</v>
      </c>
      <c r="B130" t="s">
        <v>1170</v>
      </c>
      <c r="C130" t="s">
        <v>1129</v>
      </c>
      <c r="D130" t="s">
        <v>990</v>
      </c>
      <c r="E130" s="57">
        <v>7</v>
      </c>
      <c r="F130" s="57" t="s">
        <v>1142</v>
      </c>
      <c r="G130" s="57">
        <v>4.1500000000000004</v>
      </c>
      <c r="H130" s="95">
        <v>271.3</v>
      </c>
      <c r="I130" s="95">
        <v>124.9</v>
      </c>
      <c r="J130" s="95">
        <v>164.8</v>
      </c>
      <c r="K130" s="92">
        <f t="shared" si="103"/>
        <v>200.30000000000004</v>
      </c>
      <c r="L130" s="92">
        <f t="shared" si="104"/>
        <v>81.197961176901472</v>
      </c>
      <c r="M130" s="92">
        <f t="shared" si="105"/>
        <v>96.240000000000009</v>
      </c>
      <c r="N130" s="92">
        <f t="shared" si="106"/>
        <v>88.718980588450734</v>
      </c>
      <c r="O130" s="92">
        <f t="shared" si="107"/>
        <v>87.822970919167005</v>
      </c>
      <c r="P130" s="92">
        <f t="shared" si="108"/>
        <v>90.414362170607788</v>
      </c>
      <c r="Q130" s="92">
        <f t="shared" si="109"/>
        <v>89.11866654488739</v>
      </c>
      <c r="R130" s="92">
        <f t="shared" si="110"/>
        <v>2.2576905040100823</v>
      </c>
      <c r="S130" s="92">
        <f t="shared" si="111"/>
        <v>0.30702609030696859</v>
      </c>
      <c r="T130" s="92">
        <f t="shared" si="112"/>
        <v>231.91604466908521</v>
      </c>
      <c r="U130" s="92">
        <f t="shared" si="113"/>
        <v>8.7618006362769805</v>
      </c>
      <c r="V130" s="92">
        <f t="shared" si="114"/>
        <v>6.9473059700119633</v>
      </c>
      <c r="W130" s="92">
        <f t="shared" si="115"/>
        <v>4.6236422452083028</v>
      </c>
      <c r="X130" s="8">
        <f t="shared" si="116"/>
        <v>1.8949996932304278</v>
      </c>
      <c r="Y130" s="8">
        <f t="shared" si="117"/>
        <v>0.60744563214154079</v>
      </c>
      <c r="Z130" s="8">
        <f t="shared" si="118"/>
        <v>0.46037596756358273</v>
      </c>
      <c r="AA130" s="93">
        <f t="shared" si="119"/>
        <v>2.3455399061032867</v>
      </c>
      <c r="AB130" s="93">
        <f t="shared" si="120"/>
        <v>0.92625717475388836</v>
      </c>
      <c r="AC130" s="93">
        <f t="shared" si="121"/>
        <v>0.38003078435678672</v>
      </c>
      <c r="AD130" s="92">
        <f t="shared" si="122"/>
        <v>8.4773510264255005</v>
      </c>
      <c r="AE130" s="92"/>
      <c r="AF130" s="91">
        <f t="shared" si="123"/>
        <v>-2.8648309104758584E-2</v>
      </c>
      <c r="AG130" s="91">
        <f t="shared" si="124"/>
        <v>0.62484792237546716</v>
      </c>
      <c r="AH130" s="91"/>
      <c r="AI130" s="90">
        <f t="shared" si="125"/>
        <v>6.8145043780182607E-3</v>
      </c>
      <c r="AJ130" s="90">
        <f t="shared" si="126"/>
        <v>8.0064051240992789E-3</v>
      </c>
      <c r="AK130" s="90">
        <f t="shared" si="127"/>
        <v>-2.5751669834840848E-3</v>
      </c>
    </row>
    <row r="131" spans="1:37">
      <c r="A131" s="11" t="s">
        <v>1169</v>
      </c>
      <c r="B131" t="s">
        <v>1168</v>
      </c>
      <c r="C131" t="s">
        <v>1129</v>
      </c>
      <c r="D131" t="s">
        <v>990</v>
      </c>
      <c r="E131" s="57">
        <v>7</v>
      </c>
      <c r="F131" s="57" t="s">
        <v>1142</v>
      </c>
      <c r="G131" s="57">
        <v>4.6440000000000001</v>
      </c>
      <c r="H131" s="95">
        <v>290</v>
      </c>
      <c r="I131" s="95">
        <v>146</v>
      </c>
      <c r="J131" s="95">
        <v>169</v>
      </c>
      <c r="K131" s="92">
        <f t="shared" si="103"/>
        <v>209.33333333333334</v>
      </c>
      <c r="L131" s="92">
        <f t="shared" si="104"/>
        <v>93.273495248152059</v>
      </c>
      <c r="M131" s="92">
        <f t="shared" si="105"/>
        <v>111.8</v>
      </c>
      <c r="N131" s="92">
        <f t="shared" si="106"/>
        <v>102.53674762407603</v>
      </c>
      <c r="O131" s="92">
        <f t="shared" si="107"/>
        <v>101.29315317830526</v>
      </c>
      <c r="P131" s="92">
        <f t="shared" si="108"/>
        <v>104.57511319056098</v>
      </c>
      <c r="Q131" s="92">
        <f t="shared" si="109"/>
        <v>102.93413318443312</v>
      </c>
      <c r="R131" s="92">
        <f t="shared" si="110"/>
        <v>2.0415445016922016</v>
      </c>
      <c r="S131" s="92">
        <f t="shared" si="111"/>
        <v>0.28946285462526794</v>
      </c>
      <c r="T131" s="92">
        <f t="shared" si="112"/>
        <v>264.43465459066346</v>
      </c>
      <c r="U131" s="92">
        <f t="shared" si="113"/>
        <v>8.6322238074675521</v>
      </c>
      <c r="V131" s="92">
        <f t="shared" si="114"/>
        <v>6.713872491772074</v>
      </c>
      <c r="W131" s="92">
        <f t="shared" si="115"/>
        <v>4.6988725264500291</v>
      </c>
      <c r="X131" s="8">
        <f t="shared" si="116"/>
        <v>1.8370840576918452</v>
      </c>
      <c r="Y131" s="8">
        <f t="shared" si="117"/>
        <v>0.58275862068965523</v>
      </c>
      <c r="Z131" s="8">
        <f t="shared" si="118"/>
        <v>0.50344827586206897</v>
      </c>
      <c r="AA131" s="93">
        <f t="shared" si="119"/>
        <v>2.4132231404958677</v>
      </c>
      <c r="AB131" s="93">
        <f t="shared" si="120"/>
        <v>0.99312804256764409</v>
      </c>
      <c r="AC131" s="93">
        <f t="shared" si="121"/>
        <v>0.40512089970197723</v>
      </c>
      <c r="AD131" s="92">
        <f t="shared" si="122"/>
        <v>9.0340805521599368</v>
      </c>
      <c r="AE131" s="92"/>
      <c r="AF131" s="91">
        <f t="shared" si="123"/>
        <v>-5.4099136106754299E-2</v>
      </c>
      <c r="AG131" s="91">
        <f t="shared" si="124"/>
        <v>0.61428535862772926</v>
      </c>
      <c r="AH131" s="91"/>
      <c r="AI131" s="90">
        <f t="shared" si="125"/>
        <v>6.0404274359109333E-3</v>
      </c>
      <c r="AJ131" s="90">
        <f t="shared" si="126"/>
        <v>6.8493150684931503E-3</v>
      </c>
      <c r="AK131" s="90">
        <f t="shared" si="127"/>
        <v>-2.2240353740064223E-3</v>
      </c>
    </row>
    <row r="132" spans="1:37">
      <c r="A132" s="11" t="s">
        <v>1167</v>
      </c>
      <c r="B132" t="s">
        <v>1167</v>
      </c>
      <c r="C132" t="s">
        <v>1129</v>
      </c>
      <c r="D132" t="s">
        <v>990</v>
      </c>
      <c r="E132" s="57">
        <v>7</v>
      </c>
      <c r="F132" s="57">
        <v>4</v>
      </c>
      <c r="G132" s="57">
        <v>4.4160000000000004</v>
      </c>
      <c r="H132" s="95">
        <v>290.5</v>
      </c>
      <c r="I132" s="95">
        <v>138.6</v>
      </c>
      <c r="J132" s="95">
        <v>170.3</v>
      </c>
      <c r="K132" s="92">
        <f t="shared" si="103"/>
        <v>210.36666666666667</v>
      </c>
      <c r="L132" s="92">
        <f t="shared" si="104"/>
        <v>91.036721311475404</v>
      </c>
      <c r="M132" s="92">
        <f t="shared" si="105"/>
        <v>107.2</v>
      </c>
      <c r="N132" s="92">
        <f t="shared" si="106"/>
        <v>99.118360655737703</v>
      </c>
      <c r="O132" s="92">
        <f t="shared" si="107"/>
        <v>98.151108139506078</v>
      </c>
      <c r="P132" s="92">
        <f t="shared" si="108"/>
        <v>100.87254822401304</v>
      </c>
      <c r="Q132" s="92">
        <f t="shared" si="109"/>
        <v>99.511828181759569</v>
      </c>
      <c r="R132" s="92">
        <f t="shared" si="110"/>
        <v>2.1223783895833543</v>
      </c>
      <c r="S132" s="92">
        <f t="shared" si="111"/>
        <v>0.2963930394052352</v>
      </c>
      <c r="T132" s="92">
        <f t="shared" si="112"/>
        <v>256.99270566271218</v>
      </c>
      <c r="U132" s="92">
        <f t="shared" si="113"/>
        <v>8.8070665086533495</v>
      </c>
      <c r="V132" s="92">
        <f t="shared" si="114"/>
        <v>6.9019837168058533</v>
      </c>
      <c r="W132" s="92">
        <f t="shared" si="115"/>
        <v>4.7376450843845168</v>
      </c>
      <c r="X132" s="8">
        <f t="shared" si="116"/>
        <v>1.8589544703721732</v>
      </c>
      <c r="Y132" s="8">
        <f t="shared" si="117"/>
        <v>0.58623063683304655</v>
      </c>
      <c r="Z132" s="8">
        <f t="shared" si="118"/>
        <v>0.47710843373493972</v>
      </c>
      <c r="AA132" s="93">
        <f t="shared" si="119"/>
        <v>2.3061564059900168</v>
      </c>
      <c r="AB132" s="93">
        <f t="shared" si="120"/>
        <v>0.88773400753434029</v>
      </c>
      <c r="AC132" s="93">
        <f t="shared" si="121"/>
        <v>0.36544795208764613</v>
      </c>
      <c r="AD132" s="92">
        <f t="shared" si="122"/>
        <v>8.1535240199661985</v>
      </c>
      <c r="AE132" s="92"/>
      <c r="AF132" s="91">
        <f t="shared" si="123"/>
        <v>-2.9851874369903612E-2</v>
      </c>
      <c r="AG132" s="91">
        <f t="shared" si="124"/>
        <v>0.60373072015557527</v>
      </c>
      <c r="AH132" s="91"/>
      <c r="AI132" s="90">
        <f t="shared" si="125"/>
        <v>6.0744900157161611E-3</v>
      </c>
      <c r="AJ132" s="90">
        <f t="shared" si="126"/>
        <v>7.215007215007215E-3</v>
      </c>
      <c r="AK132" s="90">
        <f t="shared" si="127"/>
        <v>-2.2449775383603784E-3</v>
      </c>
    </row>
    <row r="133" spans="1:37">
      <c r="A133" s="11" t="s">
        <v>1166</v>
      </c>
      <c r="B133" t="s">
        <v>1166</v>
      </c>
      <c r="C133" t="s">
        <v>1129</v>
      </c>
      <c r="D133" t="s">
        <v>990</v>
      </c>
      <c r="E133" s="57">
        <v>7</v>
      </c>
      <c r="F133" s="57">
        <v>4</v>
      </c>
      <c r="G133" s="57">
        <v>5.3040000000000003</v>
      </c>
      <c r="H133" s="95">
        <v>257.10000000000002</v>
      </c>
      <c r="I133" s="95">
        <v>85.3</v>
      </c>
      <c r="J133" s="96">
        <v>150</v>
      </c>
      <c r="K133" s="92">
        <f t="shared" si="103"/>
        <v>185.70000000000002</v>
      </c>
      <c r="L133" s="92">
        <f t="shared" si="104"/>
        <v>68.948150943396243</v>
      </c>
      <c r="M133" s="92">
        <f t="shared" si="105"/>
        <v>72.599999999999994</v>
      </c>
      <c r="N133" s="92">
        <f t="shared" si="106"/>
        <v>70.774075471698126</v>
      </c>
      <c r="O133" s="92">
        <f t="shared" si="107"/>
        <v>70.742563907522509</v>
      </c>
      <c r="P133" s="92">
        <f t="shared" si="108"/>
        <v>71.089460121274584</v>
      </c>
      <c r="Q133" s="92">
        <f t="shared" si="109"/>
        <v>70.916012014398547</v>
      </c>
      <c r="R133" s="92">
        <f t="shared" si="110"/>
        <v>2.623842116796844</v>
      </c>
      <c r="S133" s="92">
        <f t="shared" si="111"/>
        <v>0.33091973796211871</v>
      </c>
      <c r="T133" s="92">
        <f t="shared" si="112"/>
        <v>188.38922796260738</v>
      </c>
      <c r="U133" s="92">
        <f t="shared" si="113"/>
        <v>7.2665455085534187</v>
      </c>
      <c r="V133" s="92">
        <f t="shared" si="114"/>
        <v>5.9170357627104613</v>
      </c>
      <c r="W133" s="92">
        <f t="shared" si="115"/>
        <v>3.652879488569595</v>
      </c>
      <c r="X133" s="8">
        <f t="shared" si="116"/>
        <v>1.9892650527594802</v>
      </c>
      <c r="Y133" s="8">
        <f t="shared" si="117"/>
        <v>0.58343057176196023</v>
      </c>
      <c r="Z133" s="8">
        <f t="shared" si="118"/>
        <v>0.3317775184753014</v>
      </c>
      <c r="AA133" s="93">
        <f t="shared" si="119"/>
        <v>1.5929038281979455</v>
      </c>
      <c r="AB133" s="93">
        <f t="shared" si="120"/>
        <v>0.26482574272381765</v>
      </c>
      <c r="AC133" s="93">
        <f t="shared" si="121"/>
        <v>0.11540377087148557</v>
      </c>
      <c r="AD133" s="92">
        <f t="shared" si="122"/>
        <v>2.5799341300220098</v>
      </c>
      <c r="AE133" s="92"/>
      <c r="AF133" s="91">
        <f t="shared" si="123"/>
        <v>0.15265776441954537</v>
      </c>
      <c r="AG133" s="91">
        <f t="shared" si="124"/>
        <v>0.49436536498276235</v>
      </c>
      <c r="AH133" s="91"/>
      <c r="AI133" s="90">
        <f t="shared" si="125"/>
        <v>6.8230487312498133E-3</v>
      </c>
      <c r="AJ133" s="90">
        <f t="shared" si="126"/>
        <v>1.1723329425556858E-2</v>
      </c>
      <c r="AK133" s="90">
        <f t="shared" si="127"/>
        <v>-2.5140194293477571E-3</v>
      </c>
    </row>
    <row r="134" spans="1:37">
      <c r="A134" s="11" t="s">
        <v>1165</v>
      </c>
      <c r="B134" t="s">
        <v>1164</v>
      </c>
      <c r="C134" t="s">
        <v>1129</v>
      </c>
      <c r="D134" t="s">
        <v>990</v>
      </c>
      <c r="E134" s="57">
        <v>7</v>
      </c>
      <c r="F134" s="57" t="s">
        <v>1142</v>
      </c>
      <c r="G134" s="79">
        <v>5</v>
      </c>
      <c r="H134" s="95">
        <v>213</v>
      </c>
      <c r="I134" s="95">
        <v>86</v>
      </c>
      <c r="J134" s="95">
        <v>135</v>
      </c>
      <c r="K134" s="92">
        <f t="shared" si="103"/>
        <v>161</v>
      </c>
      <c r="L134" s="92">
        <f t="shared" si="104"/>
        <v>58.027681660899653</v>
      </c>
      <c r="M134" s="92">
        <f t="shared" si="105"/>
        <v>67.2</v>
      </c>
      <c r="N134" s="92">
        <f t="shared" si="106"/>
        <v>62.613840830449831</v>
      </c>
      <c r="O134" s="92">
        <f t="shared" si="107"/>
        <v>62.183977482809269</v>
      </c>
      <c r="P134" s="92">
        <f t="shared" si="108"/>
        <v>63.660479091538505</v>
      </c>
      <c r="Q134" s="92">
        <f t="shared" si="109"/>
        <v>62.922228287173887</v>
      </c>
      <c r="R134" s="92">
        <f t="shared" si="110"/>
        <v>2.5713164671684514</v>
      </c>
      <c r="S134" s="92">
        <f t="shared" si="111"/>
        <v>0.3278622090987961</v>
      </c>
      <c r="T134" s="92">
        <f t="shared" si="112"/>
        <v>166.28510601056303</v>
      </c>
      <c r="U134" s="92">
        <f t="shared" si="113"/>
        <v>6.9926407187451929</v>
      </c>
      <c r="V134" s="92">
        <f t="shared" si="114"/>
        <v>5.6745043836444431</v>
      </c>
      <c r="W134" s="92">
        <f t="shared" si="115"/>
        <v>3.5387523459674268</v>
      </c>
      <c r="X134" s="8">
        <f t="shared" si="116"/>
        <v>1.976018674127799</v>
      </c>
      <c r="Y134" s="8">
        <f t="shared" si="117"/>
        <v>0.63380281690140849</v>
      </c>
      <c r="Z134" s="8">
        <f t="shared" si="118"/>
        <v>0.40375586854460094</v>
      </c>
      <c r="AA134" s="93">
        <f t="shared" si="119"/>
        <v>2.2051282051282053</v>
      </c>
      <c r="AB134" s="93">
        <f t="shared" si="120"/>
        <v>0.79033989266547433</v>
      </c>
      <c r="AC134" s="93">
        <f t="shared" si="121"/>
        <v>0.32814986463061452</v>
      </c>
      <c r="AD134" s="92">
        <f t="shared" si="122"/>
        <v>7.324513412248419</v>
      </c>
      <c r="AE134" s="92"/>
      <c r="AF134" s="91">
        <f t="shared" si="123"/>
        <v>1.3968510294711344E-2</v>
      </c>
      <c r="AG134" s="91">
        <f t="shared" si="124"/>
        <v>0.62494953572870404</v>
      </c>
      <c r="AH134" s="91"/>
      <c r="AI134" s="90">
        <f t="shared" si="125"/>
        <v>9.2371396719222801E-3</v>
      </c>
      <c r="AJ134" s="90">
        <f t="shared" si="126"/>
        <v>1.1627906976744186E-2</v>
      </c>
      <c r="AK134" s="90">
        <f t="shared" si="127"/>
        <v>-3.58337314859054E-3</v>
      </c>
    </row>
    <row r="135" spans="1:37">
      <c r="A135" s="11" t="s">
        <v>1163</v>
      </c>
      <c r="B135" t="s">
        <v>1162</v>
      </c>
      <c r="C135" t="s">
        <v>1129</v>
      </c>
      <c r="D135" t="s">
        <v>990</v>
      </c>
      <c r="E135" s="57">
        <v>7</v>
      </c>
      <c r="F135" s="57" t="s">
        <v>1142</v>
      </c>
      <c r="G135" s="57">
        <v>5.0380000000000003</v>
      </c>
      <c r="H135" s="95">
        <v>244</v>
      </c>
      <c r="I135" s="95">
        <v>77</v>
      </c>
      <c r="J135" s="95">
        <v>142</v>
      </c>
      <c r="K135" s="92">
        <f t="shared" si="103"/>
        <v>176</v>
      </c>
      <c r="L135" s="92">
        <f t="shared" si="104"/>
        <v>63.957654723127035</v>
      </c>
      <c r="M135" s="92">
        <f t="shared" si="105"/>
        <v>66.599999999999994</v>
      </c>
      <c r="N135" s="92">
        <f t="shared" si="106"/>
        <v>65.278827361563515</v>
      </c>
      <c r="O135" s="92">
        <f t="shared" si="107"/>
        <v>65.273496229544833</v>
      </c>
      <c r="P135" s="92">
        <f t="shared" si="108"/>
        <v>65.495992741569637</v>
      </c>
      <c r="Q135" s="92">
        <f t="shared" si="109"/>
        <v>65.384744485557235</v>
      </c>
      <c r="R135" s="92">
        <f t="shared" si="110"/>
        <v>2.6961268624691876</v>
      </c>
      <c r="S135" s="92">
        <f t="shared" si="111"/>
        <v>0.33495409489361277</v>
      </c>
      <c r="T135" s="92">
        <f t="shared" si="112"/>
        <v>174.28847579234485</v>
      </c>
      <c r="U135" s="92">
        <f t="shared" si="113"/>
        <v>7.2257099702144929</v>
      </c>
      <c r="V135" s="92">
        <f t="shared" si="114"/>
        <v>5.9105412456554163</v>
      </c>
      <c r="W135" s="92">
        <f t="shared" si="115"/>
        <v>3.5996236008501556</v>
      </c>
      <c r="X135" s="8">
        <f t="shared" si="116"/>
        <v>2.0073515376740869</v>
      </c>
      <c r="Y135" s="8">
        <f t="shared" si="117"/>
        <v>0.58196721311475408</v>
      </c>
      <c r="Z135" s="8">
        <f t="shared" si="118"/>
        <v>0.3155737704918033</v>
      </c>
      <c r="AA135" s="93">
        <f t="shared" si="119"/>
        <v>1.5098039215686274</v>
      </c>
      <c r="AB135" s="93">
        <f t="shared" si="120"/>
        <v>0.20656990068754766</v>
      </c>
      <c r="AC135" s="93">
        <f t="shared" si="121"/>
        <v>9.0523540716986997E-2</v>
      </c>
      <c r="AD135" s="92">
        <f t="shared" si="122"/>
        <v>2.0238915002544795</v>
      </c>
      <c r="AE135" s="92"/>
      <c r="AF135" s="91">
        <f t="shared" si="123"/>
        <v>0.17805582290664101</v>
      </c>
      <c r="AG135" s="91">
        <f t="shared" si="124"/>
        <v>0.47834456207892206</v>
      </c>
      <c r="AH135" s="91"/>
      <c r="AI135" s="90">
        <f t="shared" si="125"/>
        <v>7.1672608437314319E-3</v>
      </c>
      <c r="AJ135" s="90">
        <f t="shared" si="126"/>
        <v>1.2987012987012988E-2</v>
      </c>
      <c r="AK135" s="90">
        <f t="shared" si="127"/>
        <v>-2.636660724896019E-3</v>
      </c>
    </row>
    <row r="136" spans="1:37">
      <c r="A136" s="11" t="s">
        <v>1160</v>
      </c>
      <c r="B136" t="s">
        <v>1161</v>
      </c>
      <c r="C136" t="s">
        <v>1129</v>
      </c>
      <c r="D136" t="s">
        <v>990</v>
      </c>
      <c r="E136" s="57">
        <v>7</v>
      </c>
      <c r="F136" s="57" t="s">
        <v>1142</v>
      </c>
      <c r="G136" s="57">
        <v>5.133</v>
      </c>
      <c r="H136" s="95">
        <v>234</v>
      </c>
      <c r="I136" s="95">
        <v>88.5</v>
      </c>
      <c r="J136" s="95">
        <v>142</v>
      </c>
      <c r="K136" s="92">
        <f t="shared" si="103"/>
        <v>172.66666666666666</v>
      </c>
      <c r="L136" s="92">
        <f t="shared" si="104"/>
        <v>64.61904761904762</v>
      </c>
      <c r="M136" s="92">
        <f t="shared" si="105"/>
        <v>71.5</v>
      </c>
      <c r="N136" s="92">
        <f t="shared" si="106"/>
        <v>68.05952380952381</v>
      </c>
      <c r="O136" s="92">
        <f t="shared" si="107"/>
        <v>67.847168569851846</v>
      </c>
      <c r="P136" s="92">
        <f t="shared" si="108"/>
        <v>68.763568830277919</v>
      </c>
      <c r="Q136" s="92">
        <f t="shared" si="109"/>
        <v>68.305368700064889</v>
      </c>
      <c r="R136" s="92">
        <f t="shared" si="110"/>
        <v>2.5369949274094803</v>
      </c>
      <c r="S136" s="92">
        <f t="shared" si="111"/>
        <v>0.32580389607751531</v>
      </c>
      <c r="T136" s="92">
        <f t="shared" si="112"/>
        <v>180.46716366369415</v>
      </c>
      <c r="U136" s="92">
        <f t="shared" si="113"/>
        <v>7.1636229893312073</v>
      </c>
      <c r="V136" s="92">
        <f t="shared" si="114"/>
        <v>5.7998748225853625</v>
      </c>
      <c r="W136" s="92">
        <f t="shared" si="115"/>
        <v>3.6413197856973842</v>
      </c>
      <c r="X136" s="8">
        <f t="shared" si="116"/>
        <v>1.9673149876780824</v>
      </c>
      <c r="Y136" s="8">
        <f t="shared" si="117"/>
        <v>0.60683760683760679</v>
      </c>
      <c r="Z136" s="8">
        <f t="shared" si="118"/>
        <v>0.37820512820512819</v>
      </c>
      <c r="AA136" s="93">
        <f t="shared" si="119"/>
        <v>1.923913043478261</v>
      </c>
      <c r="AB136" s="93">
        <f t="shared" si="120"/>
        <v>0.53242446573323488</v>
      </c>
      <c r="AC136" s="93">
        <f t="shared" si="121"/>
        <v>0.22626375541064075</v>
      </c>
      <c r="AD136" s="92">
        <f t="shared" si="122"/>
        <v>5.0550988280566722</v>
      </c>
      <c r="AE136" s="92"/>
      <c r="AF136" s="91">
        <f t="shared" si="123"/>
        <v>7.0031659069986749E-2</v>
      </c>
      <c r="AG136" s="91">
        <f t="shared" si="124"/>
        <v>0.56433976244470885</v>
      </c>
      <c r="AH136" s="91"/>
      <c r="AI136" s="90">
        <f t="shared" si="125"/>
        <v>7.8898774550948472E-3</v>
      </c>
      <c r="AJ136" s="90">
        <f t="shared" si="126"/>
        <v>1.1299435028248588E-2</v>
      </c>
      <c r="AK136" s="90">
        <f t="shared" si="127"/>
        <v>-2.9796877622964581E-3</v>
      </c>
    </row>
    <row r="137" spans="1:37">
      <c r="A137" s="11" t="s">
        <v>1160</v>
      </c>
      <c r="B137" t="s">
        <v>1159</v>
      </c>
      <c r="C137" t="s">
        <v>1129</v>
      </c>
      <c r="D137" t="s">
        <v>990</v>
      </c>
      <c r="E137" s="57">
        <v>7</v>
      </c>
      <c r="F137" s="57" t="s">
        <v>1142</v>
      </c>
      <c r="G137" s="57">
        <v>5.2</v>
      </c>
      <c r="H137" s="95">
        <v>249</v>
      </c>
      <c r="I137" s="95">
        <v>78</v>
      </c>
      <c r="J137" s="95">
        <v>169</v>
      </c>
      <c r="K137" s="92">
        <f t="shared" si="103"/>
        <v>195.66666666666666</v>
      </c>
      <c r="L137" s="92">
        <f t="shared" si="104"/>
        <v>56.521739130434781</v>
      </c>
      <c r="M137" s="92">
        <f t="shared" si="105"/>
        <v>62.8</v>
      </c>
      <c r="N137" s="92">
        <f t="shared" si="106"/>
        <v>59.660869565217389</v>
      </c>
      <c r="O137" s="92">
        <f t="shared" si="107"/>
        <v>59.515895423877971</v>
      </c>
      <c r="P137" s="92">
        <f t="shared" si="108"/>
        <v>60.382688378919809</v>
      </c>
      <c r="Q137" s="92">
        <f t="shared" si="109"/>
        <v>59.949291901398894</v>
      </c>
      <c r="R137" s="92">
        <f t="shared" si="110"/>
        <v>3.2796482534130105</v>
      </c>
      <c r="S137" s="92">
        <f t="shared" si="111"/>
        <v>0.3616101444208375</v>
      </c>
      <c r="T137" s="92">
        <f t="shared" si="112"/>
        <v>162.46969044993679</v>
      </c>
      <c r="U137" s="92">
        <f t="shared" si="113"/>
        <v>7.2750164254853322</v>
      </c>
      <c r="V137" s="92">
        <f t="shared" si="114"/>
        <v>6.1341833301756745</v>
      </c>
      <c r="W137" s="92">
        <f t="shared" si="115"/>
        <v>3.3872177590401815</v>
      </c>
      <c r="X137" s="8">
        <f t="shared" si="116"/>
        <v>2.1477852748229611</v>
      </c>
      <c r="Y137" s="8">
        <f t="shared" si="117"/>
        <v>0.67871485943775101</v>
      </c>
      <c r="Z137" s="8">
        <f t="shared" si="118"/>
        <v>0.31325301204819278</v>
      </c>
      <c r="AA137" s="93">
        <f t="shared" si="119"/>
        <v>1.95</v>
      </c>
      <c r="AB137" s="93">
        <f t="shared" si="120"/>
        <v>0.55538461538461537</v>
      </c>
      <c r="AC137" s="93">
        <f t="shared" si="121"/>
        <v>0.23552447200519977</v>
      </c>
      <c r="AD137" s="92">
        <f t="shared" si="122"/>
        <v>5.2616236700189463</v>
      </c>
      <c r="AE137" s="92"/>
      <c r="AF137" s="91">
        <f t="shared" si="123"/>
        <v>9.4587664910726774E-2</v>
      </c>
      <c r="AG137" s="91">
        <f t="shared" si="124"/>
        <v>0.61451680574332201</v>
      </c>
      <c r="AH137" s="91"/>
      <c r="AI137" s="90">
        <f t="shared" si="125"/>
        <v>8.9011925042589441E-3</v>
      </c>
      <c r="AJ137" s="90">
        <f t="shared" si="126"/>
        <v>1.282051282051282E-2</v>
      </c>
      <c r="AK137" s="90">
        <f t="shared" si="127"/>
        <v>-3.5988074957410562E-3</v>
      </c>
    </row>
    <row r="138" spans="1:37" ht="16.5" customHeight="1">
      <c r="A138" s="11" t="s">
        <v>1158</v>
      </c>
      <c r="B138" t="s">
        <v>1157</v>
      </c>
      <c r="C138" t="s">
        <v>1129</v>
      </c>
      <c r="D138" t="s">
        <v>990</v>
      </c>
      <c r="E138" s="57">
        <v>7</v>
      </c>
      <c r="F138" s="57" t="s">
        <v>1142</v>
      </c>
      <c r="G138" s="57">
        <v>5.3689999999999998</v>
      </c>
      <c r="H138" s="95">
        <v>273.10000000000002</v>
      </c>
      <c r="I138" s="95">
        <v>82.3</v>
      </c>
      <c r="J138" s="95">
        <v>160.69999999999999</v>
      </c>
      <c r="K138" s="92">
        <f t="shared" si="103"/>
        <v>198.16666666666666</v>
      </c>
      <c r="L138" s="92">
        <f t="shared" si="104"/>
        <v>69.406662665066051</v>
      </c>
      <c r="M138" s="92">
        <f t="shared" si="105"/>
        <v>71.86</v>
      </c>
      <c r="N138" s="92">
        <f t="shared" si="106"/>
        <v>70.633331332533032</v>
      </c>
      <c r="O138" s="92">
        <f t="shared" si="107"/>
        <v>70.639832454702841</v>
      </c>
      <c r="P138" s="92">
        <f t="shared" si="108"/>
        <v>70.831573041756442</v>
      </c>
      <c r="Q138" s="92">
        <f t="shared" si="109"/>
        <v>70.735702748229642</v>
      </c>
      <c r="R138" s="92">
        <f t="shared" si="110"/>
        <v>2.8055687439365187</v>
      </c>
      <c r="S138" s="92">
        <f t="shared" si="111"/>
        <v>0.34070863388166317</v>
      </c>
      <c r="T138" s="92">
        <f t="shared" si="112"/>
        <v>189.39743431470248</v>
      </c>
      <c r="U138" s="92">
        <f t="shared" si="113"/>
        <v>7.3790545111818018</v>
      </c>
      <c r="V138" s="92">
        <f t="shared" si="114"/>
        <v>6.0753121948876396</v>
      </c>
      <c r="W138" s="92">
        <f t="shared" si="115"/>
        <v>3.6270884205146583</v>
      </c>
      <c r="X138" s="8">
        <f t="shared" si="116"/>
        <v>2.0344291772558347</v>
      </c>
      <c r="Y138" s="8">
        <f t="shared" si="117"/>
        <v>0.5884291468326619</v>
      </c>
      <c r="Z138" s="8">
        <f t="shared" si="118"/>
        <v>0.30135481508604905</v>
      </c>
      <c r="AA138" s="93">
        <f t="shared" si="119"/>
        <v>1.4644128113878998</v>
      </c>
      <c r="AB138" s="93">
        <f t="shared" si="120"/>
        <v>0.17673644292428836</v>
      </c>
      <c r="AC138" s="93">
        <f t="shared" si="121"/>
        <v>7.7674103182074072E-2</v>
      </c>
      <c r="AD138" s="92">
        <f t="shared" si="122"/>
        <v>1.7366711215870154</v>
      </c>
      <c r="AE138" s="92"/>
      <c r="AF138" s="91">
        <f t="shared" si="123"/>
        <v>0.19565845599596193</v>
      </c>
      <c r="AG138" s="91">
        <f t="shared" si="124"/>
        <v>0.47329800850036208</v>
      </c>
      <c r="AH138" s="91"/>
      <c r="AI138" s="90">
        <f t="shared" si="125"/>
        <v>6.4918933641416408E-3</v>
      </c>
      <c r="AJ138" s="90">
        <f t="shared" si="126"/>
        <v>1.2150668286755772E-2</v>
      </c>
      <c r="AK138" s="90">
        <f t="shared" si="127"/>
        <v>-2.4049037888832676E-3</v>
      </c>
    </row>
    <row r="139" spans="1:37">
      <c r="A139" s="11" t="s">
        <v>1156</v>
      </c>
      <c r="B139" s="11" t="s">
        <v>1155</v>
      </c>
      <c r="C139" t="s">
        <v>1129</v>
      </c>
      <c r="D139" t="s">
        <v>990</v>
      </c>
      <c r="E139" s="57">
        <v>7</v>
      </c>
      <c r="F139" s="57" t="s">
        <v>1142</v>
      </c>
      <c r="G139" s="57">
        <v>5.3239999999999998</v>
      </c>
      <c r="H139" s="95">
        <v>250.5</v>
      </c>
      <c r="I139" s="95">
        <v>96.2</v>
      </c>
      <c r="J139" s="95">
        <v>148.4</v>
      </c>
      <c r="K139" s="92">
        <f t="shared" si="103"/>
        <v>182.43333333333331</v>
      </c>
      <c r="L139" s="92">
        <f t="shared" si="104"/>
        <v>71.06077268123282</v>
      </c>
      <c r="M139" s="92">
        <f t="shared" si="105"/>
        <v>78.140000000000015</v>
      </c>
      <c r="N139" s="92">
        <f t="shared" si="106"/>
        <v>74.60038634061641</v>
      </c>
      <c r="O139" s="92">
        <f t="shared" si="107"/>
        <v>74.388683056545631</v>
      </c>
      <c r="P139" s="92">
        <f t="shared" si="108"/>
        <v>75.299857555736978</v>
      </c>
      <c r="Q139" s="92">
        <f t="shared" si="109"/>
        <v>74.844270306141311</v>
      </c>
      <c r="R139" s="92">
        <f t="shared" si="110"/>
        <v>2.4454743773090479</v>
      </c>
      <c r="S139" s="92">
        <f t="shared" si="111"/>
        <v>0.32006671491334887</v>
      </c>
      <c r="T139" s="92">
        <f t="shared" si="112"/>
        <v>196.95497385584832</v>
      </c>
      <c r="U139" s="92">
        <f t="shared" si="113"/>
        <v>7.2766068567714397</v>
      </c>
      <c r="V139" s="92">
        <f t="shared" si="114"/>
        <v>5.853735207351467</v>
      </c>
      <c r="W139" s="92">
        <f t="shared" si="115"/>
        <v>3.743273113555869</v>
      </c>
      <c r="X139" s="8">
        <f t="shared" si="116"/>
        <v>1.943915561603019</v>
      </c>
      <c r="Y139" s="8">
        <f t="shared" si="117"/>
        <v>0.59241516966067864</v>
      </c>
      <c r="Z139" s="8">
        <f t="shared" si="118"/>
        <v>0.3840319361277445</v>
      </c>
      <c r="AA139" s="93">
        <f t="shared" si="119"/>
        <v>1.8844270323212537</v>
      </c>
      <c r="AB139" s="93">
        <f t="shared" si="120"/>
        <v>0.49811077558384209</v>
      </c>
      <c r="AC139" s="93">
        <f t="shared" si="121"/>
        <v>0.21235183009524855</v>
      </c>
      <c r="AD139" s="92">
        <f t="shared" si="122"/>
        <v>4.7447658557988515</v>
      </c>
      <c r="AE139" s="92"/>
      <c r="AF139" s="91">
        <f t="shared" si="123"/>
        <v>7.3822636310379497E-2</v>
      </c>
      <c r="AG139" s="91">
        <f t="shared" si="124"/>
        <v>0.54868152004606663</v>
      </c>
      <c r="AH139" s="91"/>
      <c r="AI139" s="90">
        <f t="shared" si="125"/>
        <v>7.1385966868249854E-3</v>
      </c>
      <c r="AJ139" s="90">
        <f t="shared" si="126"/>
        <v>1.0395010395010394E-2</v>
      </c>
      <c r="AK139" s="90">
        <f t="shared" si="127"/>
        <v>-2.6557226079840261E-3</v>
      </c>
    </row>
    <row r="140" spans="1:37">
      <c r="A140" s="11" t="s">
        <v>1154</v>
      </c>
      <c r="B140" s="11" t="s">
        <v>1153</v>
      </c>
      <c r="C140" t="s">
        <v>1129</v>
      </c>
      <c r="D140" t="s">
        <v>990</v>
      </c>
      <c r="E140" s="57">
        <v>7</v>
      </c>
      <c r="F140" s="57" t="s">
        <v>1142</v>
      </c>
      <c r="G140" s="57">
        <v>5.1959999999999997</v>
      </c>
      <c r="H140" s="95">
        <v>260.5</v>
      </c>
      <c r="I140" s="95">
        <v>63.3</v>
      </c>
      <c r="J140" s="95">
        <v>148.30000000000001</v>
      </c>
      <c r="K140" s="91">
        <f t="shared" si="103"/>
        <v>185.70000000000002</v>
      </c>
      <c r="L140" s="91">
        <f t="shared" si="104"/>
        <v>60.209053916581887</v>
      </c>
      <c r="M140" s="91">
        <f t="shared" si="105"/>
        <v>60.419999999999995</v>
      </c>
      <c r="N140" s="92">
        <f t="shared" si="106"/>
        <v>60.314526958290941</v>
      </c>
      <c r="O140" s="92">
        <f t="shared" si="107"/>
        <v>60.320881314474327</v>
      </c>
      <c r="P140" s="92">
        <f t="shared" si="108"/>
        <v>60.326133885604087</v>
      </c>
      <c r="Q140" s="92">
        <f t="shared" si="109"/>
        <v>60.323507600039207</v>
      </c>
      <c r="R140" s="92">
        <f t="shared" si="110"/>
        <v>3.0788602574702506</v>
      </c>
      <c r="S140" s="92">
        <f t="shared" si="111"/>
        <v>0.35346669621923527</v>
      </c>
      <c r="T140" s="92">
        <f t="shared" si="112"/>
        <v>163.26740707252807</v>
      </c>
      <c r="U140" s="92">
        <f t="shared" si="113"/>
        <v>7.1565493682516781</v>
      </c>
      <c r="V140" s="92">
        <f t="shared" si="114"/>
        <v>5.9782129456129862</v>
      </c>
      <c r="W140" s="92">
        <f t="shared" si="115"/>
        <v>3.4070334057426854</v>
      </c>
      <c r="X140" s="8">
        <f t="shared" si="116"/>
        <v>2.1005222185931727</v>
      </c>
      <c r="Y140" s="33">
        <f t="shared" si="117"/>
        <v>0.56928982725527832</v>
      </c>
      <c r="Z140" s="33">
        <f t="shared" si="118"/>
        <v>0.24299424184261034</v>
      </c>
      <c r="AA140" s="90">
        <f t="shared" si="119"/>
        <v>1.1283422459893049</v>
      </c>
      <c r="AB140" s="90">
        <f t="shared" si="120"/>
        <v>1.7517804191904851E-2</v>
      </c>
      <c r="AC140" s="93">
        <f t="shared" si="121"/>
        <v>7.8205083702008946E-3</v>
      </c>
      <c r="AD140" s="92">
        <f t="shared" si="122"/>
        <v>0.17487170509020367</v>
      </c>
      <c r="AE140" s="92"/>
      <c r="AF140" s="91">
        <f t="shared" si="123"/>
        <v>0.30923218836871452</v>
      </c>
      <c r="AG140" s="91">
        <f t="shared" si="124"/>
        <v>0.3932470881570812</v>
      </c>
      <c r="AH140" s="91"/>
      <c r="AI140" s="90">
        <f t="shared" si="125"/>
        <v>6.5401072718377674E-3</v>
      </c>
      <c r="AJ140" s="90">
        <f t="shared" si="126"/>
        <v>1.5797788309636653E-2</v>
      </c>
      <c r="AK140" s="90">
        <f t="shared" si="127"/>
        <v>-2.3725486996417342E-3</v>
      </c>
    </row>
    <row r="141" spans="1:37" ht="13.5" customHeight="1">
      <c r="A141" s="11" t="s">
        <v>1152</v>
      </c>
      <c r="B141" t="s">
        <v>1151</v>
      </c>
      <c r="C141" t="s">
        <v>1129</v>
      </c>
      <c r="D141" t="s">
        <v>990</v>
      </c>
      <c r="E141" s="57">
        <v>7</v>
      </c>
      <c r="F141" s="57" t="s">
        <v>1142</v>
      </c>
      <c r="G141" s="69">
        <v>4.7750000000000004</v>
      </c>
      <c r="H141" s="96">
        <v>139</v>
      </c>
      <c r="I141" s="95">
        <v>39.6</v>
      </c>
      <c r="J141" s="96">
        <v>112</v>
      </c>
      <c r="K141" s="92">
        <f t="shared" si="103"/>
        <v>121</v>
      </c>
      <c r="L141" s="92">
        <f t="shared" si="104"/>
        <v>22.330827067669173</v>
      </c>
      <c r="M141" s="92">
        <f t="shared" si="105"/>
        <v>29.160000000000004</v>
      </c>
      <c r="N141" s="92">
        <f t="shared" si="106"/>
        <v>25.745413533834586</v>
      </c>
      <c r="O141" s="92">
        <f t="shared" si="107"/>
        <v>25.280086011574042</v>
      </c>
      <c r="P141" s="92">
        <f t="shared" si="108"/>
        <v>26.833895252300678</v>
      </c>
      <c r="Q141" s="92">
        <f t="shared" si="109"/>
        <v>26.05699063193736</v>
      </c>
      <c r="R141" s="92">
        <f t="shared" si="110"/>
        <v>4.6998662437867607</v>
      </c>
      <c r="S141" s="92">
        <f t="shared" si="111"/>
        <v>0.40065961177599657</v>
      </c>
      <c r="T141" s="92">
        <f t="shared" si="112"/>
        <v>72.12112185062648</v>
      </c>
      <c r="U141" s="92">
        <f t="shared" si="113"/>
        <v>5.7034428482789084</v>
      </c>
      <c r="V141" s="92">
        <f t="shared" si="114"/>
        <v>5.0339163815190311</v>
      </c>
      <c r="W141" s="92">
        <f t="shared" si="115"/>
        <v>2.3220055212237609</v>
      </c>
      <c r="X141" s="8">
        <f t="shared" si="116"/>
        <v>2.4562572294285658</v>
      </c>
      <c r="Y141" s="8">
        <f t="shared" si="117"/>
        <v>0.80575539568345322</v>
      </c>
      <c r="Z141" s="8">
        <f t="shared" si="118"/>
        <v>0.28489208633093527</v>
      </c>
      <c r="AA141" s="93">
        <f t="shared" si="119"/>
        <v>2.9333333333333336</v>
      </c>
      <c r="AB141" s="93">
        <f t="shared" si="120"/>
        <v>1.5290909090909093</v>
      </c>
      <c r="AC141" s="93">
        <f t="shared" si="121"/>
        <v>0.59664957919529771</v>
      </c>
      <c r="AD141" s="92">
        <f t="shared" si="122"/>
        <v>13.262892288282613</v>
      </c>
      <c r="AE141" s="92"/>
      <c r="AF141" s="91">
        <f t="shared" si="123"/>
        <v>-5.8039961941008605E-2</v>
      </c>
      <c r="AG141" s="91">
        <f t="shared" si="124"/>
        <v>0.85252140818268296</v>
      </c>
      <c r="AH141" s="91"/>
      <c r="AI141" s="90">
        <f t="shared" si="125"/>
        <v>2.5609631670237731E-2</v>
      </c>
      <c r="AJ141" s="90">
        <f t="shared" si="126"/>
        <v>2.5252525252525252E-2</v>
      </c>
      <c r="AK141" s="90">
        <f t="shared" si="127"/>
        <v>-1.1427405366799306E-2</v>
      </c>
    </row>
    <row r="142" spans="1:37">
      <c r="A142" s="11" t="s">
        <v>1150</v>
      </c>
      <c r="B142" t="s">
        <v>1149</v>
      </c>
      <c r="C142" t="s">
        <v>1129</v>
      </c>
      <c r="D142" t="s">
        <v>990</v>
      </c>
      <c r="E142" s="57">
        <v>7</v>
      </c>
      <c r="F142" s="57" t="s">
        <v>1142</v>
      </c>
      <c r="G142" s="57">
        <v>4.45</v>
      </c>
      <c r="H142" s="95">
        <v>322</v>
      </c>
      <c r="I142" s="95">
        <v>117</v>
      </c>
      <c r="J142" s="95">
        <v>144</v>
      </c>
      <c r="K142" s="92">
        <f t="shared" si="103"/>
        <v>203.33333333333334</v>
      </c>
      <c r="L142" s="92">
        <f t="shared" si="104"/>
        <v>103.92215568862275</v>
      </c>
      <c r="M142" s="92">
        <f t="shared" si="105"/>
        <v>105.8</v>
      </c>
      <c r="N142" s="92">
        <f t="shared" si="106"/>
        <v>104.86107784431138</v>
      </c>
      <c r="O142" s="92">
        <f t="shared" si="107"/>
        <v>104.8548534826681</v>
      </c>
      <c r="P142" s="92">
        <f t="shared" si="108"/>
        <v>104.95823964941928</v>
      </c>
      <c r="Q142" s="92">
        <f t="shared" si="109"/>
        <v>104.90654656604369</v>
      </c>
      <c r="R142" s="92">
        <f t="shared" si="110"/>
        <v>1.9390734628460049</v>
      </c>
      <c r="S142" s="92">
        <f t="shared" si="111"/>
        <v>0.2799689734951224</v>
      </c>
      <c r="T142" s="92">
        <f t="shared" si="112"/>
        <v>268.43785233595077</v>
      </c>
      <c r="U142" s="92">
        <f t="shared" si="113"/>
        <v>8.7813400706553768</v>
      </c>
      <c r="V142" s="92">
        <f t="shared" si="114"/>
        <v>6.7596511666750301</v>
      </c>
      <c r="W142" s="92">
        <f t="shared" si="115"/>
        <v>4.854306042682623</v>
      </c>
      <c r="X142" s="8">
        <f t="shared" si="116"/>
        <v>1.8089794902594496</v>
      </c>
      <c r="Y142" s="8">
        <f t="shared" si="117"/>
        <v>0.44720496894409939</v>
      </c>
      <c r="Z142" s="8">
        <f t="shared" si="118"/>
        <v>0.36335403726708076</v>
      </c>
      <c r="AA142" s="93">
        <f t="shared" si="119"/>
        <v>1.3146067415730338</v>
      </c>
      <c r="AB142" s="93">
        <f t="shared" si="120"/>
        <v>9.0348602708153258E-2</v>
      </c>
      <c r="AC142" s="93">
        <f t="shared" si="121"/>
        <v>4.0044407695269187E-2</v>
      </c>
      <c r="AD142" s="92">
        <f t="shared" si="122"/>
        <v>0.89539624710195398</v>
      </c>
      <c r="AE142" s="92"/>
      <c r="AF142" s="91">
        <f t="shared" si="123"/>
        <v>0.18067939628550303</v>
      </c>
      <c r="AG142" s="91">
        <f t="shared" si="124"/>
        <v>0.3664042451394024</v>
      </c>
      <c r="AH142" s="91"/>
      <c r="AI142" s="90">
        <f t="shared" si="125"/>
        <v>4.2917664394916191E-3</v>
      </c>
      <c r="AJ142" s="90">
        <f t="shared" si="126"/>
        <v>8.5470085470085479E-3</v>
      </c>
      <c r="AK142" s="90">
        <f t="shared" si="127"/>
        <v>-1.3262110885982686E-3</v>
      </c>
    </row>
    <row r="143" spans="1:37">
      <c r="A143" s="11" t="s">
        <v>1148</v>
      </c>
      <c r="B143" s="11" t="s">
        <v>1148</v>
      </c>
      <c r="C143" t="s">
        <v>1129</v>
      </c>
      <c r="D143" t="s">
        <v>990</v>
      </c>
      <c r="E143" s="57">
        <v>7</v>
      </c>
      <c r="F143" s="57">
        <v>4</v>
      </c>
      <c r="G143" s="57">
        <v>5.2569999999999997</v>
      </c>
      <c r="H143" s="95">
        <v>174</v>
      </c>
      <c r="I143" s="95">
        <v>58</v>
      </c>
      <c r="J143" s="95">
        <v>169</v>
      </c>
      <c r="K143" s="92">
        <f t="shared" si="103"/>
        <v>170.66666666666666</v>
      </c>
      <c r="L143" s="92">
        <f t="shared" si="104"/>
        <v>5.8704453441295543</v>
      </c>
      <c r="M143" s="92">
        <f t="shared" si="105"/>
        <v>35.799999999999997</v>
      </c>
      <c r="N143" s="92">
        <f t="shared" si="106"/>
        <v>20.835222672064777</v>
      </c>
      <c r="O143" s="92">
        <f t="shared" si="107"/>
        <v>9.7611934313155402</v>
      </c>
      <c r="P143" s="92">
        <f t="shared" si="108"/>
        <v>27.776936473082458</v>
      </c>
      <c r="Q143" s="92">
        <f t="shared" si="109"/>
        <v>18.769064952198999</v>
      </c>
      <c r="R143" s="92">
        <f t="shared" si="110"/>
        <v>8.1912571491492265</v>
      </c>
      <c r="S143" s="92">
        <f t="shared" si="111"/>
        <v>0.44134615603793925</v>
      </c>
      <c r="T143" s="92">
        <f t="shared" si="112"/>
        <v>60.061536217150177</v>
      </c>
      <c r="U143" s="92">
        <f t="shared" si="113"/>
        <v>6.1440287687845103</v>
      </c>
      <c r="V143" s="92">
        <f t="shared" si="114"/>
        <v>5.6977759088548297</v>
      </c>
      <c r="W143" s="92">
        <f t="shared" si="115"/>
        <v>1.9908112424571869</v>
      </c>
      <c r="X143" s="33">
        <f t="shared" si="116"/>
        <v>3.0861935264144664</v>
      </c>
      <c r="Y143" s="8">
        <f t="shared" si="117"/>
        <v>0.97126436781609193</v>
      </c>
      <c r="Z143" s="8">
        <f t="shared" si="118"/>
        <v>0.33333333333333331</v>
      </c>
      <c r="AA143" s="93">
        <f t="shared" si="119"/>
        <v>23.2</v>
      </c>
      <c r="AB143" s="93">
        <f t="shared" si="120"/>
        <v>25.491724137931037</v>
      </c>
      <c r="AC143" s="93">
        <f t="shared" si="121"/>
        <v>4.0428497988724095</v>
      </c>
      <c r="AD143" s="92">
        <f t="shared" si="122"/>
        <v>71.824417542700573</v>
      </c>
      <c r="AE143" s="92"/>
      <c r="AF143" s="91">
        <f t="shared" si="123"/>
        <v>-0.77488568413647552</v>
      </c>
      <c r="AG143" s="91">
        <f t="shared" si="124"/>
        <v>1.7238832219486457</v>
      </c>
      <c r="AH143" s="91"/>
      <c r="AI143" s="90">
        <f t="shared" si="125"/>
        <v>0.13398437499999999</v>
      </c>
      <c r="AJ143" s="90">
        <f t="shared" si="126"/>
        <v>1.7241379310344827E-2</v>
      </c>
      <c r="AK143" s="90">
        <f t="shared" si="127"/>
        <v>-6.6015624999999994E-2</v>
      </c>
    </row>
    <row r="144" spans="1:37">
      <c r="A144" s="11" t="s">
        <v>1146</v>
      </c>
      <c r="B144" s="11" t="s">
        <v>1147</v>
      </c>
      <c r="C144" t="s">
        <v>1129</v>
      </c>
      <c r="D144" t="s">
        <v>990</v>
      </c>
      <c r="E144" s="57">
        <v>7</v>
      </c>
      <c r="F144" s="57">
        <v>4</v>
      </c>
      <c r="G144" s="57">
        <v>5.2759999999999998</v>
      </c>
      <c r="H144" s="95">
        <v>196</v>
      </c>
      <c r="I144" s="95">
        <v>61</v>
      </c>
      <c r="J144" s="95">
        <v>172</v>
      </c>
      <c r="K144" s="92">
        <f t="shared" si="103"/>
        <v>180</v>
      </c>
      <c r="L144" s="92">
        <f t="shared" si="104"/>
        <v>23.164556962025316</v>
      </c>
      <c r="M144" s="92">
        <f t="shared" si="105"/>
        <v>41.4</v>
      </c>
      <c r="N144" s="92">
        <f t="shared" si="106"/>
        <v>32.282278481012654</v>
      </c>
      <c r="O144" s="92">
        <f t="shared" si="107"/>
        <v>29.5</v>
      </c>
      <c r="P144" s="92">
        <f t="shared" si="108"/>
        <v>35.781691626239194</v>
      </c>
      <c r="Q144" s="92">
        <f t="shared" si="109"/>
        <v>32.640845813119597</v>
      </c>
      <c r="R144" s="92">
        <f t="shared" si="110"/>
        <v>5.5758146100458781</v>
      </c>
      <c r="S144" s="92">
        <f t="shared" si="111"/>
        <v>0.41538543208074263</v>
      </c>
      <c r="T144" s="92">
        <f t="shared" si="112"/>
        <v>91.383733352797918</v>
      </c>
      <c r="U144" s="92">
        <f t="shared" si="113"/>
        <v>6.5019248035778219</v>
      </c>
      <c r="V144" s="92">
        <f t="shared" si="114"/>
        <v>5.8409549833493211</v>
      </c>
      <c r="W144" s="92">
        <f t="shared" si="115"/>
        <v>2.4736012765602355</v>
      </c>
      <c r="X144" s="33">
        <f t="shared" si="116"/>
        <v>2.6285258118152863</v>
      </c>
      <c r="Y144" s="8">
        <f t="shared" si="117"/>
        <v>0.87755102040816324</v>
      </c>
      <c r="Z144" s="8">
        <f t="shared" si="118"/>
        <v>0.31122448979591838</v>
      </c>
      <c r="AA144" s="93">
        <f t="shared" si="119"/>
        <v>5.083333333333333</v>
      </c>
      <c r="AB144" s="93">
        <f t="shared" si="120"/>
        <v>3.9360655737704917</v>
      </c>
      <c r="AC144" s="93">
        <f t="shared" si="121"/>
        <v>1.2983896136111053</v>
      </c>
      <c r="AD144" s="92">
        <f t="shared" si="122"/>
        <v>28.243736031055175</v>
      </c>
      <c r="AE144" s="92"/>
      <c r="AF144" s="91">
        <f t="shared" si="123"/>
        <v>-0.29702755478411802</v>
      </c>
      <c r="AG144" s="91">
        <f t="shared" si="124"/>
        <v>1.1382078541983076</v>
      </c>
      <c r="AH144" s="91"/>
      <c r="AI144" s="90">
        <f t="shared" si="125"/>
        <v>2.8395061728395062E-2</v>
      </c>
      <c r="AJ144" s="90">
        <f t="shared" si="126"/>
        <v>1.6393442622950821E-2</v>
      </c>
      <c r="AK144" s="90">
        <f t="shared" si="127"/>
        <v>-1.3271604938271606E-2</v>
      </c>
    </row>
    <row r="145" spans="1:37">
      <c r="A145" s="11" t="s">
        <v>1146</v>
      </c>
      <c r="B145" s="11" t="s">
        <v>1145</v>
      </c>
      <c r="C145" t="s">
        <v>1129</v>
      </c>
      <c r="D145" t="s">
        <v>990</v>
      </c>
      <c r="E145" s="57">
        <v>7</v>
      </c>
      <c r="F145" s="57">
        <v>4</v>
      </c>
      <c r="G145" s="57">
        <v>5.3239999999999998</v>
      </c>
      <c r="H145" s="95">
        <v>239</v>
      </c>
      <c r="I145" s="95">
        <v>81</v>
      </c>
      <c r="J145" s="95">
        <v>180</v>
      </c>
      <c r="K145" s="92">
        <f t="shared" si="103"/>
        <v>199.66666666666666</v>
      </c>
      <c r="L145" s="92">
        <f t="shared" si="104"/>
        <v>47.694610778443113</v>
      </c>
      <c r="M145" s="92">
        <f t="shared" si="105"/>
        <v>60.4</v>
      </c>
      <c r="N145" s="92">
        <f t="shared" si="106"/>
        <v>54.047305389221556</v>
      </c>
      <c r="O145" s="92">
        <f t="shared" si="107"/>
        <v>53.227129857466167</v>
      </c>
      <c r="P145" s="92">
        <f t="shared" si="108"/>
        <v>55.897187396092086</v>
      </c>
      <c r="Q145" s="92">
        <f t="shared" si="109"/>
        <v>54.562158626779123</v>
      </c>
      <c r="R145" s="92">
        <f t="shared" si="110"/>
        <v>3.6942945671161138</v>
      </c>
      <c r="S145" s="92">
        <f t="shared" si="111"/>
        <v>0.37585744950664274</v>
      </c>
      <c r="T145" s="92">
        <f t="shared" si="112"/>
        <v>148.72277549104197</v>
      </c>
      <c r="U145" s="92">
        <f t="shared" si="113"/>
        <v>7.1441335355843076</v>
      </c>
      <c r="V145" s="92">
        <f t="shared" si="114"/>
        <v>6.1239799541096716</v>
      </c>
      <c r="W145" s="92">
        <f t="shared" si="115"/>
        <v>3.1861630720888159</v>
      </c>
      <c r="X145" s="33">
        <f t="shared" si="116"/>
        <v>2.2422372533809725</v>
      </c>
      <c r="Y145" s="8">
        <f t="shared" si="117"/>
        <v>0.7531380753138075</v>
      </c>
      <c r="Z145" s="8">
        <f t="shared" si="118"/>
        <v>0.33891213389121339</v>
      </c>
      <c r="AA145" s="93">
        <f t="shared" si="119"/>
        <v>2.7457627118644066</v>
      </c>
      <c r="AB145" s="93">
        <f t="shared" si="120"/>
        <v>1.3319522912743249</v>
      </c>
      <c r="AC145" s="93">
        <f t="shared" si="121"/>
        <v>0.52809372834327828</v>
      </c>
      <c r="AD145" s="92">
        <f t="shared" si="122"/>
        <v>11.753952514430692</v>
      </c>
      <c r="AE145" s="92"/>
      <c r="AF145" s="91">
        <f t="shared" si="123"/>
        <v>-4.5598779351598048E-2</v>
      </c>
      <c r="AG145" s="91">
        <f t="shared" si="124"/>
        <v>0.78748025223132911</v>
      </c>
      <c r="AH145" s="91"/>
      <c r="AI145" s="90">
        <f t="shared" si="125"/>
        <v>1.1855918055516257E-2</v>
      </c>
      <c r="AJ145" s="90">
        <f t="shared" si="126"/>
        <v>1.2345679012345678E-2</v>
      </c>
      <c r="AK145" s="90">
        <f t="shared" si="127"/>
        <v>-5.0932344868566256E-3</v>
      </c>
    </row>
    <row r="146" spans="1:37">
      <c r="A146" s="11" t="s">
        <v>1144</v>
      </c>
      <c r="B146" t="s">
        <v>1143</v>
      </c>
      <c r="C146" t="s">
        <v>1129</v>
      </c>
      <c r="D146" t="s">
        <v>990</v>
      </c>
      <c r="E146" s="57">
        <v>7</v>
      </c>
      <c r="F146" s="57" t="s">
        <v>1142</v>
      </c>
      <c r="G146" s="57">
        <v>5.367</v>
      </c>
      <c r="H146" s="95">
        <v>256</v>
      </c>
      <c r="I146" s="95">
        <v>85</v>
      </c>
      <c r="J146" s="95">
        <v>142</v>
      </c>
      <c r="K146" s="92">
        <f t="shared" si="103"/>
        <v>180</v>
      </c>
      <c r="L146" s="92">
        <f t="shared" si="104"/>
        <v>71.041055718475079</v>
      </c>
      <c r="M146" s="92">
        <f t="shared" si="105"/>
        <v>73.8</v>
      </c>
      <c r="N146" s="92">
        <f t="shared" si="106"/>
        <v>72.420527859237538</v>
      </c>
      <c r="O146" s="92">
        <f t="shared" si="107"/>
        <v>72.409123823316435</v>
      </c>
      <c r="P146" s="92">
        <f t="shared" si="108"/>
        <v>72.63344355219651</v>
      </c>
      <c r="Q146" s="92">
        <f t="shared" si="109"/>
        <v>72.521283687756465</v>
      </c>
      <c r="R146" s="92">
        <f t="shared" si="110"/>
        <v>2.4854831264122064</v>
      </c>
      <c r="S146" s="92">
        <f t="shared" si="111"/>
        <v>0.32262059018729583</v>
      </c>
      <c r="T146" s="92">
        <f t="shared" si="112"/>
        <v>191.56976259772051</v>
      </c>
      <c r="U146" s="92">
        <f t="shared" si="113"/>
        <v>7.1784294792121832</v>
      </c>
      <c r="V146" s="92">
        <f t="shared" si="114"/>
        <v>5.7912252198678207</v>
      </c>
      <c r="W146" s="92">
        <f t="shared" si="115"/>
        <v>3.6733731338637585</v>
      </c>
      <c r="X146" s="8">
        <f t="shared" si="116"/>
        <v>1.954179229176674</v>
      </c>
      <c r="Y146" s="8">
        <f t="shared" si="117"/>
        <v>0.5546875</v>
      </c>
      <c r="Z146" s="8">
        <f t="shared" si="118"/>
        <v>0.33203125</v>
      </c>
      <c r="AA146" s="93">
        <f t="shared" si="119"/>
        <v>1.4912280701754386</v>
      </c>
      <c r="AB146" s="93">
        <f t="shared" si="120"/>
        <v>0.19417956656346735</v>
      </c>
      <c r="AC146" s="93">
        <f t="shared" si="121"/>
        <v>8.5195916480093101E-2</v>
      </c>
      <c r="AD146" s="92">
        <f t="shared" si="122"/>
        <v>1.9048081829004535</v>
      </c>
      <c r="AE146" s="92"/>
      <c r="AF146" s="91">
        <f t="shared" si="123"/>
        <v>0.17167872097449563</v>
      </c>
      <c r="AG146" s="91">
        <f t="shared" si="124"/>
        <v>0.45945945945945948</v>
      </c>
      <c r="AH146" s="91"/>
      <c r="AI146" s="90">
        <f t="shared" si="125"/>
        <v>6.4652371669915529E-3</v>
      </c>
      <c r="AJ146" s="90">
        <f t="shared" si="126"/>
        <v>1.1764705882352941E-2</v>
      </c>
      <c r="AK146" s="90">
        <f t="shared" si="127"/>
        <v>-2.3066926575698505E-3</v>
      </c>
    </row>
    <row r="147" spans="1:37">
      <c r="A147" s="11"/>
      <c r="B147" s="11"/>
      <c r="I147" s="101"/>
      <c r="J147" s="101"/>
      <c r="K147" s="91"/>
      <c r="L147" s="107"/>
      <c r="M147" s="107"/>
      <c r="U147" s="92"/>
      <c r="V147" s="92"/>
      <c r="W147" s="92"/>
      <c r="X147" s="8"/>
      <c r="Y147" s="33"/>
      <c r="Z147" s="33"/>
      <c r="AA147" s="90"/>
      <c r="AB147" s="90"/>
      <c r="AC147" s="93"/>
      <c r="AD147" s="92"/>
      <c r="AE147" s="92"/>
      <c r="AF147" s="91"/>
      <c r="AG147" s="91"/>
      <c r="AH147" s="91"/>
      <c r="AI147" s="90"/>
      <c r="AJ147" s="90"/>
      <c r="AK147" s="90"/>
    </row>
    <row r="148" spans="1:37">
      <c r="A148" t="s">
        <v>1141</v>
      </c>
      <c r="B148" t="s">
        <v>1140</v>
      </c>
      <c r="C148" t="s">
        <v>1129</v>
      </c>
      <c r="D148" t="s">
        <v>1100</v>
      </c>
      <c r="E148" s="57">
        <v>7</v>
      </c>
      <c r="F148" s="57" t="s">
        <v>1139</v>
      </c>
      <c r="G148" s="69">
        <v>5.12</v>
      </c>
      <c r="H148" s="95">
        <v>315.8</v>
      </c>
      <c r="I148" s="95">
        <v>122.5</v>
      </c>
      <c r="J148" s="95">
        <v>102.2</v>
      </c>
      <c r="K148" s="92">
        <f>(H148+2*J148)/3</f>
        <v>173.4</v>
      </c>
      <c r="L148" s="92">
        <f>(5*(H148-J148)*I148)/(4*I148 + 3*(H148-J148))</f>
        <v>115.69685178634593</v>
      </c>
      <c r="M148" s="92">
        <f>(H148-J148+3*I148)/5</f>
        <v>116.22</v>
      </c>
      <c r="N148" s="92">
        <f>0.5*(M148+L148)</f>
        <v>115.95842589317297</v>
      </c>
      <c r="O148" s="92">
        <f>0.5*(H148-J148)+3/(5/(I148-0.5*(H148-J148))-4*(-3*(K148+(H148-J148))/(5*0.5*(H148-J148)*(3*K148+2*(H148-J148)))))</f>
        <v>115.95608915657319</v>
      </c>
      <c r="P148" s="92">
        <f>I148+2/(5/(0.5*(H148-J148)-I148)-6*(-(3*(K148+2*I148))/(5*I148*(3*K148+4*I148))))</f>
        <v>115.97044638576527</v>
      </c>
      <c r="Q148" s="92">
        <f>(O148+P148)/2</f>
        <v>115.96326777116923</v>
      </c>
      <c r="R148" s="92">
        <f>K148/N148</f>
        <v>1.4953635207134084</v>
      </c>
      <c r="S148" s="92">
        <f>(3*K148-2*N148)/(2*(3*K148+N148))</f>
        <v>0.22658125435413481</v>
      </c>
      <c r="T148" s="92">
        <f>9*N148*K148/(N148+3*K148)</f>
        <v>284.46486296995818</v>
      </c>
      <c r="U148" s="92">
        <f>SQRT((K148+4/3*N148)/G148)</f>
        <v>8.0040423688917208</v>
      </c>
      <c r="V148" s="92">
        <f>SQRT(K148/G148)</f>
        <v>5.8195521734923901</v>
      </c>
      <c r="W148" s="92">
        <f>SQRT(N148/G148)</f>
        <v>4.7590051541535807</v>
      </c>
      <c r="X148" s="8">
        <f>SQRT((K148/N148) +4/3)</f>
        <v>1.6818730195965277</v>
      </c>
      <c r="Y148" s="8">
        <f>J148/H148</f>
        <v>0.32362254591513617</v>
      </c>
      <c r="Z148" s="8">
        <f>I148/H148</f>
        <v>0.38790373654211524</v>
      </c>
      <c r="AA148" s="93">
        <f>2*I148/(H148-J148)</f>
        <v>1.1470037453183519</v>
      </c>
      <c r="AB148" s="93">
        <f>5*M148/L148 +1 -6</f>
        <v>2.2608576014676807E-2</v>
      </c>
      <c r="AC148" s="93">
        <f>SQRT(5)*LN(M148/L148)</f>
        <v>1.0088072023905178E-2</v>
      </c>
      <c r="AD148" s="92">
        <f>100*(M148-L148)/(M148+L148)</f>
        <v>0.22557576546270966</v>
      </c>
      <c r="AE148" s="92"/>
      <c r="AF148" s="91">
        <f>-(2*H148*I148-(H148-J148)*(H148+2*J148))/(2*H148*I148+(H148-J148)*(H148+2*J148))</f>
        <v>0.17902533942624413</v>
      </c>
      <c r="AG148" s="91">
        <f>(4*J148*I148)/(2*H148*I148+(H148-J148)*(H148+2*J148))</f>
        <v>0.2656859097866936</v>
      </c>
      <c r="AH148" s="91"/>
      <c r="AI148" s="90">
        <f>(H148+J148)/((H148-J148)*(H148+2*J148))</f>
        <v>3.7618778142085941E-3</v>
      </c>
      <c r="AJ148" s="90">
        <f>1/I148</f>
        <v>8.1632653061224497E-3</v>
      </c>
      <c r="AK148" s="90">
        <f>-J148/((H148-J148)*(H148+2*J148))</f>
        <v>-9.1977012586631172E-4</v>
      </c>
    </row>
    <row r="149" spans="1:37">
      <c r="A149" t="s">
        <v>1138</v>
      </c>
      <c r="B149" t="s">
        <v>1138</v>
      </c>
      <c r="C149" t="s">
        <v>1129</v>
      </c>
      <c r="D149" t="s">
        <v>1100</v>
      </c>
      <c r="E149" s="57">
        <v>7</v>
      </c>
      <c r="F149" s="57">
        <v>4</v>
      </c>
      <c r="G149" s="69">
        <v>7.0119999999999996</v>
      </c>
      <c r="H149" s="95">
        <v>393.6</v>
      </c>
      <c r="I149" s="95">
        <v>107.1</v>
      </c>
      <c r="J149" s="95">
        <v>130</v>
      </c>
      <c r="K149" s="92">
        <f>(H149+2*J149)/3</f>
        <v>217.86666666666667</v>
      </c>
      <c r="L149" s="92">
        <f>(5*(H149-J149)*I149)/(4*I149 + 3*(H149-J149))</f>
        <v>115.77903543307085</v>
      </c>
      <c r="M149" s="92">
        <f>(H149-J149+3*I149)/5</f>
        <v>116.97999999999999</v>
      </c>
      <c r="N149" s="92">
        <f>0.5*(M149+L149)</f>
        <v>116.37951771653542</v>
      </c>
      <c r="O149" s="92">
        <f>0.5*(H149-J149)+3/(5/(I149-0.5*(H149-J149))-4*(-3*(K149+(H149-J149))/(5*0.5*(H149-J149)*(3*K149+2*(H149-J149)))))</f>
        <v>116.41572650254216</v>
      </c>
      <c r="P149" s="92">
        <f>I149+2/(5/(0.5*(H149-J149)-I149)-6*(-(3*(K149+2*I149))/(5*I149*(3*K149+4*I149))))</f>
        <v>116.36561881140813</v>
      </c>
      <c r="Q149" s="92">
        <f>(O149+P149)/2</f>
        <v>116.39067265697514</v>
      </c>
      <c r="R149" s="92">
        <f>K149/N149</f>
        <v>1.8720361704653445</v>
      </c>
      <c r="S149" s="92">
        <f>(3*K149-2*N149)/(2*(3*K149+N149))</f>
        <v>0.27328062298006472</v>
      </c>
      <c r="T149" s="92">
        <f>9*N149*K149/(N149+3*K149)</f>
        <v>296.36756964045941</v>
      </c>
      <c r="U149" s="92">
        <f>SQRT((K149+4/3*N149)/G149)</f>
        <v>7.2938423669528367</v>
      </c>
      <c r="V149" s="92">
        <f>SQRT(K149/G149)</f>
        <v>5.5740959563975565</v>
      </c>
      <c r="W149" s="92">
        <f>SQRT(N149/G149)</f>
        <v>4.0739652744128074</v>
      </c>
      <c r="X149" s="8">
        <f>SQRT((K149/N149) +4/3)</f>
        <v>1.7903545748813774</v>
      </c>
      <c r="Y149" s="8">
        <f>J149/H149</f>
        <v>0.33028455284552843</v>
      </c>
      <c r="Z149" s="8">
        <f>I149/H149</f>
        <v>0.27210365853658536</v>
      </c>
      <c r="AA149" s="93">
        <f>2*I149/(H149-J149)</f>
        <v>0.81259484066767818</v>
      </c>
      <c r="AB149" s="93">
        <f>5*M149/L149 +1 -6</f>
        <v>5.186450908132656E-2</v>
      </c>
      <c r="AC149" s="93">
        <f>SQRT(5)*LN(M149/L149)</f>
        <v>2.3075041847888045E-2</v>
      </c>
      <c r="AD149" s="92">
        <f>100*(M149-L149)/(M149+L149)</f>
        <v>0.51596904270316857</v>
      </c>
      <c r="AE149" s="92"/>
      <c r="AF149" s="91">
        <f>-(2*H149*I149-(H149-J149)*(H149+2*J149))/(2*H149*I149+(H149-J149)*(H149+2*J149))</f>
        <v>0.34287021944981044</v>
      </c>
      <c r="AG149" s="91">
        <f>(4*J149*I149)/(2*H149*I149+(H149-J149)*(H149+2*J149))</f>
        <v>0.2170398157304996</v>
      </c>
      <c r="AH149" s="91"/>
      <c r="AI149" s="90">
        <f>(H149+J149)/((H149-J149)*(H149+2*J149))</f>
        <v>3.0390803914539851E-3</v>
      </c>
      <c r="AJ149" s="90">
        <f>1/I149</f>
        <v>9.3370681605975722E-3</v>
      </c>
      <c r="AK149" s="90">
        <f>-J149/((H149-J149)*(H149+2*J149))</f>
        <v>-7.545463156780329E-4</v>
      </c>
    </row>
    <row r="150" spans="1:37">
      <c r="A150" t="s">
        <v>1137</v>
      </c>
      <c r="B150" t="s">
        <v>1137</v>
      </c>
      <c r="C150" t="s">
        <v>1129</v>
      </c>
      <c r="D150" t="s">
        <v>1100</v>
      </c>
      <c r="E150" s="57">
        <v>7</v>
      </c>
      <c r="F150" s="57">
        <v>4</v>
      </c>
      <c r="G150" s="69">
        <v>4.585</v>
      </c>
      <c r="H150" s="95">
        <v>255</v>
      </c>
      <c r="I150" s="95">
        <v>90</v>
      </c>
      <c r="J150" s="95">
        <v>80</v>
      </c>
      <c r="K150" s="92">
        <f>(H150+2*J150)/3</f>
        <v>138.33333333333334</v>
      </c>
      <c r="L150" s="92">
        <f>(5*(H150-J150)*I150)/(4*I150 + 3*(H150-J150))</f>
        <v>88.983050847457633</v>
      </c>
      <c r="M150" s="92">
        <f>(H150-J150+3*I150)/5</f>
        <v>89</v>
      </c>
      <c r="N150" s="92">
        <f>0.5*(M150+L150)</f>
        <v>88.991525423728817</v>
      </c>
      <c r="O150" s="92">
        <f>0.5*(H150-J150)+3/(5/(I150-0.5*(H150-J150))-4*(-3*(K150+(H150-J150))/(5*0.5*(H150-J150)*(3*K150+2*(H150-J150)))))</f>
        <v>88.991621294391166</v>
      </c>
      <c r="P150" s="92">
        <f>I150+2/(5/(0.5*(H150-J150)-I150)-6*(-(3*(K150+2*I150))/(5*I150*(3*K150+4*I150))))</f>
        <v>88.991716900125766</v>
      </c>
      <c r="Q150" s="92">
        <f>(O150+P150)/2</f>
        <v>88.991669097258466</v>
      </c>
      <c r="R150" s="92">
        <f>K150/N150</f>
        <v>1.5544551312573407</v>
      </c>
      <c r="S150" s="92">
        <f>(3*K150-2*N150)/(2*(3*K150+N150))</f>
        <v>0.23513981604479492</v>
      </c>
      <c r="T150" s="92">
        <f>9*N150*K150/(N150+3*K150)</f>
        <v>219.83395268282021</v>
      </c>
      <c r="U150" s="92">
        <f>SQRT((K150+4/3*N150)/G150)</f>
        <v>7.4866467905760228</v>
      </c>
      <c r="V150" s="92">
        <f>SQRT(K150/G150)</f>
        <v>5.4927995562135798</v>
      </c>
      <c r="W150" s="92">
        <f>SQRT(N150/G150)</f>
        <v>4.4055958622616105</v>
      </c>
      <c r="X150" s="8">
        <f>SQRT((K150/N150) +4/3)</f>
        <v>1.6993494239239539</v>
      </c>
      <c r="Y150" s="8">
        <f>J150/H150</f>
        <v>0.31372549019607843</v>
      </c>
      <c r="Z150" s="8">
        <f>I150/H150</f>
        <v>0.35294117647058826</v>
      </c>
      <c r="AA150" s="93">
        <f>2*I150/(H150-J150)</f>
        <v>1.0285714285714285</v>
      </c>
      <c r="AB150" s="93">
        <f>5*M150/L150 +1 -6</f>
        <v>9.5238095238059373E-4</v>
      </c>
      <c r="AC150" s="93">
        <f>SQRT(5)*LN(M150/L150)</f>
        <v>4.2587715155846826E-4</v>
      </c>
      <c r="AD150" s="92">
        <f>100*(M150-L150)/(M150+L150)</f>
        <v>9.5229025807030809E-3</v>
      </c>
      <c r="AE150" s="92"/>
      <c r="AF150" s="91">
        <f>-(2*H150*I150-(H150-J150)*(H150+2*J150))/(2*H150*I150+(H150-J150)*(H150+2*J150))</f>
        <v>0.22547985657034381</v>
      </c>
      <c r="AG150" s="91">
        <f>(4*J150*I150)/(2*H150*I150+(H150-J150)*(H150+2*J150))</f>
        <v>0.24298671166420585</v>
      </c>
      <c r="AH150" s="91"/>
      <c r="AI150" s="90">
        <f>(H150+J150)/((H150-J150)*(H150+2*J150))</f>
        <v>4.6127366609294319E-3</v>
      </c>
      <c r="AJ150" s="90">
        <f>1/I150</f>
        <v>1.1111111111111112E-2</v>
      </c>
      <c r="AK150" s="90">
        <f>-J150/((H150-J150)*(H150+2*J150))</f>
        <v>-1.1015490533562823E-3</v>
      </c>
    </row>
    <row r="151" spans="1:37" ht="12.75" customHeight="1">
      <c r="G151" s="69"/>
      <c r="U151" s="92"/>
      <c r="V151" s="92"/>
      <c r="W151" s="92"/>
      <c r="X151" s="9"/>
      <c r="Y151" s="8"/>
      <c r="Z151" s="8"/>
      <c r="AA151" s="106"/>
      <c r="AB151" s="93"/>
      <c r="AC151" s="93"/>
      <c r="AD151" s="92"/>
      <c r="AE151" s="92"/>
      <c r="AF151" s="91"/>
      <c r="AG151" s="91"/>
      <c r="AH151" s="91"/>
      <c r="AI151" s="90"/>
      <c r="AJ151" s="90"/>
      <c r="AK151" s="90"/>
    </row>
    <row r="152" spans="1:37">
      <c r="A152" t="s">
        <v>1136</v>
      </c>
      <c r="B152" t="s">
        <v>1135</v>
      </c>
      <c r="C152" t="s">
        <v>1129</v>
      </c>
      <c r="D152" s="35" t="s">
        <v>1128</v>
      </c>
      <c r="E152" s="57">
        <v>7</v>
      </c>
      <c r="F152" s="57" t="s">
        <v>1134</v>
      </c>
      <c r="G152" s="69">
        <v>9.15</v>
      </c>
      <c r="H152" s="95">
        <v>129</v>
      </c>
      <c r="I152" s="95">
        <v>24.7</v>
      </c>
      <c r="J152" s="95">
        <v>29.4</v>
      </c>
      <c r="K152" s="92">
        <f>(H152+2*J152)/3</f>
        <v>62.6</v>
      </c>
      <c r="L152" s="92">
        <f>(5*(H152-J152)*I152)/(4*I152 + 3*(H152-J152))</f>
        <v>30.937122736418516</v>
      </c>
      <c r="M152" s="92">
        <f>(H152-J152+3*I152)/5</f>
        <v>34.739999999999995</v>
      </c>
      <c r="N152" s="92">
        <f>0.5*(M152+L152)</f>
        <v>32.838561368209255</v>
      </c>
      <c r="O152" s="92">
        <f>0.5*(H152-J152)+3/(5/(I152-0.5*(H152-J152))-4*(-3*(K152+(H152-J152))/(5*0.5*(H152-J152)*(3*K152+2*(H152-J152)))))</f>
        <v>33.040650714536547</v>
      </c>
      <c r="P152" s="92">
        <f>I152+2/(5/(0.5*(H152-J152)-I152)-6*(-(3*(K152+2*I152))/(5*I152*(3*K152+4*I152))))</f>
        <v>32.507613419803661</v>
      </c>
      <c r="Q152" s="92">
        <f>(O152+P152)/2</f>
        <v>32.7741320671701</v>
      </c>
      <c r="R152" s="92">
        <f>K152/N152</f>
        <v>1.9062954463225223</v>
      </c>
      <c r="S152" s="92">
        <f>(3*K152-2*N152)/(2*(3*K152+N152))</f>
        <v>0.27674871633109188</v>
      </c>
      <c r="T152" s="92">
        <f>9*N152*K152/(N152+3*K152)</f>
        <v>83.853182146041888</v>
      </c>
      <c r="U152" s="92">
        <f>SQRT((K152+4/3*N152)/G152)</f>
        <v>3.4098018225339448</v>
      </c>
      <c r="V152" s="92">
        <f>SQRT(K152/G152)</f>
        <v>2.6156318652755415</v>
      </c>
      <c r="W152" s="92">
        <f>SQRT(N152/G152)</f>
        <v>1.894442876080789</v>
      </c>
      <c r="X152" s="8">
        <f>SQRT((K152/N152) +4/3)</f>
        <v>1.7998968802839388</v>
      </c>
      <c r="Y152" s="8">
        <f>J152/H152</f>
        <v>0.22790697674418603</v>
      </c>
      <c r="Z152" s="8">
        <f>I152/H152</f>
        <v>0.19147286821705425</v>
      </c>
      <c r="AA152" s="93">
        <f>2*I152/(H152-J152)</f>
        <v>0.49598393574297189</v>
      </c>
      <c r="AB152" s="93">
        <f>5*M152/L152 +1 -6</f>
        <v>0.61461392127213177</v>
      </c>
      <c r="AC152" s="93">
        <f>SQRT(5)*LN(M152/L152)</f>
        <v>0.25923835076432511</v>
      </c>
      <c r="AD152" s="92">
        <f>100*(M152-L152)/(M152+L152)</f>
        <v>5.7902616697195111</v>
      </c>
      <c r="AE152" s="92"/>
      <c r="AF152" s="91">
        <f>-(2*H152*I152-(H152-J152)*(H152+2*J152))/(2*H152*I152+(H152-J152)*(H152+2*J152))</f>
        <v>0.49176711535608852</v>
      </c>
      <c r="AG152" s="91">
        <f>(4*J152*I152)/(2*H152*I152+(H152-J152)*(H152+2*J152))</f>
        <v>0.11582982022117054</v>
      </c>
      <c r="AH152" s="91"/>
      <c r="AI152" s="90">
        <f>(H152+J152)/((H152-J152)*(H152+2*J152))</f>
        <v>8.4683783055544866E-3</v>
      </c>
      <c r="AJ152" s="90">
        <f>1/I152</f>
        <v>4.048582995951417E-2</v>
      </c>
      <c r="AK152" s="90">
        <f>-J152/((H152-J152)*(H152+2*J152))</f>
        <v>-1.5717823370157947E-3</v>
      </c>
    </row>
    <row r="153" spans="1:37">
      <c r="A153" t="s">
        <v>1133</v>
      </c>
      <c r="B153" t="s">
        <v>1132</v>
      </c>
      <c r="C153" t="s">
        <v>1129</v>
      </c>
      <c r="D153" s="35" t="s">
        <v>1128</v>
      </c>
      <c r="E153" s="57">
        <v>7</v>
      </c>
      <c r="F153" s="57">
        <v>4</v>
      </c>
      <c r="G153" s="69">
        <v>9.23</v>
      </c>
      <c r="H153" s="95">
        <v>127.5</v>
      </c>
      <c r="I153" s="96">
        <v>25.5</v>
      </c>
      <c r="J153" s="95">
        <v>28</v>
      </c>
      <c r="K153" s="92">
        <f>(H153+2*J153)/3</f>
        <v>61.166666666666664</v>
      </c>
      <c r="L153" s="92">
        <f>(5*(H153-J153)*I153)/(4*I153 + 3*(H153-J153))</f>
        <v>31.676029962546817</v>
      </c>
      <c r="M153" s="92">
        <f>(H153-J153+3*I153)/5</f>
        <v>35.200000000000003</v>
      </c>
      <c r="N153" s="92">
        <f>0.5*(M153+L153)</f>
        <v>33.438014981273412</v>
      </c>
      <c r="O153" s="92">
        <f>0.5*(H153-J153)+3/(5/(I153-0.5*(H153-J153))-4*(-3*(K153+(H153-J153))/(5*0.5*(H153-J153)*(3*K153+2*(H153-J153)))))</f>
        <v>33.614214869386508</v>
      </c>
      <c r="P153" s="92">
        <f>I153+2/(5/(0.5*(H153-J153)-I153)-6*(-(3*(K153+2*I153))/(5*I153*(3*K153+4*I153))))</f>
        <v>33.143778656691218</v>
      </c>
      <c r="Q153" s="92">
        <f>(O153+P153)/2</f>
        <v>33.378996763038863</v>
      </c>
      <c r="R153" s="92">
        <f>K153/N153</f>
        <v>1.8292553161700051</v>
      </c>
      <c r="S153" s="92">
        <f>(3*K153-2*N153)/(2*(3*K153+N153))</f>
        <v>0.26879560515827627</v>
      </c>
      <c r="T153" s="92">
        <f>9*N153*K153/(N153+3*K153)</f>
        <v>84.85201290691262</v>
      </c>
      <c r="U153" s="92">
        <f>SQRT((K153+4/3*N153)/G153)</f>
        <v>3.3848602865476183</v>
      </c>
      <c r="V153" s="92">
        <f>SQRT(K153/G153)</f>
        <v>2.5742845868286177</v>
      </c>
      <c r="W153" s="92">
        <f>SQRT(N153/G153)</f>
        <v>1.9033532302486256</v>
      </c>
      <c r="X153" s="8">
        <f>SQRT((K153/N153) +4/3)</f>
        <v>1.7783668489665845</v>
      </c>
      <c r="Y153" s="8">
        <f>J153/H153</f>
        <v>0.2196078431372549</v>
      </c>
      <c r="Z153" s="8">
        <f>I153/H153</f>
        <v>0.2</v>
      </c>
      <c r="AA153" s="93">
        <f>2*I153/(H153-J153)</f>
        <v>0.51256281407035176</v>
      </c>
      <c r="AB153" s="93">
        <f>5*M153/L153 +1 -6</f>
        <v>0.55625184747265699</v>
      </c>
      <c r="AC153" s="93">
        <f>SQRT(5)*LN(M153/L153)</f>
        <v>0.23587350968503223</v>
      </c>
      <c r="AD153" s="92">
        <f>100*(M153-L153)/(M153+L153)</f>
        <v>5.2694067507098517</v>
      </c>
      <c r="AE153" s="92"/>
      <c r="AF153" s="91">
        <f>-(2*H153*I153-(H153-J153)*(H153+2*J153))/(2*H153*I153+(H153-J153)*(H153+2*J153))</f>
        <v>0.47477358319113921</v>
      </c>
      <c r="AG153" s="91">
        <f>(4*J153*I153)/(2*H153*I153+(H153-J153)*(H153+2*J153))</f>
        <v>0.11534384055410277</v>
      </c>
      <c r="AH153" s="91"/>
      <c r="AI153" s="90">
        <f>(H153+J153)/((H153-J153)*(H153+2*J153))</f>
        <v>8.5166979310722542E-3</v>
      </c>
      <c r="AJ153" s="90">
        <f>1/I153</f>
        <v>3.9215686274509803E-2</v>
      </c>
      <c r="AK153" s="90">
        <f>-J153/((H153-J153)*(H153+2*J153))</f>
        <v>-1.5335533252091519E-3</v>
      </c>
    </row>
    <row r="154" spans="1:37">
      <c r="A154" t="s">
        <v>1131</v>
      </c>
      <c r="B154" t="s">
        <v>1130</v>
      </c>
      <c r="C154" t="s">
        <v>1129</v>
      </c>
      <c r="D154" s="35" t="s">
        <v>1128</v>
      </c>
      <c r="E154" s="57">
        <v>7</v>
      </c>
      <c r="F154" s="57">
        <v>4</v>
      </c>
      <c r="G154" s="69">
        <v>9.0739999999999998</v>
      </c>
      <c r="H154" s="95">
        <v>125</v>
      </c>
      <c r="I154" s="95">
        <v>24.2</v>
      </c>
      <c r="J154" s="95">
        <v>27.5</v>
      </c>
      <c r="K154" s="92">
        <f>(H154+2*J154)/3</f>
        <v>60</v>
      </c>
      <c r="L154" s="92">
        <f>(5*(H154-J154)*I154)/(4*I154 + 3*(H154-J154))</f>
        <v>30.304392499357821</v>
      </c>
      <c r="M154" s="92">
        <f>(H154-J154+3*I154)/5</f>
        <v>34.019999999999996</v>
      </c>
      <c r="N154" s="92">
        <f>0.5*(M154+L154)</f>
        <v>32.162196249678907</v>
      </c>
      <c r="O154" s="92">
        <f>0.5*(H154-J154)+3/(5/(I154-0.5*(H154-J154))-4*(-3*(K154+(H154-J154))/(5*0.5*(H154-J154)*(3*K154+2*(H154-J154)))))</f>
        <v>32.355577716530689</v>
      </c>
      <c r="P154" s="92">
        <f>I154+2/(5/(0.5*(H154-J154)-I154)-6*(-(3*(K154+2*I154))/(5*I154*(3*K154+4*I154))))</f>
        <v>31.835823599978383</v>
      </c>
      <c r="Q154" s="92">
        <f>(O154+P154)/2</f>
        <v>32.095700658254536</v>
      </c>
      <c r="R154" s="92">
        <f>K154/N154</f>
        <v>1.8655442412642766</v>
      </c>
      <c r="S154" s="92">
        <f>(3*K154-2*N154)/(2*(3*K154+N154))</f>
        <v>0.27261126050116774</v>
      </c>
      <c r="T154" s="92">
        <f>9*N154*K154/(N154+3*K154)</f>
        <v>81.859946219579598</v>
      </c>
      <c r="U154" s="92">
        <f>SQRT((K154+4/3*N154)/G154)</f>
        <v>3.3672260377693561</v>
      </c>
      <c r="V154" s="92">
        <f>SQRT(K154/G154)</f>
        <v>2.5714390671196532</v>
      </c>
      <c r="W154" s="92">
        <f>SQRT(N154/G154)</f>
        <v>1.8826667881338015</v>
      </c>
      <c r="X154" s="8">
        <f>SQRT((K154/N154) +4/3)</f>
        <v>1.7885406270469815</v>
      </c>
      <c r="Y154" s="8">
        <f>J154/H154</f>
        <v>0.22</v>
      </c>
      <c r="Z154" s="8">
        <f>I154/H154</f>
        <v>0.19359999999999999</v>
      </c>
      <c r="AA154" s="93">
        <f>2*I154/(H154-J154)</f>
        <v>0.49641025641025638</v>
      </c>
      <c r="AB154" s="93">
        <f>5*M154/L154 +1 -6</f>
        <v>0.61304767959313278</v>
      </c>
      <c r="AC154" s="93">
        <f>SQRT(5)*LN(M154/L154)</f>
        <v>0.25861449461143232</v>
      </c>
      <c r="AD154" s="92">
        <f>100*(M154-L154)/(M154+L154)</f>
        <v>5.7763584796844683</v>
      </c>
      <c r="AE154" s="92"/>
      <c r="AF154" s="91">
        <f>-(2*H154*I154-(H154-J154)*(H154+2*J154))/(2*H154*I154+(H154-J154)*(H154+2*J154))</f>
        <v>0.48728813559322032</v>
      </c>
      <c r="AG154" s="91">
        <f>(4*J154*I154)/(2*H154*I154+(H154-J154)*(H154+2*J154))</f>
        <v>0.11279661016949152</v>
      </c>
      <c r="AH154" s="91"/>
      <c r="AI154" s="90">
        <f>(H154+J154)/((H154-J154)*(H154+2*J154))</f>
        <v>8.6894586894586887E-3</v>
      </c>
      <c r="AJ154" s="90">
        <f>1/I154</f>
        <v>4.1322314049586778E-2</v>
      </c>
      <c r="AK154" s="90">
        <f>-J154/((H154-J154)*(H154+2*J154))</f>
        <v>-1.5669515669515669E-3</v>
      </c>
    </row>
    <row r="155" spans="1:37">
      <c r="D155" s="35"/>
      <c r="G155" s="69"/>
      <c r="H155" s="95"/>
      <c r="I155" s="95"/>
      <c r="J155" s="95"/>
      <c r="U155" s="92"/>
      <c r="V155" s="92"/>
      <c r="W155" s="92"/>
      <c r="X155" s="8"/>
      <c r="Y155" s="8"/>
      <c r="Z155" s="8"/>
      <c r="AA155" s="93"/>
      <c r="AB155" s="93"/>
      <c r="AC155" s="93"/>
      <c r="AD155" s="92"/>
      <c r="AE155" s="92"/>
      <c r="AF155" s="91"/>
      <c r="AG155" s="91"/>
      <c r="AH155" s="91"/>
      <c r="AI155" s="90"/>
      <c r="AJ155" s="90"/>
      <c r="AK155" s="90"/>
    </row>
    <row r="156" spans="1:37" ht="12.75" customHeight="1">
      <c r="A156" s="38" t="s">
        <v>1127</v>
      </c>
      <c r="U156" s="92"/>
      <c r="V156" s="92"/>
      <c r="W156" s="92"/>
      <c r="X156" s="9"/>
      <c r="Y156" s="8"/>
      <c r="Z156" s="8"/>
      <c r="AA156" s="106"/>
      <c r="AB156" s="93"/>
      <c r="AC156" s="93"/>
      <c r="AD156" s="92"/>
      <c r="AE156" s="92"/>
      <c r="AF156" s="91"/>
      <c r="AG156" s="91"/>
      <c r="AH156" s="91"/>
      <c r="AI156" s="90"/>
      <c r="AJ156" s="90"/>
      <c r="AK156" s="90"/>
    </row>
    <row r="157" spans="1:37">
      <c r="A157" t="s">
        <v>1126</v>
      </c>
      <c r="B157" t="s">
        <v>1125</v>
      </c>
      <c r="C157" t="s">
        <v>1116</v>
      </c>
      <c r="D157" t="s">
        <v>1115</v>
      </c>
      <c r="E157" s="57">
        <v>7</v>
      </c>
      <c r="F157" s="57" t="s">
        <v>1119</v>
      </c>
      <c r="G157" s="69">
        <v>4.8860000000000001</v>
      </c>
      <c r="H157" s="95">
        <v>91.1</v>
      </c>
      <c r="I157" s="95">
        <v>25.3</v>
      </c>
      <c r="J157" s="96">
        <v>41</v>
      </c>
      <c r="K157" s="92">
        <f>(H157+2*J157)/3</f>
        <v>57.699999999999996</v>
      </c>
      <c r="L157" s="92">
        <f>(5*(H157-J157)*I157)/(4*I157 + 3*(H157-J157))</f>
        <v>25.199403578528827</v>
      </c>
      <c r="M157" s="92">
        <f>(H157-J157+3*I157)/5</f>
        <v>25.2</v>
      </c>
      <c r="N157" s="92">
        <f>0.5*(M157+L157)</f>
        <v>25.199701789264413</v>
      </c>
      <c r="O157" s="92">
        <f>0.5*(H157-J157)+3/(5/(I157-0.5*(H157-J157))-4*(-3*(K157+(H157-J157))/(5*0.5*(H157-J157)*(3*K157+2*(H157-J157)))))</f>
        <v>25.199717105783979</v>
      </c>
      <c r="P157" s="92">
        <f>I157+2/(5/(0.5*(H157-J157)-I157)-6*(-(3*(K157+2*I157))/(5*I157*(3*K157+4*I157))))</f>
        <v>25.199718306846989</v>
      </c>
      <c r="Q157" s="92">
        <f>(O157+P157)/2</f>
        <v>25.199717706315482</v>
      </c>
      <c r="R157" s="92">
        <f>K157/N157</f>
        <v>2.289709635555345</v>
      </c>
      <c r="S157" s="92">
        <f>(3*K157-2*N157)/(2*(3*K157+N157))</f>
        <v>0.30938169678103361</v>
      </c>
      <c r="T157" s="92">
        <f>9*N157*K157/(N157+3*K157)</f>
        <v>65.992056574406163</v>
      </c>
      <c r="U157" s="92">
        <f>SQRT((K157+4/3*N157)/G157)</f>
        <v>4.3227260349988113</v>
      </c>
      <c r="V157" s="92">
        <f>SQRT(K157/G157)</f>
        <v>3.4364590672665916</v>
      </c>
      <c r="W157" s="92">
        <f>SQRT(N157/G157)</f>
        <v>2.2710200548417294</v>
      </c>
      <c r="X157" s="8">
        <f>SQRT((K157/N157) +4/3)</f>
        <v>1.9034292655333107</v>
      </c>
      <c r="Y157" s="8">
        <f>J157/H157</f>
        <v>0.45005488474204175</v>
      </c>
      <c r="Z157" s="8">
        <f>I157/H157</f>
        <v>0.27771679473106481</v>
      </c>
      <c r="AA157" s="93">
        <f>2*I157/(H157-J157)</f>
        <v>1.0099800399201597</v>
      </c>
      <c r="AB157" s="93">
        <f>5*M157/L157 +1 -6</f>
        <v>1.1834039431057874E-4</v>
      </c>
      <c r="AC157" s="93">
        <f>SQRT(5)*LN(M157/L157)</f>
        <v>5.2922806944402994E-5</v>
      </c>
      <c r="AD157" s="92">
        <f>100*(M157-L157)/(M157+L157)</f>
        <v>1.1833899388177199E-3</v>
      </c>
      <c r="AE157" s="92"/>
      <c r="AF157" s="91">
        <f>-(2*H157*I157-(H157-J157)*(H157+2*J157))/(2*H157*I157+(H157-J157)*(H157+2*J157))</f>
        <v>0.30587706492335098</v>
      </c>
      <c r="AG157" s="91">
        <f>(4*J157*I157)/(2*H157*I157+(H157-J157)*(H157+2*J157))</f>
        <v>0.31239341754272898</v>
      </c>
      <c r="AH157" s="91"/>
      <c r="AI157" s="90">
        <f>(H157+J157)/((H157-J157)*(H157+2*J157))</f>
        <v>1.5232389063582829E-2</v>
      </c>
      <c r="AJ157" s="90">
        <f>1/I157</f>
        <v>3.9525691699604744E-2</v>
      </c>
      <c r="AK157" s="90">
        <f>-J157/((H157-J157)*(H157+2*J157))</f>
        <v>-4.7276907767365333E-3</v>
      </c>
    </row>
    <row r="158" spans="1:37">
      <c r="A158" t="s">
        <v>1124</v>
      </c>
      <c r="B158" t="s">
        <v>1124</v>
      </c>
      <c r="C158" t="s">
        <v>1116</v>
      </c>
      <c r="D158" t="s">
        <v>1115</v>
      </c>
      <c r="E158" s="57">
        <v>7</v>
      </c>
      <c r="F158" s="57">
        <v>11</v>
      </c>
      <c r="G158" s="57">
        <v>6.3860000000000001</v>
      </c>
      <c r="H158" s="95">
        <v>182.7</v>
      </c>
      <c r="I158" s="95">
        <v>21.75</v>
      </c>
      <c r="J158" s="95">
        <v>66.739999999999995</v>
      </c>
      <c r="K158" s="92">
        <f>(H158+2*J158)/3</f>
        <v>105.39333333333332</v>
      </c>
      <c r="L158" s="92">
        <f>(5*(H158-J158)*I158)/(4*I158 + 3*(H158-J158))</f>
        <v>28.997999448123618</v>
      </c>
      <c r="M158" s="92">
        <f>(H158-J158+3*I158)/5</f>
        <v>36.241999999999997</v>
      </c>
      <c r="N158" s="92">
        <f>0.5*(M158+L158)</f>
        <v>32.619999724061806</v>
      </c>
      <c r="O158" s="92">
        <f>0.5*(H158-J158)+3/(5/(I158-0.5*(H158-J158))-4*(-3*(K158+(H158-J158))/(5*0.5*(H158-J158)*(3*K158+2*(H158-J158)))))</f>
        <v>33.245920154723159</v>
      </c>
      <c r="P158" s="92">
        <f>I158+2/(5/(0.5*(H158-J158)-I158)-6*(-(3*(K158+2*I158))/(5*I158*(3*K158+4*I158))))</f>
        <v>31.79357574116117</v>
      </c>
      <c r="Q158" s="92">
        <f>(O158+P158)/2</f>
        <v>32.519747947942165</v>
      </c>
      <c r="R158" s="92">
        <f>K158/N158</f>
        <v>3.2309421896037298</v>
      </c>
      <c r="S158" s="92">
        <f>(3*K158-2*N158)/(2*(3*K158+N158))</f>
        <v>0.35971903777293118</v>
      </c>
      <c r="T158" s="92">
        <f>9*N158*K158/(N158+3*K158)</f>
        <v>88.708069273909203</v>
      </c>
      <c r="U158" s="92">
        <f>SQRT((K158+4/3*N158)/G158)</f>
        <v>4.8285134534530192</v>
      </c>
      <c r="V158" s="92">
        <f>SQRT(K158/G158)</f>
        <v>4.0624882053519951</v>
      </c>
      <c r="W158" s="92">
        <f>SQRT(N158/G158)</f>
        <v>2.2600992928773169</v>
      </c>
      <c r="X158" s="8">
        <f>SQRT((K158/N158) +4/3)</f>
        <v>2.1364165143850258</v>
      </c>
      <c r="Y158" s="8">
        <f>J158/H158</f>
        <v>0.36529830322933771</v>
      </c>
      <c r="Z158" s="8">
        <f>I158/H158</f>
        <v>0.11904761904761905</v>
      </c>
      <c r="AA158" s="93">
        <f>2*I158/(H158-J158)</f>
        <v>0.37512935494998279</v>
      </c>
      <c r="AB158" s="93">
        <f>5*M158/L158 +1 -6</f>
        <v>1.2490517776641168</v>
      </c>
      <c r="AC158" s="93">
        <f>SQRT(5)*LN(M158/L158)</f>
        <v>0.49862487740607542</v>
      </c>
      <c r="AD158" s="92">
        <f>100*(M158-L158)/(M158+L158)</f>
        <v>11.103618352474903</v>
      </c>
      <c r="AE158" s="92"/>
      <c r="AF158" s="91">
        <f>-(2*H158*I158-(H158-J158)*(H158+2*J158))/(2*H158*I158+(H158-J158)*(H158+2*J158))</f>
        <v>0.64370543762585875</v>
      </c>
      <c r="AG158" s="91">
        <f>(4*J158*I158)/(2*H158*I158+(H158-J158)*(H158+2*J158))</f>
        <v>0.13015379908511321</v>
      </c>
      <c r="AH158" s="91"/>
      <c r="AI158" s="90">
        <f>(H158+J158)/((H158-J158)*(H158+2*J158))</f>
        <v>6.8033606856216572E-3</v>
      </c>
      <c r="AJ158" s="90">
        <f>1/I158</f>
        <v>4.5977011494252873E-2</v>
      </c>
      <c r="AK158" s="90">
        <f>-J158/((H158-J158)*(H158+2*J158))</f>
        <v>-1.8203026465618561E-3</v>
      </c>
    </row>
    <row r="159" spans="1:37">
      <c r="A159" t="s">
        <v>1123</v>
      </c>
      <c r="B159" t="s">
        <v>1122</v>
      </c>
      <c r="C159" t="s">
        <v>1116</v>
      </c>
      <c r="D159" t="s">
        <v>1115</v>
      </c>
      <c r="E159" s="57">
        <v>7</v>
      </c>
      <c r="F159" s="57" t="s">
        <v>1119</v>
      </c>
      <c r="G159" s="69">
        <v>3.181</v>
      </c>
      <c r="H159" s="95">
        <v>164.6</v>
      </c>
      <c r="I159" s="95">
        <v>33.799999999999997</v>
      </c>
      <c r="J159" s="95">
        <v>44.4</v>
      </c>
      <c r="K159" s="92">
        <f>(H159+2*J159)/3</f>
        <v>84.466666666666654</v>
      </c>
      <c r="L159" s="92">
        <f>(5*(H159-J159)*I159)/(4*I159 + 3*(H159-J159))</f>
        <v>40.971762807583708</v>
      </c>
      <c r="M159" s="92">
        <f>(H159-J159+3*I159)/5</f>
        <v>44.319999999999993</v>
      </c>
      <c r="N159" s="92">
        <f>0.5*(M159+L159)</f>
        <v>42.645881403791847</v>
      </c>
      <c r="O159" s="92">
        <f>0.5*(H159-J159)+3/(5/(I159-0.5*(H159-J159))-4*(-3*(K159+(H159-J159))/(5*0.5*(H159-J159)*(3*K159+2*(H159-J159)))))</f>
        <v>42.815184359681382</v>
      </c>
      <c r="P159" s="92">
        <f>I159+2/(5/(0.5*(H159-J159)-I159)-6*(-(3*(K159+2*I159))/(5*I159*(3*K159+4*I159))))</f>
        <v>42.42838664130786</v>
      </c>
      <c r="Q159" s="92">
        <f>(O159+P159)/2</f>
        <v>42.621785500494624</v>
      </c>
      <c r="R159" s="92">
        <f>K159/N159</f>
        <v>1.9806523839171095</v>
      </c>
      <c r="S159" s="92">
        <f>(3*K159-2*N159)/(2*(3*K159+N159))</f>
        <v>0.28392260752840032</v>
      </c>
      <c r="T159" s="92">
        <f>9*N159*K159/(N159+3*K159)</f>
        <v>109.50802250460669</v>
      </c>
      <c r="U159" s="92">
        <f>SQRT((K159+4/3*N159)/G159)</f>
        <v>6.66548919929114</v>
      </c>
      <c r="V159" s="92">
        <f>SQRT(K159/G159)</f>
        <v>5.1530083163297</v>
      </c>
      <c r="W159" s="92">
        <f>SQRT(N159/G159)</f>
        <v>3.6614803929937754</v>
      </c>
      <c r="X159" s="8">
        <f>SQRT((K159/N159) +4/3)</f>
        <v>1.8204355844825828</v>
      </c>
      <c r="Y159" s="8">
        <f>J159/H159</f>
        <v>0.26974483596597815</v>
      </c>
      <c r="Z159" s="8">
        <f>I159/H159</f>
        <v>0.20534629404617252</v>
      </c>
      <c r="AA159" s="93">
        <f>2*I159/(H159-J159)</f>
        <v>0.5623960066555741</v>
      </c>
      <c r="AB159" s="93">
        <f>5*M159/L159 +1 -6</f>
        <v>0.40860301863757531</v>
      </c>
      <c r="AC159" s="93">
        <f>SQRT(5)*LN(M159/L159)</f>
        <v>0.17564968016707991</v>
      </c>
      <c r="AD159" s="92">
        <f>100*(M159-L159)/(M159+L159)</f>
        <v>3.9256278475212585</v>
      </c>
      <c r="AE159" s="92"/>
      <c r="AF159" s="91">
        <f>-(2*H159*I159-(H159-J159)*(H159+2*J159))/(2*H159*I159+(H159-J159)*(H159+2*J159))</f>
        <v>0.46486527560956131</v>
      </c>
      <c r="AG159" s="91">
        <f>(4*J159*I159)/(2*H159*I159+(H159-J159)*(H159+2*J159))</f>
        <v>0.14434982845039779</v>
      </c>
      <c r="AH159" s="91"/>
      <c r="AI159" s="90">
        <f>(H159+J159)/((H159-J159)*(H159+2*J159))</f>
        <v>6.8617550071112749E-3</v>
      </c>
      <c r="AJ159" s="90">
        <f>1/I159</f>
        <v>2.9585798816568049E-2</v>
      </c>
      <c r="AK159" s="90">
        <f>-J159/((H159-J159)*(H159+2*J159))</f>
        <v>-1.4577125469652659E-3</v>
      </c>
    </row>
    <row r="160" spans="1:37">
      <c r="A160" t="s">
        <v>1121</v>
      </c>
      <c r="B160" t="s">
        <v>1120</v>
      </c>
      <c r="C160" t="s">
        <v>1116</v>
      </c>
      <c r="D160" t="s">
        <v>1115</v>
      </c>
      <c r="E160" s="57">
        <v>7</v>
      </c>
      <c r="F160" s="57" t="s">
        <v>1119</v>
      </c>
      <c r="G160" s="57">
        <v>4.2779999999999996</v>
      </c>
      <c r="H160" s="95">
        <v>124</v>
      </c>
      <c r="I160" s="95">
        <v>31.8</v>
      </c>
      <c r="J160" s="95">
        <v>44</v>
      </c>
      <c r="K160" s="92">
        <f>(H160+2*J160)/3</f>
        <v>70.666666666666671</v>
      </c>
      <c r="L160" s="92">
        <f>(5*(H160-J160)*I160)/(4*I160 + 3*(H160-J160))</f>
        <v>34.640522875816991</v>
      </c>
      <c r="M160" s="92">
        <f>(H160-J160+3*I160)/5</f>
        <v>35.08</v>
      </c>
      <c r="N160" s="92">
        <f>0.5*(M160+L160)</f>
        <v>34.860261437908491</v>
      </c>
      <c r="O160" s="92">
        <f>0.5*(H160-J160)+3/(5/(I160-0.5*(H160-J160))-4*(-3*(K160+(H160-J160))/(5*0.5*(H160-J160)*(3*K160+2*(H160-J160)))))</f>
        <v>34.875780571059963</v>
      </c>
      <c r="P160" s="92">
        <f>I160+2/(5/(0.5*(H160-J160)-I160)-6*(-(3*(K160+2*I160))/(5*I160*(3*K160+4*I160))))</f>
        <v>34.855453027506812</v>
      </c>
      <c r="Q160" s="92">
        <f>(O160+P160)/2</f>
        <v>34.865616799283387</v>
      </c>
      <c r="R160" s="92">
        <f>K160/N160</f>
        <v>2.0271410411690378</v>
      </c>
      <c r="S160" s="92">
        <f>(3*K160-2*N160)/(2*(3*K160+N160))</f>
        <v>0.28817817070968682</v>
      </c>
      <c r="T160" s="92">
        <f>9*N160*K160/(N160+3*K160)</f>
        <v>89.812455619092802</v>
      </c>
      <c r="U160" s="92">
        <f>SQRT((K160+4/3*N160)/G160)</f>
        <v>5.2329335967228081</v>
      </c>
      <c r="V160" s="92">
        <f>SQRT(K160/G160)</f>
        <v>4.0643108160210257</v>
      </c>
      <c r="W160" s="92">
        <f>SQRT(N160/G160)</f>
        <v>2.8545978199850857</v>
      </c>
      <c r="X160" s="8">
        <f>SQRT((K160/N160) +4/3)</f>
        <v>1.8331596696693857</v>
      </c>
      <c r="Y160" s="8">
        <f>J160/H160</f>
        <v>0.35483870967741937</v>
      </c>
      <c r="Z160" s="8">
        <f>I160/H160</f>
        <v>0.25645161290322582</v>
      </c>
      <c r="AA160" s="93">
        <f>2*I160/(H160-J160)</f>
        <v>0.79500000000000004</v>
      </c>
      <c r="AB160" s="93">
        <f>5*M160/L160 +1 -6</f>
        <v>6.3433962264150878E-2</v>
      </c>
      <c r="AC160" s="93">
        <f>SQRT(5)*LN(M160/L160)</f>
        <v>2.8190085192089757E-2</v>
      </c>
      <c r="AD160" s="92">
        <f>100*(M160-L160)/(M160+L160)</f>
        <v>0.63034111916484581</v>
      </c>
      <c r="AE160" s="92"/>
      <c r="AF160" s="91">
        <f>-(2*H160*I160-(H160-J160)*(H160+2*J160))/(2*H160*I160+(H160-J160)*(H160+2*J160))</f>
        <v>0.36518771331058014</v>
      </c>
      <c r="AG160" s="91">
        <f>(4*J160*I160)/(2*H160*I160+(H160-J160)*(H160+2*J160))</f>
        <v>0.22525597269624573</v>
      </c>
      <c r="AH160" s="91"/>
      <c r="AI160" s="90">
        <f>(H160+J160)/((H160-J160)*(H160+2*J160))</f>
        <v>9.9056603773584901E-3</v>
      </c>
      <c r="AJ160" s="90">
        <f>1/I160</f>
        <v>3.1446540880503145E-2</v>
      </c>
      <c r="AK160" s="90">
        <f>-J160/((H160-J160)*(H160+2*J160))</f>
        <v>-2.5943396226415093E-3</v>
      </c>
    </row>
    <row r="161" spans="1:37">
      <c r="A161" t="s">
        <v>1118</v>
      </c>
      <c r="B161" t="s">
        <v>1117</v>
      </c>
      <c r="C161" t="s">
        <v>1116</v>
      </c>
      <c r="D161" t="s">
        <v>1115</v>
      </c>
      <c r="E161" s="57">
        <v>7</v>
      </c>
      <c r="F161" s="57">
        <v>3</v>
      </c>
      <c r="G161" s="69">
        <v>7.75</v>
      </c>
      <c r="H161" s="95">
        <v>95.6</v>
      </c>
      <c r="I161" s="95">
        <v>20.9</v>
      </c>
      <c r="J161" s="95">
        <v>46.3</v>
      </c>
      <c r="K161" s="92">
        <f>(H161+2*J161)/3</f>
        <v>62.733333333333327</v>
      </c>
      <c r="L161" s="92">
        <f>(5*(H161-J161)*I161)/(4*I161 + 3*(H161-J161))</f>
        <v>22.254211663066954</v>
      </c>
      <c r="M161" s="92">
        <f>(H161-J161+3*I161)/5</f>
        <v>22.4</v>
      </c>
      <c r="N161" s="92">
        <f>0.5*(M161+L161)</f>
        <v>22.327105831533476</v>
      </c>
      <c r="O161" s="92">
        <f>0.5*(H161-J161)+3/(5/(I161-0.5*(H161-J161))-4*(-3*(K161+(H161-J161))/(5*0.5*(H161-J161)*(3*K161+2*(H161-J161)))))</f>
        <v>22.333934530777697</v>
      </c>
      <c r="P161" s="92">
        <f>I161+2/(5/(0.5*(H161-J161)-I161)-6*(-(3*(K161+2*I161))/(5*I161*(3*K161+4*I161))))</f>
        <v>22.32900051317656</v>
      </c>
      <c r="Q161" s="92">
        <f>(O161+P161)/2</f>
        <v>22.331467521977128</v>
      </c>
      <c r="R161" s="92">
        <f>K161/N161</f>
        <v>2.8097387008723942</v>
      </c>
      <c r="S161" s="92">
        <f>(3*K161-2*N161)/(2*(3*K161+N161))</f>
        <v>0.34091996792992596</v>
      </c>
      <c r="T161" s="92">
        <f>9*N161*K161/(N161+3*K161)</f>
        <v>59.877724071175862</v>
      </c>
      <c r="U161" s="92">
        <f>SQRT((K161+4/3*N161)/G161)</f>
        <v>3.4548293973168773</v>
      </c>
      <c r="V161" s="92">
        <f>SQRT(K161/G161)</f>
        <v>2.8451052099903049</v>
      </c>
      <c r="W161" s="92">
        <f>SQRT(N161/G161)</f>
        <v>1.6973263921497805</v>
      </c>
      <c r="X161" s="8">
        <f>SQRT((K161/N161) +4/3)</f>
        <v>2.0354537661675658</v>
      </c>
      <c r="Y161" s="8">
        <f>J161/H161</f>
        <v>0.48430962343096234</v>
      </c>
      <c r="Z161" s="8">
        <f>I161/H161</f>
        <v>0.21861924686192469</v>
      </c>
      <c r="AA161" s="93">
        <f>2*I161/(H161-J161)</f>
        <v>0.84787018255578095</v>
      </c>
      <c r="AB161" s="93">
        <f>5*M161/L161 +1 -6</f>
        <v>3.2755223851625992E-2</v>
      </c>
      <c r="AC161" s="93">
        <f>SQRT(5)*LN(M161/L161)</f>
        <v>1.4600808203232283E-2</v>
      </c>
      <c r="AD161" s="92">
        <f>100*(M161-L161)/(M161+L161)</f>
        <v>0.32648283667635469</v>
      </c>
      <c r="AE161" s="92"/>
      <c r="AF161" s="91">
        <f>-(2*H161*I161-(H161-J161)*(H161+2*J161))/(2*H161*I161+(H161-J161)*(H161+2*J161))</f>
        <v>0.39792411524791432</v>
      </c>
      <c r="AG161" s="91">
        <f>(4*J161*I161)/(2*H161*I161+(H161-J161)*(H161+2*J161))</f>
        <v>0.29159114502114603</v>
      </c>
      <c r="AH161" s="91"/>
      <c r="AI161" s="90">
        <f>(H161+J161)/((H161-J161)*(H161+2*J161))</f>
        <v>1.5293815866337008E-2</v>
      </c>
      <c r="AJ161" s="90">
        <f>1/I161</f>
        <v>4.784688995215311E-2</v>
      </c>
      <c r="AK161" s="90">
        <f>-J161/((H161-J161)*(H161+2*J161))</f>
        <v>-4.9901597928922025E-3</v>
      </c>
    </row>
    <row r="162" spans="1:37">
      <c r="U162" s="92"/>
      <c r="V162" s="92"/>
      <c r="W162" s="92"/>
      <c r="X162" s="8"/>
      <c r="Y162" s="8"/>
      <c r="Z162" s="8"/>
      <c r="AA162" s="93"/>
      <c r="AB162" s="93"/>
      <c r="AC162" s="93"/>
      <c r="AD162" s="92"/>
      <c r="AE162" s="92"/>
      <c r="AF162" s="91"/>
      <c r="AG162" s="91"/>
      <c r="AH162" s="91"/>
      <c r="AI162" s="90"/>
      <c r="AJ162" s="90"/>
      <c r="AK162" s="90"/>
    </row>
    <row r="163" spans="1:37">
      <c r="A163" t="s">
        <v>1114</v>
      </c>
      <c r="B163" t="s">
        <v>1113</v>
      </c>
      <c r="C163" t="s">
        <v>1101</v>
      </c>
      <c r="D163" t="s">
        <v>1100</v>
      </c>
      <c r="E163" s="57">
        <v>7</v>
      </c>
      <c r="F163" s="57" t="s">
        <v>1061</v>
      </c>
      <c r="G163" s="57">
        <v>3.1509999999999998</v>
      </c>
      <c r="H163" s="95">
        <v>136</v>
      </c>
      <c r="I163" s="95">
        <v>49.4</v>
      </c>
      <c r="J163" s="95">
        <v>42</v>
      </c>
      <c r="K163" s="92">
        <f t="shared" ref="K163:K174" si="128">(H163+2*J163)/3</f>
        <v>73.333333333333329</v>
      </c>
      <c r="L163" s="92">
        <f t="shared" ref="L163:L174" si="129">(5*(H163-J163)*I163)/(4*I163 + 3*(H163-J163))</f>
        <v>48.411175979983319</v>
      </c>
      <c r="M163" s="92">
        <f t="shared" ref="M163:M174" si="130">(H163-J163+3*I163)/5</f>
        <v>48.44</v>
      </c>
      <c r="N163" s="92">
        <f t="shared" ref="N163:N174" si="131">0.5*(M163+L163)</f>
        <v>48.425587989991655</v>
      </c>
      <c r="O163" s="92">
        <f t="shared" ref="O163:O174" si="132">0.5*(H163-J163)+3/(5/(I163-0.5*(H163-J163))-4*(-3*(K163+(H163-J163))/(5*0.5*(H163-J163)*(3*K163+2*(H163-J163)))))</f>
        <v>48.425668374983893</v>
      </c>
      <c r="P163" s="92">
        <f t="shared" ref="P163:P174" si="133">I163+2/(5/(0.5*(H163-J163)-I163)-6*(-(3*(K163+2*I163))/(5*I163*(3*K163+4*I163))))</f>
        <v>48.42595570362564</v>
      </c>
      <c r="Q163" s="92">
        <f t="shared" ref="Q163:Q174" si="134">(O163+P163)/2</f>
        <v>48.425812039304766</v>
      </c>
      <c r="R163" s="92">
        <f t="shared" ref="R163:R174" si="135">K163/N163</f>
        <v>1.5143509119288232</v>
      </c>
      <c r="S163" s="92">
        <f t="shared" ref="S163:S174" si="136">(3*K163-2*N163)/(2*(3*K163+N163))</f>
        <v>0.22939099238297719</v>
      </c>
      <c r="T163" s="92">
        <f t="shared" ref="T163:T174" si="137">9*N163*K163/(N163+3*K163)</f>
        <v>119.06796335149004</v>
      </c>
      <c r="U163" s="92">
        <f t="shared" ref="U163:U174" si="138">SQRT((K163+4/3*N163)/G163)</f>
        <v>6.6154465674498297</v>
      </c>
      <c r="V163" s="92">
        <f t="shared" ref="V163:V174" si="139">SQRT(K163/G163)</f>
        <v>4.8242134089755035</v>
      </c>
      <c r="W163" s="92">
        <f t="shared" ref="W163:W174" si="140">SQRT(N163/G163)</f>
        <v>3.920245362676106</v>
      </c>
      <c r="X163" s="8">
        <f t="shared" ref="X163:X174" si="141">SQRT((K163/N163) +4/3)</f>
        <v>1.6875082948721041</v>
      </c>
      <c r="Y163" s="8">
        <f t="shared" ref="Y163:Y174" si="142">J163/H163</f>
        <v>0.30882352941176472</v>
      </c>
      <c r="Z163" s="8">
        <f t="shared" ref="Z163:Z174" si="143">I163/H163</f>
        <v>0.36323529411764705</v>
      </c>
      <c r="AA163" s="93">
        <f t="shared" ref="AA163:AA174" si="144">2*I163/(H163-J163)</f>
        <v>1.0510638297872341</v>
      </c>
      <c r="AB163" s="93">
        <f t="shared" ref="AB163:AB174" si="145">5*M163/L163 +1 -6</f>
        <v>2.9770006029803397E-3</v>
      </c>
      <c r="AC163" s="93">
        <f t="shared" ref="AC163:AC174" si="146">SQRT(5)*LN(M163/L163)</f>
        <v>1.3309589562101516E-3</v>
      </c>
      <c r="AD163" s="92">
        <f t="shared" ref="AD163:AD174" si="147">100*(M163-L163)/(M163+L163)</f>
        <v>2.976114613480323E-2</v>
      </c>
      <c r="AE163" s="92"/>
      <c r="AF163" s="91">
        <f t="shared" ref="AF163:AF174" si="148">-(2*H163*I163-(H163-J163)*(H163+2*J163))/(2*H163*I163+(H163-J163)*(H163+2*J163))</f>
        <v>0.21230596069971391</v>
      </c>
      <c r="AG163" s="91">
        <f t="shared" ref="AG163:AG174" si="149">(4*J163*I163)/(2*H163*I163+(H163-J163)*(H163+2*J163))</f>
        <v>0.24325845331332357</v>
      </c>
      <c r="AH163" s="91"/>
      <c r="AI163" s="90">
        <f t="shared" ref="AI163:AI174" si="150">(H163+J163)/((H163-J163)*(H163+2*J163))</f>
        <v>8.607350096711798E-3</v>
      </c>
      <c r="AJ163" s="90">
        <f t="shared" ref="AJ163:AJ174" si="151">1/I163</f>
        <v>2.0242914979757085E-2</v>
      </c>
      <c r="AK163" s="90">
        <f t="shared" ref="AK163:AK174" si="152">-J163/((H163-J163)*(H163+2*J163))</f>
        <v>-2.0309477756286268E-3</v>
      </c>
    </row>
    <row r="164" spans="1:37">
      <c r="A164" t="s">
        <v>1112</v>
      </c>
      <c r="B164" t="s">
        <v>1112</v>
      </c>
      <c r="C164" t="s">
        <v>1101</v>
      </c>
      <c r="D164" t="s">
        <v>1100</v>
      </c>
      <c r="E164" s="57">
        <v>7</v>
      </c>
      <c r="F164" s="57">
        <v>3</v>
      </c>
      <c r="G164" s="57">
        <v>3.3919999999999999</v>
      </c>
      <c r="H164" s="105">
        <v>112.81</v>
      </c>
      <c r="I164" s="95">
        <v>26.99</v>
      </c>
      <c r="J164" s="95">
        <v>37.61</v>
      </c>
      <c r="K164" s="92">
        <f t="shared" si="128"/>
        <v>62.676666666666669</v>
      </c>
      <c r="L164" s="92">
        <f t="shared" si="129"/>
        <v>30.424031658472238</v>
      </c>
      <c r="M164" s="92">
        <f t="shared" si="130"/>
        <v>31.234000000000002</v>
      </c>
      <c r="N164" s="92">
        <f t="shared" si="131"/>
        <v>30.82901582923612</v>
      </c>
      <c r="O164" s="92">
        <f t="shared" si="132"/>
        <v>30.862200518474808</v>
      </c>
      <c r="P164" s="92">
        <f t="shared" si="133"/>
        <v>30.808084843792845</v>
      </c>
      <c r="Q164" s="92">
        <f t="shared" si="134"/>
        <v>30.835142681133824</v>
      </c>
      <c r="R164" s="92">
        <f t="shared" si="135"/>
        <v>2.033041437775267</v>
      </c>
      <c r="S164" s="92">
        <f t="shared" si="136"/>
        <v>0.28870633421866659</v>
      </c>
      <c r="T164" s="92">
        <f t="shared" si="137"/>
        <v>79.459095953728252</v>
      </c>
      <c r="U164" s="92">
        <f t="shared" si="138"/>
        <v>5.5313754810851572</v>
      </c>
      <c r="V164" s="92">
        <f t="shared" si="139"/>
        <v>4.2985801005103008</v>
      </c>
      <c r="W164" s="92">
        <f t="shared" si="140"/>
        <v>3.014754197971234</v>
      </c>
      <c r="X164" s="8">
        <f t="shared" si="141"/>
        <v>1.8347683153762495</v>
      </c>
      <c r="Y164" s="8">
        <f t="shared" si="142"/>
        <v>0.33339242974913569</v>
      </c>
      <c r="Z164" s="8">
        <f t="shared" si="143"/>
        <v>0.23925183937594183</v>
      </c>
      <c r="AA164" s="93">
        <f t="shared" si="144"/>
        <v>0.71781914893617016</v>
      </c>
      <c r="AB164" s="93">
        <f t="shared" si="145"/>
        <v>0.13311324919394973</v>
      </c>
      <c r="AC164" s="93">
        <f t="shared" si="146"/>
        <v>5.8751420191637219E-2</v>
      </c>
      <c r="AD164" s="92">
        <f t="shared" si="147"/>
        <v>1.3136461215859598</v>
      </c>
      <c r="AE164" s="92"/>
      <c r="AF164" s="91">
        <f t="shared" si="148"/>
        <v>0.39795526100164669</v>
      </c>
      <c r="AG164" s="91">
        <f t="shared" si="149"/>
        <v>0.20071715835234522</v>
      </c>
      <c r="AH164" s="91"/>
      <c r="AI164" s="90">
        <f t="shared" si="150"/>
        <v>1.0638014984028128E-2</v>
      </c>
      <c r="AJ164" s="90">
        <f t="shared" si="151"/>
        <v>3.7050759540570584E-2</v>
      </c>
      <c r="AK164" s="90">
        <f t="shared" si="152"/>
        <v>-2.6598573563974062E-3</v>
      </c>
    </row>
    <row r="165" spans="1:37">
      <c r="A165" t="s">
        <v>1111</v>
      </c>
      <c r="B165" t="s">
        <v>1111</v>
      </c>
      <c r="C165" t="s">
        <v>1101</v>
      </c>
      <c r="D165" t="s">
        <v>1100</v>
      </c>
      <c r="E165" s="57">
        <v>7</v>
      </c>
      <c r="F165" s="57">
        <v>3</v>
      </c>
      <c r="G165" s="69">
        <v>3.98</v>
      </c>
      <c r="H165" s="104">
        <v>158.19999999999999</v>
      </c>
      <c r="I165" s="95">
        <v>40.299999999999997</v>
      </c>
      <c r="J165" s="95">
        <v>48.5</v>
      </c>
      <c r="K165" s="92">
        <f t="shared" si="128"/>
        <v>85.066666666666663</v>
      </c>
      <c r="L165" s="92">
        <f t="shared" si="129"/>
        <v>45.083724250458907</v>
      </c>
      <c r="M165" s="92">
        <f t="shared" si="130"/>
        <v>46.11999999999999</v>
      </c>
      <c r="N165" s="92">
        <f t="shared" si="131"/>
        <v>45.601862125229445</v>
      </c>
      <c r="O165" s="92">
        <f t="shared" si="132"/>
        <v>45.638677125219111</v>
      </c>
      <c r="P165" s="92">
        <f t="shared" si="133"/>
        <v>45.574498408009653</v>
      </c>
      <c r="Q165" s="92">
        <f t="shared" si="134"/>
        <v>45.606587766614382</v>
      </c>
      <c r="R165" s="92">
        <f t="shared" si="135"/>
        <v>1.8654208995470631</v>
      </c>
      <c r="S165" s="92">
        <f t="shared" si="136"/>
        <v>0.27259850486109422</v>
      </c>
      <c r="T165" s="92">
        <f t="shared" si="137"/>
        <v>116.06572311889749</v>
      </c>
      <c r="U165" s="92">
        <f t="shared" si="138"/>
        <v>6.0539689523034186</v>
      </c>
      <c r="V165" s="92">
        <f t="shared" si="139"/>
        <v>4.623151991699868</v>
      </c>
      <c r="W165" s="92">
        <f t="shared" si="140"/>
        <v>3.3849304723762743</v>
      </c>
      <c r="X165" s="8">
        <f t="shared" si="141"/>
        <v>1.7885061456087861</v>
      </c>
      <c r="Y165" s="8">
        <f t="shared" si="142"/>
        <v>0.30657395701643492</v>
      </c>
      <c r="Z165" s="8">
        <f t="shared" si="143"/>
        <v>0.25474083438685208</v>
      </c>
      <c r="AA165" s="93">
        <f t="shared" si="144"/>
        <v>0.7347310847766636</v>
      </c>
      <c r="AB165" s="93">
        <f t="shared" si="145"/>
        <v>0.11492792207938951</v>
      </c>
      <c r="AC165" s="93">
        <f t="shared" si="146"/>
        <v>5.0815528907876245E-2</v>
      </c>
      <c r="AD165" s="92">
        <f t="shared" si="147"/>
        <v>1.1362208704277439</v>
      </c>
      <c r="AE165" s="92"/>
      <c r="AF165" s="91">
        <f t="shared" si="148"/>
        <v>0.37413206971125762</v>
      </c>
      <c r="AG165" s="91">
        <f t="shared" si="149"/>
        <v>0.191874807958306</v>
      </c>
      <c r="AH165" s="91"/>
      <c r="AI165" s="90">
        <f t="shared" si="150"/>
        <v>7.383345287661134E-3</v>
      </c>
      <c r="AJ165" s="90">
        <f t="shared" si="151"/>
        <v>2.4813895781637719E-2</v>
      </c>
      <c r="AK165" s="90">
        <f t="shared" si="152"/>
        <v>-1.7324249949277456E-3</v>
      </c>
    </row>
    <row r="166" spans="1:37">
      <c r="A166" t="s">
        <v>1110</v>
      </c>
      <c r="B166" t="s">
        <v>1110</v>
      </c>
      <c r="C166" t="s">
        <v>1101</v>
      </c>
      <c r="D166" t="s">
        <v>1100</v>
      </c>
      <c r="E166" s="57">
        <v>7</v>
      </c>
      <c r="F166" s="57">
        <v>3</v>
      </c>
      <c r="G166" s="103">
        <v>4.0179999999999998</v>
      </c>
      <c r="H166" s="95">
        <v>134.5</v>
      </c>
      <c r="I166" s="95">
        <v>38.200000000000003</v>
      </c>
      <c r="J166" s="96">
        <v>53</v>
      </c>
      <c r="K166" s="92">
        <f t="shared" si="128"/>
        <v>80.166666666666671</v>
      </c>
      <c r="L166" s="92">
        <f t="shared" si="129"/>
        <v>39.18071985904858</v>
      </c>
      <c r="M166" s="92">
        <f t="shared" si="130"/>
        <v>39.220000000000006</v>
      </c>
      <c r="N166" s="92">
        <f t="shared" si="131"/>
        <v>39.200359929524296</v>
      </c>
      <c r="O166" s="92">
        <f t="shared" si="132"/>
        <v>39.201362809942538</v>
      </c>
      <c r="P166" s="92">
        <f t="shared" si="133"/>
        <v>39.200850653825512</v>
      </c>
      <c r="Q166" s="92">
        <f t="shared" si="134"/>
        <v>39.201106731884025</v>
      </c>
      <c r="R166" s="92">
        <f t="shared" si="135"/>
        <v>2.0450492498230362</v>
      </c>
      <c r="S166" s="92">
        <f t="shared" si="136"/>
        <v>0.28977309893665371</v>
      </c>
      <c r="T166" s="92">
        <f t="shared" si="137"/>
        <v>101.11913941146956</v>
      </c>
      <c r="U166" s="92">
        <f t="shared" si="138"/>
        <v>5.741091595910536</v>
      </c>
      <c r="V166" s="92">
        <f t="shared" si="139"/>
        <v>4.4667530928294337</v>
      </c>
      <c r="W166" s="92">
        <f t="shared" si="140"/>
        <v>3.1234895774197726</v>
      </c>
      <c r="X166" s="8">
        <f t="shared" si="141"/>
        <v>1.8380376990574403</v>
      </c>
      <c r="Y166" s="8">
        <f t="shared" si="142"/>
        <v>0.39405204460966542</v>
      </c>
      <c r="Z166" s="8">
        <f t="shared" si="143"/>
        <v>0.28401486988847585</v>
      </c>
      <c r="AA166" s="93">
        <f t="shared" si="144"/>
        <v>0.93742331288343561</v>
      </c>
      <c r="AB166" s="93">
        <f t="shared" si="145"/>
        <v>5.0126875020080064E-3</v>
      </c>
      <c r="AC166" s="93">
        <f t="shared" si="146"/>
        <v>2.2406190361600087E-3</v>
      </c>
      <c r="AD166" s="92">
        <f t="shared" si="147"/>
        <v>5.0101760573175128E-2</v>
      </c>
      <c r="AE166" s="92"/>
      <c r="AF166" s="91">
        <f t="shared" si="148"/>
        <v>0.3121160241058622</v>
      </c>
      <c r="AG166" s="91">
        <f t="shared" si="149"/>
        <v>0.27106208715531077</v>
      </c>
      <c r="AH166" s="91"/>
      <c r="AI166" s="90">
        <f t="shared" si="150"/>
        <v>9.5659604862058847E-3</v>
      </c>
      <c r="AJ166" s="90">
        <f t="shared" si="151"/>
        <v>2.6178010471204185E-2</v>
      </c>
      <c r="AK166" s="90">
        <f t="shared" si="152"/>
        <v>-2.7039781641008637E-3</v>
      </c>
    </row>
    <row r="167" spans="1:37">
      <c r="A167" t="s">
        <v>1109</v>
      </c>
      <c r="B167" t="s">
        <v>1109</v>
      </c>
      <c r="C167" t="s">
        <v>1101</v>
      </c>
      <c r="D167" t="s">
        <v>1100</v>
      </c>
      <c r="E167" s="57">
        <v>7</v>
      </c>
      <c r="F167" s="57">
        <v>3</v>
      </c>
      <c r="G167" s="69">
        <v>4.97</v>
      </c>
      <c r="H167" s="95">
        <v>109.6</v>
      </c>
      <c r="I167" s="95">
        <v>20.399999999999999</v>
      </c>
      <c r="J167" s="95">
        <v>37.299999999999997</v>
      </c>
      <c r="K167" s="92">
        <f t="shared" si="128"/>
        <v>61.4</v>
      </c>
      <c r="L167" s="92">
        <f t="shared" si="129"/>
        <v>24.705527638190954</v>
      </c>
      <c r="M167" s="92">
        <f t="shared" si="130"/>
        <v>26.7</v>
      </c>
      <c r="N167" s="92">
        <f t="shared" si="131"/>
        <v>25.702763819095477</v>
      </c>
      <c r="O167" s="92">
        <f t="shared" si="132"/>
        <v>25.821702091739958</v>
      </c>
      <c r="P167" s="92">
        <f t="shared" si="133"/>
        <v>25.590582726611345</v>
      </c>
      <c r="Q167" s="92">
        <f t="shared" si="134"/>
        <v>25.706142409175651</v>
      </c>
      <c r="R167" s="92">
        <f t="shared" si="135"/>
        <v>2.3888481578149898</v>
      </c>
      <c r="S167" s="92">
        <f t="shared" si="136"/>
        <v>0.31632378236872061</v>
      </c>
      <c r="T167" s="92">
        <f t="shared" si="137"/>
        <v>67.666318575363334</v>
      </c>
      <c r="U167" s="92">
        <f t="shared" si="138"/>
        <v>4.3874329349072276</v>
      </c>
      <c r="V167" s="92">
        <f t="shared" si="139"/>
        <v>3.5148434884772533</v>
      </c>
      <c r="W167" s="92">
        <f t="shared" si="140"/>
        <v>2.2741113115595892</v>
      </c>
      <c r="X167" s="8">
        <f t="shared" si="141"/>
        <v>1.9292955945495556</v>
      </c>
      <c r="Y167" s="8">
        <f t="shared" si="142"/>
        <v>0.34032846715328469</v>
      </c>
      <c r="Z167" s="8">
        <f t="shared" si="143"/>
        <v>0.18613138686131386</v>
      </c>
      <c r="AA167" s="93">
        <f t="shared" si="144"/>
        <v>0.56431535269709543</v>
      </c>
      <c r="AB167" s="93">
        <f t="shared" si="145"/>
        <v>0.40364901147180898</v>
      </c>
      <c r="AC167" s="93">
        <f t="shared" si="146"/>
        <v>0.17360061628510529</v>
      </c>
      <c r="AD167" s="92">
        <f t="shared" si="147"/>
        <v>3.8798791753423849</v>
      </c>
      <c r="AE167" s="92"/>
      <c r="AF167" s="91">
        <f t="shared" si="148"/>
        <v>0.49726296759744887</v>
      </c>
      <c r="AG167" s="91">
        <f t="shared" si="149"/>
        <v>0.17109572361875144</v>
      </c>
      <c r="AH167" s="91"/>
      <c r="AI167" s="90">
        <f t="shared" si="150"/>
        <v>1.1030466313151108E-2</v>
      </c>
      <c r="AJ167" s="90">
        <f t="shared" si="151"/>
        <v>4.9019607843137261E-2</v>
      </c>
      <c r="AK167" s="90">
        <f t="shared" si="152"/>
        <v>-2.8007923313855439E-3</v>
      </c>
    </row>
    <row r="168" spans="1:37">
      <c r="A168" t="s">
        <v>1108</v>
      </c>
      <c r="B168" t="s">
        <v>1108</v>
      </c>
      <c r="C168" t="s">
        <v>1101</v>
      </c>
      <c r="D168" t="s">
        <v>1100</v>
      </c>
      <c r="E168" s="57">
        <v>7</v>
      </c>
      <c r="F168" s="57">
        <v>3</v>
      </c>
      <c r="G168" s="69">
        <v>3.43</v>
      </c>
      <c r="H168" s="95">
        <v>102</v>
      </c>
      <c r="I168" s="95">
        <v>21.5</v>
      </c>
      <c r="J168" s="95">
        <v>24.5</v>
      </c>
      <c r="K168" s="92">
        <f t="shared" si="128"/>
        <v>50.333333333333336</v>
      </c>
      <c r="L168" s="92">
        <f t="shared" si="129"/>
        <v>26.157770800627944</v>
      </c>
      <c r="M168" s="92">
        <f t="shared" si="130"/>
        <v>28.4</v>
      </c>
      <c r="N168" s="92">
        <f t="shared" si="131"/>
        <v>27.278885400313971</v>
      </c>
      <c r="O168" s="92">
        <f t="shared" si="132"/>
        <v>27.385552326873501</v>
      </c>
      <c r="P168" s="92">
        <f t="shared" si="133"/>
        <v>27.12120485394983</v>
      </c>
      <c r="Q168" s="92">
        <f t="shared" si="134"/>
        <v>27.253378590411664</v>
      </c>
      <c r="R168" s="92">
        <f t="shared" si="135"/>
        <v>1.8451389268549079</v>
      </c>
      <c r="S168" s="92">
        <f t="shared" si="136"/>
        <v>0.27048135560982761</v>
      </c>
      <c r="T168" s="92">
        <f t="shared" si="137"/>
        <v>69.31463060583205</v>
      </c>
      <c r="U168" s="92">
        <f t="shared" si="138"/>
        <v>5.0277707077514586</v>
      </c>
      <c r="V168" s="92">
        <f t="shared" si="139"/>
        <v>3.8307233266125404</v>
      </c>
      <c r="W168" s="92">
        <f t="shared" si="140"/>
        <v>2.8201113122539359</v>
      </c>
      <c r="X168" s="8">
        <f t="shared" si="141"/>
        <v>1.7828270415798166</v>
      </c>
      <c r="Y168" s="8">
        <f t="shared" si="142"/>
        <v>0.24019607843137256</v>
      </c>
      <c r="Z168" s="8">
        <f t="shared" si="143"/>
        <v>0.2107843137254902</v>
      </c>
      <c r="AA168" s="93">
        <f t="shared" si="144"/>
        <v>0.55483870967741933</v>
      </c>
      <c r="AB168" s="93">
        <f t="shared" si="145"/>
        <v>0.42859714928732195</v>
      </c>
      <c r="AC168" s="93">
        <f t="shared" si="146"/>
        <v>0.18390057252266018</v>
      </c>
      <c r="AD168" s="92">
        <f t="shared" si="147"/>
        <v>4.1098255417471119</v>
      </c>
      <c r="AE168" s="92"/>
      <c r="AF168" s="91">
        <f t="shared" si="148"/>
        <v>0.45476582652204989</v>
      </c>
      <c r="AG168" s="91">
        <f t="shared" si="149"/>
        <v>0.13096311029617427</v>
      </c>
      <c r="AH168" s="91"/>
      <c r="AI168" s="90">
        <f t="shared" si="150"/>
        <v>1.0809656056398206E-2</v>
      </c>
      <c r="AJ168" s="90">
        <f t="shared" si="151"/>
        <v>4.6511627906976744E-2</v>
      </c>
      <c r="AK168" s="90">
        <f t="shared" si="152"/>
        <v>-2.0935697500534074E-3</v>
      </c>
    </row>
    <row r="169" spans="1:37">
      <c r="A169" t="s">
        <v>1107</v>
      </c>
      <c r="B169" t="s">
        <v>1107</v>
      </c>
      <c r="C169" t="s">
        <v>1101</v>
      </c>
      <c r="D169" t="s">
        <v>1100</v>
      </c>
      <c r="E169" s="57">
        <v>7</v>
      </c>
      <c r="F169" s="57">
        <v>3</v>
      </c>
      <c r="G169" s="69">
        <v>4.76</v>
      </c>
      <c r="H169" s="95">
        <v>129.6</v>
      </c>
      <c r="I169" s="95">
        <v>41.5</v>
      </c>
      <c r="J169" s="95">
        <v>55.4</v>
      </c>
      <c r="K169" s="92">
        <f t="shared" si="128"/>
        <v>80.133333333333326</v>
      </c>
      <c r="L169" s="92">
        <f t="shared" si="129"/>
        <v>39.620432321152855</v>
      </c>
      <c r="M169" s="92">
        <f t="shared" si="130"/>
        <v>39.739999999999995</v>
      </c>
      <c r="N169" s="92">
        <f t="shared" si="131"/>
        <v>39.680216160576421</v>
      </c>
      <c r="O169" s="92">
        <f t="shared" si="132"/>
        <v>39.681661825226541</v>
      </c>
      <c r="P169" s="92">
        <f t="shared" si="133"/>
        <v>39.684364135589796</v>
      </c>
      <c r="Q169" s="92">
        <f t="shared" si="134"/>
        <v>39.683012980408165</v>
      </c>
      <c r="R169" s="92">
        <f t="shared" si="135"/>
        <v>2.019478246011885</v>
      </c>
      <c r="S169" s="92">
        <f t="shared" si="136"/>
        <v>0.28748829511492424</v>
      </c>
      <c r="T169" s="92">
        <f t="shared" si="137"/>
        <v>102.1756277087444</v>
      </c>
      <c r="U169" s="92">
        <f t="shared" si="138"/>
        <v>5.2867419438737349</v>
      </c>
      <c r="V169" s="92">
        <f t="shared" si="139"/>
        <v>4.1030152197569807</v>
      </c>
      <c r="W169" s="92">
        <f t="shared" si="140"/>
        <v>2.8872443377149977</v>
      </c>
      <c r="X169" s="8">
        <f t="shared" si="141"/>
        <v>1.8310684256316634</v>
      </c>
      <c r="Y169" s="8">
        <f t="shared" si="142"/>
        <v>0.42746913580246915</v>
      </c>
      <c r="Z169" s="8">
        <f t="shared" si="143"/>
        <v>0.32021604938271608</v>
      </c>
      <c r="AA169" s="93">
        <f t="shared" si="144"/>
        <v>1.1185983827493262</v>
      </c>
      <c r="AB169" s="93">
        <f t="shared" si="145"/>
        <v>1.508914363654057E-2</v>
      </c>
      <c r="AC169" s="93">
        <f t="shared" si="146"/>
        <v>6.7379083579829045E-3</v>
      </c>
      <c r="AD169" s="92">
        <f t="shared" si="147"/>
        <v>0.15066409714513426</v>
      </c>
      <c r="AE169" s="92"/>
      <c r="AF169" s="91">
        <f t="shared" si="148"/>
        <v>0.24763101130008303</v>
      </c>
      <c r="AG169" s="91">
        <f t="shared" si="149"/>
        <v>0.32161452140413116</v>
      </c>
      <c r="AH169" s="91"/>
      <c r="AI169" s="90">
        <f t="shared" si="150"/>
        <v>1.0371303891537467E-2</v>
      </c>
      <c r="AJ169" s="90">
        <f t="shared" si="151"/>
        <v>2.4096385542168676E-2</v>
      </c>
      <c r="AK169" s="90">
        <f t="shared" si="152"/>
        <v>-3.1057850572495981E-3</v>
      </c>
    </row>
    <row r="170" spans="1:37">
      <c r="A170" t="s">
        <v>1106</v>
      </c>
      <c r="B170" t="s">
        <v>1106</v>
      </c>
      <c r="C170" t="s">
        <v>1101</v>
      </c>
      <c r="D170" t="s">
        <v>1100</v>
      </c>
      <c r="E170" s="57">
        <v>7</v>
      </c>
      <c r="F170" s="57">
        <v>3</v>
      </c>
      <c r="G170" s="69">
        <v>4.2699999999999996</v>
      </c>
      <c r="H170" s="95">
        <v>116.5</v>
      </c>
      <c r="I170" s="95">
        <v>32</v>
      </c>
      <c r="J170" s="95">
        <v>42</v>
      </c>
      <c r="K170" s="92">
        <f t="shared" si="128"/>
        <v>66.833333333333329</v>
      </c>
      <c r="L170" s="92">
        <f t="shared" si="129"/>
        <v>33.911806543385488</v>
      </c>
      <c r="M170" s="92">
        <f t="shared" si="130"/>
        <v>34.1</v>
      </c>
      <c r="N170" s="92">
        <f t="shared" si="131"/>
        <v>34.005903271692745</v>
      </c>
      <c r="O170" s="92">
        <f t="shared" si="132"/>
        <v>34.011400991019698</v>
      </c>
      <c r="P170" s="92">
        <f t="shared" si="133"/>
        <v>34.00564209493438</v>
      </c>
      <c r="Q170" s="92">
        <f t="shared" si="134"/>
        <v>34.008521542977036</v>
      </c>
      <c r="R170" s="92">
        <f t="shared" si="135"/>
        <v>1.9653450402232617</v>
      </c>
      <c r="S170" s="92">
        <f t="shared" si="136"/>
        <v>0.28248370639761028</v>
      </c>
      <c r="T170" s="92">
        <f t="shared" si="137"/>
        <v>87.224033734558276</v>
      </c>
      <c r="U170" s="92">
        <f t="shared" si="138"/>
        <v>5.1254642263181447</v>
      </c>
      <c r="V170" s="92">
        <f t="shared" si="139"/>
        <v>3.9562399452375892</v>
      </c>
      <c r="W170" s="92">
        <f t="shared" si="140"/>
        <v>2.8220403564141585</v>
      </c>
      <c r="X170" s="8">
        <f t="shared" si="141"/>
        <v>1.8162264103235024</v>
      </c>
      <c r="Y170" s="8">
        <f t="shared" si="142"/>
        <v>0.36051502145922748</v>
      </c>
      <c r="Z170" s="8">
        <f t="shared" si="143"/>
        <v>0.27467811158798283</v>
      </c>
      <c r="AA170" s="93">
        <f t="shared" si="144"/>
        <v>0.85906040268456374</v>
      </c>
      <c r="AB170" s="93">
        <f t="shared" si="145"/>
        <v>2.7747483221476799E-2</v>
      </c>
      <c r="AC170" s="93">
        <f t="shared" si="146"/>
        <v>1.2374746601035876E-2</v>
      </c>
      <c r="AD170" s="92">
        <f t="shared" si="147"/>
        <v>0.27670703982030337</v>
      </c>
      <c r="AE170" s="92"/>
      <c r="AF170" s="91">
        <f t="shared" si="148"/>
        <v>0.334085047949717</v>
      </c>
      <c r="AG170" s="91">
        <f t="shared" si="149"/>
        <v>0.24007234322842821</v>
      </c>
      <c r="AH170" s="91"/>
      <c r="AI170" s="90">
        <f t="shared" si="150"/>
        <v>1.061105625198748E-2</v>
      </c>
      <c r="AJ170" s="90">
        <f t="shared" si="151"/>
        <v>3.125E-2</v>
      </c>
      <c r="AK170" s="90">
        <f t="shared" si="152"/>
        <v>-2.8117625399588279E-3</v>
      </c>
    </row>
    <row r="171" spans="1:37">
      <c r="A171" t="s">
        <v>1105</v>
      </c>
      <c r="B171" t="s">
        <v>1105</v>
      </c>
      <c r="C171" t="s">
        <v>1101</v>
      </c>
      <c r="D171" t="s">
        <v>1100</v>
      </c>
      <c r="E171" s="57">
        <v>7</v>
      </c>
      <c r="F171" s="57">
        <v>3</v>
      </c>
      <c r="G171" s="69">
        <v>7.3010000000000002</v>
      </c>
      <c r="H171" s="95">
        <v>102.8</v>
      </c>
      <c r="I171" s="95">
        <v>17.7</v>
      </c>
      <c r="J171" s="95">
        <v>38.5</v>
      </c>
      <c r="K171" s="92">
        <f t="shared" si="128"/>
        <v>59.933333333333337</v>
      </c>
      <c r="L171" s="92">
        <f t="shared" si="129"/>
        <v>21.579635949943118</v>
      </c>
      <c r="M171" s="92">
        <f t="shared" si="130"/>
        <v>23.479999999999997</v>
      </c>
      <c r="N171" s="92">
        <f t="shared" si="131"/>
        <v>22.529817974971557</v>
      </c>
      <c r="O171" s="92">
        <f t="shared" si="132"/>
        <v>22.654806714347139</v>
      </c>
      <c r="P171" s="92">
        <f t="shared" si="133"/>
        <v>22.423728191488184</v>
      </c>
      <c r="Q171" s="92">
        <f t="shared" si="134"/>
        <v>22.539267452917663</v>
      </c>
      <c r="R171" s="92">
        <f t="shared" si="135"/>
        <v>2.6601783201228462</v>
      </c>
      <c r="S171" s="92">
        <f t="shared" si="136"/>
        <v>0.33297208834222453</v>
      </c>
      <c r="T171" s="92">
        <f t="shared" si="137"/>
        <v>60.063237032136051</v>
      </c>
      <c r="U171" s="92">
        <f t="shared" si="138"/>
        <v>3.5104690245997539</v>
      </c>
      <c r="V171" s="92">
        <f t="shared" si="139"/>
        <v>2.8651214899814561</v>
      </c>
      <c r="W171" s="92">
        <f t="shared" si="140"/>
        <v>1.7566598177338124</v>
      </c>
      <c r="X171" s="8">
        <f t="shared" si="141"/>
        <v>1.9983772550387426</v>
      </c>
      <c r="Y171" s="8">
        <f t="shared" si="142"/>
        <v>0.3745136186770428</v>
      </c>
      <c r="Z171" s="8">
        <f t="shared" si="143"/>
        <v>0.17217898832684825</v>
      </c>
      <c r="AA171" s="93">
        <f t="shared" si="144"/>
        <v>0.55054432348367033</v>
      </c>
      <c r="AB171" s="93">
        <f t="shared" si="145"/>
        <v>0.44031420512955588</v>
      </c>
      <c r="AC171" s="93">
        <f t="shared" si="146"/>
        <v>0.18872168894446537</v>
      </c>
      <c r="AD171" s="92">
        <f t="shared" si="147"/>
        <v>4.2174420853466268</v>
      </c>
      <c r="AE171" s="92"/>
      <c r="AF171" s="91">
        <f t="shared" si="148"/>
        <v>0.52117661145269889</v>
      </c>
      <c r="AG171" s="91">
        <f t="shared" si="149"/>
        <v>0.17932587995205346</v>
      </c>
      <c r="AH171" s="91"/>
      <c r="AI171" s="90">
        <f t="shared" si="150"/>
        <v>1.2221978109425196E-2</v>
      </c>
      <c r="AJ171" s="90">
        <f t="shared" si="151"/>
        <v>5.6497175141242938E-2</v>
      </c>
      <c r="AK171" s="90">
        <f t="shared" si="152"/>
        <v>-3.3301214240118193E-3</v>
      </c>
    </row>
    <row r="172" spans="1:37">
      <c r="A172" t="s">
        <v>1104</v>
      </c>
      <c r="B172" t="s">
        <v>1104</v>
      </c>
      <c r="C172" t="s">
        <v>1101</v>
      </c>
      <c r="D172" t="s">
        <v>1100</v>
      </c>
      <c r="E172" s="57">
        <v>7</v>
      </c>
      <c r="F172" s="57">
        <v>3</v>
      </c>
      <c r="G172" s="69">
        <v>6.84</v>
      </c>
      <c r="H172" s="95">
        <v>44.8</v>
      </c>
      <c r="I172" s="95">
        <v>16.100000000000001</v>
      </c>
      <c r="J172" s="95">
        <v>28.3</v>
      </c>
      <c r="K172" s="92">
        <f t="shared" si="128"/>
        <v>33.800000000000004</v>
      </c>
      <c r="L172" s="92">
        <f t="shared" si="129"/>
        <v>11.661545215100967</v>
      </c>
      <c r="M172" s="92">
        <f t="shared" si="130"/>
        <v>12.959999999999999</v>
      </c>
      <c r="N172" s="92">
        <f t="shared" si="131"/>
        <v>12.310772607550483</v>
      </c>
      <c r="O172" s="92">
        <f t="shared" si="132"/>
        <v>12.272433734895216</v>
      </c>
      <c r="P172" s="92">
        <f t="shared" si="133"/>
        <v>12.449920308245963</v>
      </c>
      <c r="Q172" s="92">
        <f t="shared" si="134"/>
        <v>12.36117702157059</v>
      </c>
      <c r="R172" s="92">
        <f t="shared" si="135"/>
        <v>2.7455628560038288</v>
      </c>
      <c r="S172" s="92">
        <f t="shared" si="136"/>
        <v>0.33760413821953439</v>
      </c>
      <c r="T172" s="92">
        <f t="shared" si="137"/>
        <v>32.933880769078428</v>
      </c>
      <c r="U172" s="92">
        <f t="shared" si="138"/>
        <v>2.7094798781406051</v>
      </c>
      <c r="V172" s="92">
        <f t="shared" si="139"/>
        <v>2.2229530961845008</v>
      </c>
      <c r="W172" s="92">
        <f t="shared" si="140"/>
        <v>1.3415739102484914</v>
      </c>
      <c r="X172" s="8">
        <f t="shared" si="141"/>
        <v>2.0196277353356886</v>
      </c>
      <c r="Y172" s="8">
        <f t="shared" si="142"/>
        <v>0.6316964285714286</v>
      </c>
      <c r="Z172" s="8">
        <f t="shared" si="143"/>
        <v>0.35937500000000006</v>
      </c>
      <c r="AA172" s="93">
        <f t="shared" si="144"/>
        <v>1.9515151515151521</v>
      </c>
      <c r="AB172" s="93">
        <f t="shared" si="145"/>
        <v>0.55672501411631803</v>
      </c>
      <c r="AC172" s="93">
        <f t="shared" si="146"/>
        <v>0.23606392361169212</v>
      </c>
      <c r="AD172" s="92">
        <f t="shared" si="147"/>
        <v>5.2736527035787342</v>
      </c>
      <c r="AE172" s="92"/>
      <c r="AF172" s="91">
        <f t="shared" si="148"/>
        <v>7.3993953127106216E-2</v>
      </c>
      <c r="AG172" s="91">
        <f t="shared" si="149"/>
        <v>0.58495471264515397</v>
      </c>
      <c r="AH172" s="91"/>
      <c r="AI172" s="90">
        <f t="shared" si="150"/>
        <v>4.369135138365908E-2</v>
      </c>
      <c r="AJ172" s="90">
        <f t="shared" si="151"/>
        <v>6.2111801242236017E-2</v>
      </c>
      <c r="AK172" s="90">
        <f t="shared" si="152"/>
        <v>-1.6914709222401535E-2</v>
      </c>
    </row>
    <row r="173" spans="1:37">
      <c r="A173" t="s">
        <v>1103</v>
      </c>
      <c r="B173" t="s">
        <v>1103</v>
      </c>
      <c r="C173" t="s">
        <v>1101</v>
      </c>
      <c r="D173" t="s">
        <v>1100</v>
      </c>
      <c r="E173" s="57">
        <v>7</v>
      </c>
      <c r="F173" s="57">
        <v>3</v>
      </c>
      <c r="G173" s="69">
        <v>5.62</v>
      </c>
      <c r="H173" s="95">
        <v>107.8</v>
      </c>
      <c r="I173" s="96">
        <v>25</v>
      </c>
      <c r="J173" s="95">
        <v>40.5</v>
      </c>
      <c r="K173" s="92">
        <f t="shared" si="128"/>
        <v>62.933333333333337</v>
      </c>
      <c r="L173" s="92">
        <f t="shared" si="129"/>
        <v>27.865187148062276</v>
      </c>
      <c r="M173" s="92">
        <f t="shared" si="130"/>
        <v>28.46</v>
      </c>
      <c r="N173" s="92">
        <f t="shared" si="131"/>
        <v>28.162593574031138</v>
      </c>
      <c r="O173" s="92">
        <f t="shared" si="132"/>
        <v>28.188633824836913</v>
      </c>
      <c r="P173" s="92">
        <f t="shared" si="133"/>
        <v>28.152858801318956</v>
      </c>
      <c r="Q173" s="92">
        <f t="shared" si="134"/>
        <v>28.170746313077935</v>
      </c>
      <c r="R173" s="92">
        <f t="shared" si="135"/>
        <v>2.2346426712404948</v>
      </c>
      <c r="S173" s="92">
        <f t="shared" si="136"/>
        <v>0.30529413082153073</v>
      </c>
      <c r="T173" s="92">
        <f t="shared" si="137"/>
        <v>73.520936201789993</v>
      </c>
      <c r="U173" s="92">
        <f t="shared" si="138"/>
        <v>4.2284298360944454</v>
      </c>
      <c r="V173" s="92">
        <f t="shared" si="139"/>
        <v>3.3463565286154666</v>
      </c>
      <c r="W173" s="92">
        <f t="shared" si="140"/>
        <v>2.2385570456489954</v>
      </c>
      <c r="X173" s="8">
        <f t="shared" si="141"/>
        <v>1.8889086808455904</v>
      </c>
      <c r="Y173" s="8">
        <f t="shared" si="142"/>
        <v>0.37569573283858998</v>
      </c>
      <c r="Z173" s="8">
        <f t="shared" si="143"/>
        <v>0.2319109461966605</v>
      </c>
      <c r="AA173" s="93">
        <f t="shared" si="144"/>
        <v>0.74294205052005946</v>
      </c>
      <c r="AB173" s="93">
        <f t="shared" si="145"/>
        <v>0.1067304606240711</v>
      </c>
      <c r="AC173" s="93">
        <f t="shared" si="146"/>
        <v>4.7229010106241275E-2</v>
      </c>
      <c r="AD173" s="92">
        <f t="shared" si="147"/>
        <v>1.0560335119244924</v>
      </c>
      <c r="AE173" s="92"/>
      <c r="AF173" s="91">
        <f t="shared" si="148"/>
        <v>0.40429614107682044</v>
      </c>
      <c r="AG173" s="91">
        <f t="shared" si="149"/>
        <v>0.22380339783292003</v>
      </c>
      <c r="AH173" s="91"/>
      <c r="AI173" s="90">
        <f t="shared" si="150"/>
        <v>1.1671430730097968E-2</v>
      </c>
      <c r="AJ173" s="90">
        <f t="shared" si="151"/>
        <v>0.04</v>
      </c>
      <c r="AK173" s="90">
        <f t="shared" si="152"/>
        <v>-3.1874102803032211E-3</v>
      </c>
    </row>
    <row r="174" spans="1:37">
      <c r="A174" t="s">
        <v>1102</v>
      </c>
      <c r="B174" t="s">
        <v>1102</v>
      </c>
      <c r="C174" t="s">
        <v>1101</v>
      </c>
      <c r="D174" t="s">
        <v>1100</v>
      </c>
      <c r="E174" s="57">
        <v>7</v>
      </c>
      <c r="F174" s="57">
        <v>3</v>
      </c>
      <c r="G174" s="69">
        <v>5.24</v>
      </c>
      <c r="H174" s="95">
        <v>130</v>
      </c>
      <c r="I174" s="95">
        <v>48.7</v>
      </c>
      <c r="J174" s="95">
        <v>46.4</v>
      </c>
      <c r="K174" s="92">
        <f t="shared" si="128"/>
        <v>74.266666666666666</v>
      </c>
      <c r="L174" s="92">
        <f t="shared" si="129"/>
        <v>45.68357271095153</v>
      </c>
      <c r="M174" s="92">
        <f t="shared" si="130"/>
        <v>45.940000000000005</v>
      </c>
      <c r="N174" s="92">
        <f t="shared" si="131"/>
        <v>45.811786355475768</v>
      </c>
      <c r="O174" s="92">
        <f t="shared" si="132"/>
        <v>45.81134407439508</v>
      </c>
      <c r="P174" s="92">
        <f t="shared" si="133"/>
        <v>45.819192949393049</v>
      </c>
      <c r="Q174" s="92">
        <f t="shared" si="134"/>
        <v>45.815268511894061</v>
      </c>
      <c r="R174" s="92">
        <f t="shared" si="135"/>
        <v>1.6211257533246084</v>
      </c>
      <c r="S174" s="92">
        <f t="shared" si="136"/>
        <v>0.24417474204845963</v>
      </c>
      <c r="T174" s="92">
        <f t="shared" si="137"/>
        <v>113.9957349432064</v>
      </c>
      <c r="U174" s="92">
        <f t="shared" si="138"/>
        <v>5.0823194589496499</v>
      </c>
      <c r="V174" s="92">
        <f t="shared" si="139"/>
        <v>3.7647082210739629</v>
      </c>
      <c r="W174" s="92">
        <f t="shared" si="140"/>
        <v>2.9568069466482392</v>
      </c>
      <c r="X174" s="8">
        <f t="shared" si="141"/>
        <v>1.7188540038810574</v>
      </c>
      <c r="Y174" s="8">
        <f t="shared" si="142"/>
        <v>0.3569230769230769</v>
      </c>
      <c r="Z174" s="8">
        <f t="shared" si="143"/>
        <v>0.37461538461538463</v>
      </c>
      <c r="AA174" s="93">
        <f t="shared" si="144"/>
        <v>1.1650717703349285</v>
      </c>
      <c r="AB174" s="93">
        <f t="shared" si="145"/>
        <v>2.8065590521010542E-2</v>
      </c>
      <c r="AC174" s="93">
        <f t="shared" si="146"/>
        <v>1.251621890982192E-2</v>
      </c>
      <c r="AD174" s="92">
        <f t="shared" si="147"/>
        <v>0.27987043231487563</v>
      </c>
      <c r="AE174" s="92"/>
      <c r="AF174" s="91">
        <f t="shared" si="148"/>
        <v>0.19061828018849347</v>
      </c>
      <c r="AG174" s="91">
        <f t="shared" si="149"/>
        <v>0.2888870138404146</v>
      </c>
      <c r="AH174" s="91"/>
      <c r="AI174" s="90">
        <f t="shared" si="150"/>
        <v>9.4705917723965551E-3</v>
      </c>
      <c r="AJ174" s="90">
        <f t="shared" si="151"/>
        <v>2.0533880903490759E-2</v>
      </c>
      <c r="AK174" s="90">
        <f t="shared" si="152"/>
        <v>-2.4911307156417241E-3</v>
      </c>
    </row>
    <row r="175" spans="1:37">
      <c r="U175" s="92"/>
      <c r="V175" s="92"/>
      <c r="W175" s="92"/>
      <c r="X175" s="8"/>
      <c r="Y175" s="8"/>
      <c r="Z175" s="8"/>
      <c r="AA175" s="93"/>
      <c r="AB175" s="93"/>
      <c r="AC175" s="93"/>
      <c r="AD175" s="92"/>
      <c r="AE175" s="92"/>
      <c r="AF175" s="91"/>
      <c r="AG175" s="91"/>
      <c r="AH175" s="91"/>
      <c r="AI175" s="90"/>
      <c r="AJ175" s="90"/>
      <c r="AK175" s="90"/>
    </row>
    <row r="176" spans="1:37">
      <c r="A176" t="s">
        <v>1099</v>
      </c>
      <c r="B176" t="s">
        <v>1098</v>
      </c>
      <c r="C176" t="s">
        <v>1062</v>
      </c>
      <c r="D176" t="s">
        <v>996</v>
      </c>
      <c r="E176" s="57">
        <v>7</v>
      </c>
      <c r="F176" s="57" t="s">
        <v>1061</v>
      </c>
      <c r="G176" s="92">
        <v>2.64</v>
      </c>
      <c r="H176" s="95">
        <v>113.1</v>
      </c>
      <c r="I176" s="95">
        <v>63.2</v>
      </c>
      <c r="J176" s="95">
        <v>46.7</v>
      </c>
      <c r="K176" s="92">
        <f t="shared" ref="K176:K194" si="153">(H176+2*J176)/3</f>
        <v>68.833333333333329</v>
      </c>
      <c r="L176" s="92">
        <f t="shared" ref="L176:L194" si="154">(5*(H176-J176)*I176)/(4*I176 + 3*(H176-J176))</f>
        <v>46.421238938053094</v>
      </c>
      <c r="M176" s="92">
        <f t="shared" ref="M176:M194" si="155">(H176-J176+3*I176)/5</f>
        <v>51.2</v>
      </c>
      <c r="N176" s="92">
        <f t="shared" ref="N176:N194" si="156">0.5*(M176+L176)</f>
        <v>48.810619469026548</v>
      </c>
      <c r="O176" s="92">
        <f t="shared" ref="O176:O194" si="157">0.5*(H176-J176)+3/(5/(I176-0.5*(H176-J176))-4*(-3*(K176+(H176-J176))/(5*0.5*(H176-J176)*(3*K176+2*(H176-J176)))))</f>
        <v>48.54694507770138</v>
      </c>
      <c r="P176" s="92">
        <f t="shared" ref="P176:P194" si="158">I176+2/(5/(0.5*(H176-J176)-I176)-6*(-(3*(K176+2*I176))/(5*I176*(3*K176+4*I176))))</f>
        <v>49.160378417071328</v>
      </c>
      <c r="Q176" s="92">
        <f t="shared" ref="Q176:Q194" si="159">(O176+P176)/2</f>
        <v>48.853661747386354</v>
      </c>
      <c r="R176" s="92">
        <f t="shared" ref="R176:R194" si="160">K176/N176</f>
        <v>1.41021224647666</v>
      </c>
      <c r="S176" s="92">
        <f t="shared" ref="S176:S194" si="161">(3*K176-2*N176)/(2*(3*K176+N176))</f>
        <v>0.21322803040544053</v>
      </c>
      <c r="T176" s="92">
        <f t="shared" ref="T176:T194" si="162">9*N176*K176/(N176+3*K176)</f>
        <v>118.43682344255305</v>
      </c>
      <c r="U176" s="92">
        <f t="shared" ref="U176:U194" si="163">SQRT((K176+4/3*N176)/G176)</f>
        <v>7.1221527881597844</v>
      </c>
      <c r="V176" s="92">
        <f t="shared" ref="V176:V194" si="164">SQRT(K176/G176)</f>
        <v>5.1061954842360198</v>
      </c>
      <c r="W176" s="92">
        <f t="shared" ref="W176:W194" si="165">SQRT(N176/G176)</f>
        <v>4.299868720204711</v>
      </c>
      <c r="X176" s="8">
        <f t="shared" ref="X176:X194" si="166">SQRT((K176/N176) +4/3)</f>
        <v>1.6563651710326419</v>
      </c>
      <c r="Y176" s="8">
        <f t="shared" ref="Y176:Y194" si="167">J176/H176</f>
        <v>0.41290893015030949</v>
      </c>
      <c r="Z176" s="8">
        <f t="shared" ref="Z176:Z194" si="168">I176/H176</f>
        <v>0.5587975243147657</v>
      </c>
      <c r="AA176" s="93">
        <f t="shared" ref="AA176:AA194" si="169">2*I176/(H176-J176)</f>
        <v>1.9036144578313257</v>
      </c>
      <c r="AB176" s="93">
        <f t="shared" ref="AB176:AB194" si="170">5*M176/L176 +1 -6</f>
        <v>0.51471709623303408</v>
      </c>
      <c r="AC176" s="93">
        <f t="shared" ref="AC176:AC194" si="171">SQRT(5)*LN(M176/L176)</f>
        <v>0.21909540048498438</v>
      </c>
      <c r="AD176" s="92">
        <f t="shared" ref="AD176:AD194" si="172">100*(M176-L176)/(M176+L176)</f>
        <v>4.8952063238813617</v>
      </c>
      <c r="AE176" s="92"/>
      <c r="AF176" s="91">
        <f t="shared" ref="AF176:AF194" si="173">-(2*H176*I176-(H176-J176)*(H176+2*J176))/(2*H176*I176+(H176-J176)*(H176+2*J176))</f>
        <v>-2.0860171440160245E-2</v>
      </c>
      <c r="AG176" s="91">
        <f t="shared" ref="AG176:AG194" si="174">(4*J176*I176)/(2*H176*I176+(H176-J176)*(H176+2*J176))</f>
        <v>0.42152228122241814</v>
      </c>
      <c r="AH176" s="91"/>
      <c r="AI176" s="90">
        <f t="shared" ref="AI176:AI194" si="175">(H176+J176)/((H176-J176)*(H176+2*J176))</f>
        <v>1.1654365646605797E-2</v>
      </c>
      <c r="AJ176" s="90">
        <f t="shared" ref="AJ176:AJ194" si="176">1/I176</f>
        <v>1.582278481012658E-2</v>
      </c>
      <c r="AK176" s="90">
        <f t="shared" ref="AK176:AK194" si="177">-J176/((H176-J176)*(H176+2*J176))</f>
        <v>-3.4058753172496285E-3</v>
      </c>
    </row>
    <row r="177" spans="1:37">
      <c r="A177" t="s">
        <v>1097</v>
      </c>
      <c r="B177" t="s">
        <v>1097</v>
      </c>
      <c r="C177" t="s">
        <v>1062</v>
      </c>
      <c r="D177" t="s">
        <v>996</v>
      </c>
      <c r="E177" s="57">
        <v>7</v>
      </c>
      <c r="F177" s="57">
        <v>3</v>
      </c>
      <c r="G177" s="57">
        <v>2.0680000000000001</v>
      </c>
      <c r="H177" s="95">
        <v>49.3</v>
      </c>
      <c r="I177" s="95">
        <v>24.9</v>
      </c>
      <c r="J177" s="95">
        <v>22.7</v>
      </c>
      <c r="K177" s="92">
        <f t="shared" si="153"/>
        <v>31.566666666666663</v>
      </c>
      <c r="L177" s="92">
        <f t="shared" si="154"/>
        <v>18.459866220735787</v>
      </c>
      <c r="M177" s="92">
        <f t="shared" si="155"/>
        <v>20.259999999999998</v>
      </c>
      <c r="N177" s="92">
        <f t="shared" si="156"/>
        <v>19.359933110367891</v>
      </c>
      <c r="O177" s="92">
        <f t="shared" si="157"/>
        <v>19.276060153421604</v>
      </c>
      <c r="P177" s="92">
        <f t="shared" si="158"/>
        <v>19.501738955789683</v>
      </c>
      <c r="Q177" s="92">
        <f t="shared" si="159"/>
        <v>19.388899554605644</v>
      </c>
      <c r="R177" s="92">
        <f t="shared" si="160"/>
        <v>1.6305152753736354</v>
      </c>
      <c r="S177" s="92">
        <f t="shared" si="161"/>
        <v>0.24539788974405288</v>
      </c>
      <c r="T177" s="92">
        <f t="shared" si="162"/>
        <v>48.221639682476372</v>
      </c>
      <c r="U177" s="92">
        <f t="shared" si="163"/>
        <v>5.2675014912444951</v>
      </c>
      <c r="V177" s="92">
        <f t="shared" si="164"/>
        <v>3.9069611699496729</v>
      </c>
      <c r="W177" s="92">
        <f t="shared" si="165"/>
        <v>3.0596845887405371</v>
      </c>
      <c r="X177" s="8">
        <f t="shared" si="166"/>
        <v>1.7215831692680341</v>
      </c>
      <c r="Y177" s="8">
        <f t="shared" si="167"/>
        <v>0.46044624746450308</v>
      </c>
      <c r="Z177" s="8">
        <f t="shared" si="168"/>
        <v>0.50507099391480725</v>
      </c>
      <c r="AA177" s="93">
        <f t="shared" si="169"/>
        <v>1.8721804511278195</v>
      </c>
      <c r="AB177" s="93">
        <f t="shared" si="170"/>
        <v>0.48758039677506915</v>
      </c>
      <c r="AC177" s="93">
        <f t="shared" si="171"/>
        <v>0.20806504473280474</v>
      </c>
      <c r="AD177" s="92">
        <f t="shared" si="172"/>
        <v>4.6491218977925586</v>
      </c>
      <c r="AE177" s="92"/>
      <c r="AF177" s="91">
        <f t="shared" si="173"/>
        <v>1.2842369364877619E-2</v>
      </c>
      <c r="AG177" s="91">
        <f t="shared" si="174"/>
        <v>0.45453302668189194</v>
      </c>
      <c r="AH177" s="91"/>
      <c r="AI177" s="90">
        <f t="shared" si="175"/>
        <v>2.858254400520838E-2</v>
      </c>
      <c r="AJ177" s="90">
        <f t="shared" si="176"/>
        <v>4.0160642570281124E-2</v>
      </c>
      <c r="AK177" s="90">
        <f t="shared" si="177"/>
        <v>-9.0114409571976414E-3</v>
      </c>
    </row>
    <row r="178" spans="1:37">
      <c r="A178" t="s">
        <v>1096</v>
      </c>
      <c r="B178" t="s">
        <v>1096</v>
      </c>
      <c r="C178" t="s">
        <v>1062</v>
      </c>
      <c r="D178" t="s">
        <v>996</v>
      </c>
      <c r="E178" s="57">
        <v>7</v>
      </c>
      <c r="F178" s="57">
        <v>3</v>
      </c>
      <c r="G178" s="57">
        <v>3.464</v>
      </c>
      <c r="H178" s="95">
        <v>39.4</v>
      </c>
      <c r="I178" s="95">
        <v>19.100000000000001</v>
      </c>
      <c r="J178" s="95">
        <v>18.899999999999999</v>
      </c>
      <c r="K178" s="92">
        <f t="shared" si="153"/>
        <v>25.733333333333331</v>
      </c>
      <c r="L178" s="92">
        <f t="shared" si="154"/>
        <v>14.196881798404641</v>
      </c>
      <c r="M178" s="92">
        <f t="shared" si="155"/>
        <v>15.560000000000002</v>
      </c>
      <c r="N178" s="92">
        <f t="shared" si="156"/>
        <v>14.878440899202321</v>
      </c>
      <c r="O178" s="92">
        <f t="shared" si="157"/>
        <v>14.81929163353337</v>
      </c>
      <c r="P178" s="92">
        <f t="shared" si="158"/>
        <v>14.98916807659095</v>
      </c>
      <c r="Q178" s="92">
        <f t="shared" si="159"/>
        <v>14.904229855062159</v>
      </c>
      <c r="R178" s="92">
        <f t="shared" si="160"/>
        <v>1.7295719025716583</v>
      </c>
      <c r="S178" s="92">
        <f t="shared" si="161"/>
        <v>0.25762337925297318</v>
      </c>
      <c r="T178" s="92">
        <f t="shared" si="162"/>
        <v>37.422950243340942</v>
      </c>
      <c r="U178" s="92">
        <f t="shared" si="163"/>
        <v>3.6270751220765227</v>
      </c>
      <c r="V178" s="92">
        <f t="shared" si="164"/>
        <v>2.7255809248641039</v>
      </c>
      <c r="W178" s="92">
        <f t="shared" si="165"/>
        <v>2.0724772429154723</v>
      </c>
      <c r="X178" s="8">
        <f t="shared" si="166"/>
        <v>1.7501157778572798</v>
      </c>
      <c r="Y178" s="8">
        <f t="shared" si="167"/>
        <v>0.47969543147208121</v>
      </c>
      <c r="Z178" s="8">
        <f t="shared" si="168"/>
        <v>0.48477157360406098</v>
      </c>
      <c r="AA178" s="93">
        <f t="shared" si="169"/>
        <v>1.8634146341463416</v>
      </c>
      <c r="AB178" s="93">
        <f t="shared" si="170"/>
        <v>0.48007661856723338</v>
      </c>
      <c r="AC178" s="93">
        <f t="shared" si="171"/>
        <v>0.20500532819437361</v>
      </c>
      <c r="AD178" s="92">
        <f t="shared" si="172"/>
        <v>4.5808502746697135</v>
      </c>
      <c r="AE178" s="92"/>
      <c r="AF178" s="91">
        <f t="shared" si="173"/>
        <v>2.5106228624727799E-2</v>
      </c>
      <c r="AG178" s="91">
        <f t="shared" si="174"/>
        <v>0.46765208829930566</v>
      </c>
      <c r="AH178" s="91"/>
      <c r="AI178" s="90">
        <f t="shared" si="175"/>
        <v>3.6838114495134591E-2</v>
      </c>
      <c r="AJ178" s="90">
        <f t="shared" si="176"/>
        <v>5.235602094240837E-2</v>
      </c>
      <c r="AK178" s="90">
        <f t="shared" si="177"/>
        <v>-1.1942373309743461E-2</v>
      </c>
    </row>
    <row r="179" spans="1:37">
      <c r="A179" t="s">
        <v>1095</v>
      </c>
      <c r="B179" t="s">
        <v>1095</v>
      </c>
      <c r="C179" t="s">
        <v>1062</v>
      </c>
      <c r="D179" t="s">
        <v>996</v>
      </c>
      <c r="E179" s="57">
        <v>7</v>
      </c>
      <c r="F179" s="57">
        <v>3</v>
      </c>
      <c r="G179" s="57">
        <v>4.0609999999999999</v>
      </c>
      <c r="H179" s="95">
        <v>29.1</v>
      </c>
      <c r="I179" s="95">
        <v>14.1</v>
      </c>
      <c r="J179" s="95">
        <v>14.2</v>
      </c>
      <c r="K179" s="92">
        <f t="shared" si="153"/>
        <v>19.166666666666668</v>
      </c>
      <c r="L179" s="92">
        <f t="shared" si="154"/>
        <v>10.390207715133535</v>
      </c>
      <c r="M179" s="92">
        <f t="shared" si="155"/>
        <v>11.440000000000001</v>
      </c>
      <c r="N179" s="92">
        <f t="shared" si="156"/>
        <v>10.915103857566768</v>
      </c>
      <c r="O179" s="92">
        <f t="shared" si="157"/>
        <v>10.868453370969608</v>
      </c>
      <c r="P179" s="92">
        <f t="shared" si="158"/>
        <v>11.002596899764386</v>
      </c>
      <c r="Q179" s="92">
        <f t="shared" si="159"/>
        <v>10.935525135366998</v>
      </c>
      <c r="R179" s="92">
        <f t="shared" si="160"/>
        <v>1.7559765730840573</v>
      </c>
      <c r="S179" s="92">
        <f t="shared" si="161"/>
        <v>0.26068653172790113</v>
      </c>
      <c r="T179" s="92">
        <f t="shared" si="162"/>
        <v>27.521048851291372</v>
      </c>
      <c r="U179" s="92">
        <f t="shared" si="163"/>
        <v>2.8815634042110672</v>
      </c>
      <c r="V179" s="92">
        <f t="shared" si="164"/>
        <v>2.1724850685850492</v>
      </c>
      <c r="W179" s="92">
        <f t="shared" si="165"/>
        <v>1.6394472267955489</v>
      </c>
      <c r="X179" s="8">
        <f t="shared" si="166"/>
        <v>1.7576432819026135</v>
      </c>
      <c r="Y179" s="8">
        <f t="shared" si="167"/>
        <v>0.48797250859106522</v>
      </c>
      <c r="Z179" s="8">
        <f t="shared" si="168"/>
        <v>0.48453608247422675</v>
      </c>
      <c r="AA179" s="93">
        <f t="shared" si="169"/>
        <v>1.8926174496644292</v>
      </c>
      <c r="AB179" s="93">
        <f t="shared" si="170"/>
        <v>0.50518349278880326</v>
      </c>
      <c r="AC179" s="93">
        <f t="shared" si="171"/>
        <v>0.21522643805324546</v>
      </c>
      <c r="AD179" s="92">
        <f t="shared" si="172"/>
        <v>4.8088973708606089</v>
      </c>
      <c r="AE179" s="92"/>
      <c r="AF179" s="91">
        <f t="shared" si="173"/>
        <v>2.1539672224971298E-2</v>
      </c>
      <c r="AG179" s="91">
        <f t="shared" si="174"/>
        <v>0.47746174070121677</v>
      </c>
      <c r="AH179" s="91"/>
      <c r="AI179" s="90">
        <f t="shared" si="175"/>
        <v>5.053983075576305E-2</v>
      </c>
      <c r="AJ179" s="90">
        <f t="shared" si="176"/>
        <v>7.0921985815602842E-2</v>
      </c>
      <c r="AK179" s="90">
        <f t="shared" si="177"/>
        <v>-1.6574263203968483E-2</v>
      </c>
    </row>
    <row r="180" spans="1:37">
      <c r="A180" t="s">
        <v>1094</v>
      </c>
      <c r="B180" t="s">
        <v>1093</v>
      </c>
      <c r="C180" t="s">
        <v>1062</v>
      </c>
      <c r="D180" t="s">
        <v>996</v>
      </c>
      <c r="E180" s="57">
        <v>7</v>
      </c>
      <c r="F180" s="57" t="s">
        <v>1061</v>
      </c>
      <c r="G180" s="57">
        <v>2.78</v>
      </c>
      <c r="H180" s="96">
        <v>97</v>
      </c>
      <c r="I180" s="95">
        <v>28.1</v>
      </c>
      <c r="J180" s="95">
        <v>24.2</v>
      </c>
      <c r="K180" s="92">
        <f t="shared" si="153"/>
        <v>48.466666666666669</v>
      </c>
      <c r="L180" s="92">
        <f t="shared" si="154"/>
        <v>30.920193470374851</v>
      </c>
      <c r="M180" s="92">
        <f t="shared" si="155"/>
        <v>31.420000000000005</v>
      </c>
      <c r="N180" s="92">
        <f t="shared" si="156"/>
        <v>31.170096735187428</v>
      </c>
      <c r="O180" s="92">
        <f t="shared" si="157"/>
        <v>31.182003723788817</v>
      </c>
      <c r="P180" s="92">
        <f t="shared" si="158"/>
        <v>31.156123536596461</v>
      </c>
      <c r="Q180" s="92">
        <f t="shared" si="159"/>
        <v>31.169063630192639</v>
      </c>
      <c r="R180" s="92">
        <f t="shared" si="160"/>
        <v>1.5549090873354081</v>
      </c>
      <c r="S180" s="92">
        <f t="shared" si="161"/>
        <v>0.23520349160309639</v>
      </c>
      <c r="T180" s="92">
        <f t="shared" si="162"/>
        <v>77.002824641819572</v>
      </c>
      <c r="U180" s="92">
        <f t="shared" si="163"/>
        <v>5.6906712645642168</v>
      </c>
      <c r="V180" s="92">
        <f t="shared" si="164"/>
        <v>4.1754104897355626</v>
      </c>
      <c r="W180" s="92">
        <f t="shared" si="165"/>
        <v>3.3484720414925597</v>
      </c>
      <c r="X180" s="8">
        <f t="shared" si="166"/>
        <v>1.699482986283988</v>
      </c>
      <c r="Y180" s="8">
        <f t="shared" si="167"/>
        <v>0.24948453608247423</v>
      </c>
      <c r="Z180" s="8">
        <f t="shared" si="168"/>
        <v>0.28969072164948456</v>
      </c>
      <c r="AA180" s="93">
        <f t="shared" si="169"/>
        <v>0.77197802197802201</v>
      </c>
      <c r="AB180" s="93">
        <f t="shared" si="170"/>
        <v>8.0822024950139237E-2</v>
      </c>
      <c r="AC180" s="93">
        <f t="shared" si="171"/>
        <v>3.5855689902817713E-2</v>
      </c>
      <c r="AD180" s="92">
        <f t="shared" si="172"/>
        <v>0.80174042106986831</v>
      </c>
      <c r="AE180" s="92"/>
      <c r="AF180" s="91">
        <f t="shared" si="173"/>
        <v>0.32012681055490844</v>
      </c>
      <c r="AG180" s="91">
        <f t="shared" si="174"/>
        <v>0.16961784726362078</v>
      </c>
      <c r="AH180" s="91"/>
      <c r="AI180" s="90">
        <f t="shared" si="175"/>
        <v>1.1450035521562343E-2</v>
      </c>
      <c r="AJ180" s="90">
        <f t="shared" si="176"/>
        <v>3.5587188612099641E-2</v>
      </c>
      <c r="AK180" s="90">
        <f t="shared" si="177"/>
        <v>-2.286228214701392E-3</v>
      </c>
    </row>
    <row r="181" spans="1:37">
      <c r="A181" t="s">
        <v>1092</v>
      </c>
      <c r="B181" t="s">
        <v>1091</v>
      </c>
      <c r="C181" t="s">
        <v>1062</v>
      </c>
      <c r="D181" t="s">
        <v>996</v>
      </c>
      <c r="E181" s="57">
        <v>7</v>
      </c>
      <c r="F181" s="57" t="s">
        <v>1061</v>
      </c>
      <c r="G181" s="57">
        <v>2.165</v>
      </c>
      <c r="H181" s="95">
        <v>49.2</v>
      </c>
      <c r="I181" s="95">
        <v>12.8</v>
      </c>
      <c r="J181" s="95">
        <v>12.9</v>
      </c>
      <c r="K181" s="92">
        <f t="shared" si="153"/>
        <v>25</v>
      </c>
      <c r="L181" s="92">
        <f t="shared" si="154"/>
        <v>14.510930668332293</v>
      </c>
      <c r="M181" s="92">
        <f t="shared" si="155"/>
        <v>14.940000000000003</v>
      </c>
      <c r="N181" s="92">
        <f t="shared" si="156"/>
        <v>14.725465334166149</v>
      </c>
      <c r="O181" s="92">
        <f t="shared" si="157"/>
        <v>14.73959994631813</v>
      </c>
      <c r="P181" s="92">
        <f t="shared" si="158"/>
        <v>14.709587027623265</v>
      </c>
      <c r="Q181" s="92">
        <f t="shared" si="159"/>
        <v>14.724593486970697</v>
      </c>
      <c r="R181" s="92">
        <f t="shared" si="160"/>
        <v>1.6977392179243931</v>
      </c>
      <c r="S181" s="92">
        <f t="shared" si="161"/>
        <v>0.25382464811984251</v>
      </c>
      <c r="T181" s="92">
        <f t="shared" si="162"/>
        <v>36.926302782023626</v>
      </c>
      <c r="U181" s="92">
        <f t="shared" si="163"/>
        <v>4.540500515638322</v>
      </c>
      <c r="V181" s="92">
        <f t="shared" si="164"/>
        <v>3.398138330152924</v>
      </c>
      <c r="W181" s="92">
        <f t="shared" si="165"/>
        <v>2.6079878481777912</v>
      </c>
      <c r="X181" s="8">
        <f t="shared" si="166"/>
        <v>1.740997573593291</v>
      </c>
      <c r="Y181" s="8">
        <f t="shared" si="167"/>
        <v>0.26219512195121952</v>
      </c>
      <c r="Z181" s="8">
        <f t="shared" si="168"/>
        <v>0.26016260162601623</v>
      </c>
      <c r="AA181" s="93">
        <f t="shared" si="169"/>
        <v>0.70523415977961423</v>
      </c>
      <c r="AB181" s="93">
        <f t="shared" si="170"/>
        <v>0.14784349173553846</v>
      </c>
      <c r="AC181" s="93">
        <f t="shared" si="171"/>
        <v>6.5158965134516161E-2</v>
      </c>
      <c r="AD181" s="92">
        <f t="shared" si="172"/>
        <v>1.4568956631617611</v>
      </c>
      <c r="AE181" s="92"/>
      <c r="AF181" s="91">
        <f t="shared" si="173"/>
        <v>0.36739644702939717</v>
      </c>
      <c r="AG181" s="91">
        <f t="shared" si="174"/>
        <v>0.16586556571790195</v>
      </c>
      <c r="AH181" s="91"/>
      <c r="AI181" s="90">
        <f t="shared" si="175"/>
        <v>2.2809917355371898E-2</v>
      </c>
      <c r="AJ181" s="90">
        <f t="shared" si="176"/>
        <v>7.8125E-2</v>
      </c>
      <c r="AK181" s="90">
        <f t="shared" si="177"/>
        <v>-4.7382920110192834E-3</v>
      </c>
    </row>
    <row r="182" spans="1:37">
      <c r="A182" t="s">
        <v>1090</v>
      </c>
      <c r="B182" t="s">
        <v>1090</v>
      </c>
      <c r="C182" t="s">
        <v>1062</v>
      </c>
      <c r="D182" t="s">
        <v>996</v>
      </c>
      <c r="E182" s="57">
        <v>7</v>
      </c>
      <c r="F182" s="57">
        <v>3</v>
      </c>
      <c r="G182" s="57">
        <v>3.2029999999999998</v>
      </c>
      <c r="H182" s="95">
        <v>40.200000000000003</v>
      </c>
      <c r="I182" s="96">
        <v>10</v>
      </c>
      <c r="J182" s="95">
        <v>10.7</v>
      </c>
      <c r="K182" s="92">
        <f t="shared" si="153"/>
        <v>20.533333333333335</v>
      </c>
      <c r="L182" s="92">
        <f t="shared" si="154"/>
        <v>11.478599221789885</v>
      </c>
      <c r="M182" s="92">
        <f t="shared" si="155"/>
        <v>11.9</v>
      </c>
      <c r="N182" s="92">
        <f t="shared" si="156"/>
        <v>11.689299610894942</v>
      </c>
      <c r="O182" s="92">
        <f t="shared" si="157"/>
        <v>11.704708266707673</v>
      </c>
      <c r="P182" s="92">
        <f t="shared" si="158"/>
        <v>11.671886259076548</v>
      </c>
      <c r="Q182" s="92">
        <f t="shared" si="159"/>
        <v>11.68829726289211</v>
      </c>
      <c r="R182" s="92">
        <f t="shared" si="160"/>
        <v>1.756592269582633</v>
      </c>
      <c r="S182" s="92">
        <f t="shared" si="161"/>
        <v>0.26075703398131711</v>
      </c>
      <c r="T182" s="92">
        <f t="shared" si="162"/>
        <v>29.474733413501745</v>
      </c>
      <c r="U182" s="92">
        <f t="shared" si="163"/>
        <v>3.3580703275321477</v>
      </c>
      <c r="V182" s="92">
        <f t="shared" si="164"/>
        <v>2.531927462632547</v>
      </c>
      <c r="W182" s="92">
        <f t="shared" si="165"/>
        <v>1.9103624620642634</v>
      </c>
      <c r="X182" s="8">
        <f t="shared" si="166"/>
        <v>1.7578184214861232</v>
      </c>
      <c r="Y182" s="8">
        <f t="shared" si="167"/>
        <v>0.26616915422885568</v>
      </c>
      <c r="Z182" s="8">
        <f t="shared" si="168"/>
        <v>0.24875621890547261</v>
      </c>
      <c r="AA182" s="93">
        <f t="shared" si="169"/>
        <v>0.67796610169491522</v>
      </c>
      <c r="AB182" s="93">
        <f t="shared" si="170"/>
        <v>0.18355932203389713</v>
      </c>
      <c r="AC182" s="93">
        <f t="shared" si="171"/>
        <v>8.061927464108401E-2</v>
      </c>
      <c r="AD182" s="92">
        <f t="shared" si="172"/>
        <v>1.8025065326298555</v>
      </c>
      <c r="AE182" s="92"/>
      <c r="AF182" s="91">
        <f t="shared" si="173"/>
        <v>0.38654051579429277</v>
      </c>
      <c r="AG182" s="91">
        <f t="shared" si="174"/>
        <v>0.16328399206470318</v>
      </c>
      <c r="AH182" s="91"/>
      <c r="AI182" s="90">
        <f t="shared" si="175"/>
        <v>2.8010125467752587E-2</v>
      </c>
      <c r="AJ182" s="90">
        <f t="shared" si="176"/>
        <v>0.1</v>
      </c>
      <c r="AK182" s="90">
        <f t="shared" si="177"/>
        <v>-5.8881796169931748E-3</v>
      </c>
    </row>
    <row r="183" spans="1:37">
      <c r="A183" t="s">
        <v>1089</v>
      </c>
      <c r="B183" t="s">
        <v>1089</v>
      </c>
      <c r="C183" t="s">
        <v>1062</v>
      </c>
      <c r="D183" t="s">
        <v>996</v>
      </c>
      <c r="E183" s="57">
        <v>7</v>
      </c>
      <c r="F183" s="57">
        <v>3</v>
      </c>
      <c r="G183" s="57">
        <v>3.6669999999999998</v>
      </c>
      <c r="H183" s="95">
        <v>30.2</v>
      </c>
      <c r="I183" s="95">
        <v>7.3</v>
      </c>
      <c r="J183" s="96">
        <v>9</v>
      </c>
      <c r="K183" s="92">
        <f t="shared" si="153"/>
        <v>16.066666666666666</v>
      </c>
      <c r="L183" s="92">
        <f t="shared" si="154"/>
        <v>8.3383620689655178</v>
      </c>
      <c r="M183" s="92">
        <f t="shared" si="155"/>
        <v>8.6199999999999992</v>
      </c>
      <c r="N183" s="92">
        <f t="shared" si="156"/>
        <v>8.4791810344827585</v>
      </c>
      <c r="O183" s="92">
        <f t="shared" si="157"/>
        <v>8.4903246936525765</v>
      </c>
      <c r="P183" s="92">
        <f t="shared" si="158"/>
        <v>8.4692194819120719</v>
      </c>
      <c r="Q183" s="92">
        <f t="shared" si="159"/>
        <v>8.4797720877823242</v>
      </c>
      <c r="R183" s="92">
        <f t="shared" si="160"/>
        <v>1.8948370840683146</v>
      </c>
      <c r="S183" s="92">
        <f t="shared" si="161"/>
        <v>0.27560064701735498</v>
      </c>
      <c r="T183" s="92">
        <f t="shared" si="162"/>
        <v>21.632097627526985</v>
      </c>
      <c r="U183" s="92">
        <f t="shared" si="163"/>
        <v>2.7321197175250402</v>
      </c>
      <c r="V183" s="92">
        <f t="shared" si="164"/>
        <v>2.0931841464431229</v>
      </c>
      <c r="W183" s="92">
        <f t="shared" si="165"/>
        <v>1.5206228033198139</v>
      </c>
      <c r="X183" s="8">
        <f t="shared" si="166"/>
        <v>1.7967109999667858</v>
      </c>
      <c r="Y183" s="8">
        <f t="shared" si="167"/>
        <v>0.29801324503311261</v>
      </c>
      <c r="Z183" s="8">
        <f t="shared" si="168"/>
        <v>0.24172185430463577</v>
      </c>
      <c r="AA183" s="93">
        <f t="shared" si="169"/>
        <v>0.68867924528301883</v>
      </c>
      <c r="AB183" s="93">
        <f t="shared" si="170"/>
        <v>0.16888084776427892</v>
      </c>
      <c r="AC183" s="93">
        <f t="shared" si="171"/>
        <v>7.4278337097976072E-2</v>
      </c>
      <c r="AD183" s="92">
        <f t="shared" si="172"/>
        <v>1.6607613983539729</v>
      </c>
      <c r="AE183" s="92"/>
      <c r="AF183" s="91">
        <f t="shared" si="173"/>
        <v>0.39713965380513555</v>
      </c>
      <c r="AG183" s="91">
        <f t="shared" si="174"/>
        <v>0.17966036807131724</v>
      </c>
      <c r="AH183" s="91"/>
      <c r="AI183" s="90">
        <f t="shared" si="175"/>
        <v>3.8362170202771474E-2</v>
      </c>
      <c r="AJ183" s="90">
        <f t="shared" si="176"/>
        <v>0.13698630136986301</v>
      </c>
      <c r="AK183" s="90">
        <f t="shared" si="177"/>
        <v>-8.8076411179832462E-3</v>
      </c>
    </row>
    <row r="184" spans="1:37" ht="14.25" customHeight="1">
      <c r="A184" t="s">
        <v>1088</v>
      </c>
      <c r="B184" t="s">
        <v>1087</v>
      </c>
      <c r="C184" t="s">
        <v>1062</v>
      </c>
      <c r="D184" t="s">
        <v>996</v>
      </c>
      <c r="E184" s="57">
        <v>7</v>
      </c>
      <c r="F184" s="57" t="s">
        <v>1061</v>
      </c>
      <c r="G184" s="57">
        <v>2.4809999999999999</v>
      </c>
      <c r="H184" s="95">
        <v>65.2</v>
      </c>
      <c r="I184" s="95">
        <v>12.6</v>
      </c>
      <c r="J184" s="96">
        <v>15</v>
      </c>
      <c r="K184" s="92">
        <f t="shared" si="153"/>
        <v>31.733333333333334</v>
      </c>
      <c r="L184" s="92">
        <f t="shared" si="154"/>
        <v>15.734328358208952</v>
      </c>
      <c r="M184" s="92">
        <f t="shared" si="155"/>
        <v>17.600000000000001</v>
      </c>
      <c r="N184" s="92">
        <f t="shared" si="156"/>
        <v>16.667164179104475</v>
      </c>
      <c r="O184" s="92">
        <f t="shared" si="157"/>
        <v>16.765451928039184</v>
      </c>
      <c r="P184" s="92">
        <f t="shared" si="158"/>
        <v>16.50837508947745</v>
      </c>
      <c r="Q184" s="92">
        <f t="shared" si="159"/>
        <v>16.636913508758319</v>
      </c>
      <c r="R184" s="92">
        <f t="shared" si="160"/>
        <v>1.9039431658756458</v>
      </c>
      <c r="S184" s="92">
        <f t="shared" si="161"/>
        <v>0.2765139891395712</v>
      </c>
      <c r="T184" s="92">
        <f t="shared" si="162"/>
        <v>42.551736467825634</v>
      </c>
      <c r="U184" s="92">
        <f t="shared" si="163"/>
        <v>4.6634505056763107</v>
      </c>
      <c r="V184" s="92">
        <f t="shared" si="164"/>
        <v>3.5763866469302119</v>
      </c>
      <c r="W184" s="92">
        <f t="shared" si="165"/>
        <v>2.5918954218706309</v>
      </c>
      <c r="X184" s="8">
        <f t="shared" si="166"/>
        <v>1.7992433129538037</v>
      </c>
      <c r="Y184" s="8">
        <f t="shared" si="167"/>
        <v>0.23006134969325151</v>
      </c>
      <c r="Z184" s="8">
        <f t="shared" si="168"/>
        <v>0.19325153374233128</v>
      </c>
      <c r="AA184" s="93">
        <f t="shared" si="169"/>
        <v>0.50199203187250996</v>
      </c>
      <c r="AB184" s="93">
        <f t="shared" si="170"/>
        <v>0.59286662872320317</v>
      </c>
      <c r="AC184" s="93">
        <f t="shared" si="171"/>
        <v>0.25056048863786506</v>
      </c>
      <c r="AD184" s="92">
        <f t="shared" si="172"/>
        <v>5.5968478552879173</v>
      </c>
      <c r="AE184" s="92"/>
      <c r="AF184" s="91">
        <f t="shared" si="173"/>
        <v>0.48831531217300317</v>
      </c>
      <c r="AG184" s="91">
        <f t="shared" si="174"/>
        <v>0.11771886989884897</v>
      </c>
      <c r="AH184" s="91"/>
      <c r="AI184" s="90">
        <f t="shared" si="175"/>
        <v>1.6781613043623824E-2</v>
      </c>
      <c r="AJ184" s="90">
        <f t="shared" si="176"/>
        <v>7.9365079365079361E-2</v>
      </c>
      <c r="AK184" s="90">
        <f t="shared" si="177"/>
        <v>-3.1387056814757776E-3</v>
      </c>
    </row>
    <row r="185" spans="1:37">
      <c r="A185" t="s">
        <v>1086</v>
      </c>
      <c r="B185" t="s">
        <v>1085</v>
      </c>
      <c r="C185" t="s">
        <v>1062</v>
      </c>
      <c r="D185" t="s">
        <v>996</v>
      </c>
      <c r="E185" s="57">
        <v>7</v>
      </c>
      <c r="F185" s="57" t="s">
        <v>1061</v>
      </c>
      <c r="G185" s="57">
        <v>1.984</v>
      </c>
      <c r="H185" s="95">
        <v>40.6</v>
      </c>
      <c r="I185" s="95">
        <v>6.3</v>
      </c>
      <c r="J185" s="96">
        <v>7</v>
      </c>
      <c r="K185" s="92">
        <f t="shared" si="153"/>
        <v>18.2</v>
      </c>
      <c r="L185" s="92">
        <f t="shared" si="154"/>
        <v>8.3999999999999986</v>
      </c>
      <c r="M185" s="92">
        <f t="shared" si="155"/>
        <v>10.5</v>
      </c>
      <c r="N185" s="92">
        <f t="shared" si="156"/>
        <v>9.4499999999999993</v>
      </c>
      <c r="O185" s="92">
        <f t="shared" si="157"/>
        <v>9.5786561264822137</v>
      </c>
      <c r="P185" s="92">
        <f t="shared" si="158"/>
        <v>9.1705035971223019</v>
      </c>
      <c r="Q185" s="92">
        <f t="shared" si="159"/>
        <v>9.3745798618022569</v>
      </c>
      <c r="R185" s="92">
        <f t="shared" si="160"/>
        <v>1.925925925925926</v>
      </c>
      <c r="S185" s="92">
        <f t="shared" si="161"/>
        <v>0.27868852459016391</v>
      </c>
      <c r="T185" s="92">
        <f t="shared" si="162"/>
        <v>24.167213114754098</v>
      </c>
      <c r="U185" s="92">
        <f t="shared" si="163"/>
        <v>3.9400753226793896</v>
      </c>
      <c r="V185" s="92">
        <f t="shared" si="164"/>
        <v>3.02875999326031</v>
      </c>
      <c r="W185" s="92">
        <f t="shared" si="165"/>
        <v>2.1824538571776673</v>
      </c>
      <c r="X185" s="8">
        <f t="shared" si="166"/>
        <v>1.8053418676968802</v>
      </c>
      <c r="Y185" s="8">
        <f t="shared" si="167"/>
        <v>0.17241379310344826</v>
      </c>
      <c r="Z185" s="8">
        <f t="shared" si="168"/>
        <v>0.15517241379310343</v>
      </c>
      <c r="AA185" s="93">
        <f t="shared" si="169"/>
        <v>0.375</v>
      </c>
      <c r="AB185" s="93">
        <f t="shared" si="170"/>
        <v>1.2500000000000009</v>
      </c>
      <c r="AC185" s="93">
        <f t="shared" si="171"/>
        <v>0.49896414947928597</v>
      </c>
      <c r="AD185" s="92">
        <f t="shared" si="172"/>
        <v>11.11111111111112</v>
      </c>
      <c r="AE185" s="92"/>
      <c r="AF185" s="91">
        <f t="shared" si="173"/>
        <v>0.56390977443609025</v>
      </c>
      <c r="AG185" s="91">
        <f t="shared" si="174"/>
        <v>7.5187969924812026E-2</v>
      </c>
      <c r="AH185" s="91"/>
      <c r="AI185" s="90">
        <f t="shared" si="175"/>
        <v>2.5946275946275944E-2</v>
      </c>
      <c r="AJ185" s="90">
        <f t="shared" si="176"/>
        <v>0.15873015873015872</v>
      </c>
      <c r="AK185" s="90">
        <f t="shared" si="177"/>
        <v>-3.8156288156288151E-3</v>
      </c>
    </row>
    <row r="186" spans="1:37">
      <c r="A186" t="s">
        <v>1084</v>
      </c>
      <c r="B186" t="s">
        <v>1084</v>
      </c>
      <c r="C186" t="s">
        <v>1062</v>
      </c>
      <c r="D186" t="s">
        <v>996</v>
      </c>
      <c r="E186" s="57">
        <v>7</v>
      </c>
      <c r="F186" s="57">
        <v>3</v>
      </c>
      <c r="G186" s="57">
        <v>2.75</v>
      </c>
      <c r="H186" s="95">
        <v>34.6</v>
      </c>
      <c r="I186" s="95">
        <v>5.0999999999999996</v>
      </c>
      <c r="J186" s="95">
        <v>5.7</v>
      </c>
      <c r="K186" s="92">
        <f t="shared" si="153"/>
        <v>15.333333333333334</v>
      </c>
      <c r="L186" s="92">
        <f t="shared" si="154"/>
        <v>6.8809523809523805</v>
      </c>
      <c r="M186" s="92">
        <f t="shared" si="155"/>
        <v>8.84</v>
      </c>
      <c r="N186" s="92">
        <f t="shared" si="156"/>
        <v>7.8604761904761897</v>
      </c>
      <c r="O186" s="92">
        <f t="shared" si="157"/>
        <v>7.9842288419435574</v>
      </c>
      <c r="P186" s="92">
        <f t="shared" si="158"/>
        <v>7.5807799888116358</v>
      </c>
      <c r="Q186" s="92">
        <f t="shared" si="159"/>
        <v>7.7825044153775966</v>
      </c>
      <c r="R186" s="92">
        <f t="shared" si="160"/>
        <v>1.9506875870842675</v>
      </c>
      <c r="S186" s="92">
        <f t="shared" si="161"/>
        <v>0.28108781949835115</v>
      </c>
      <c r="T186" s="92">
        <f t="shared" si="162"/>
        <v>20.139920606151698</v>
      </c>
      <c r="U186" s="92">
        <f t="shared" si="163"/>
        <v>3.0638044237349007</v>
      </c>
      <c r="V186" s="92">
        <f t="shared" si="164"/>
        <v>2.3613042107609887</v>
      </c>
      <c r="W186" s="92">
        <f t="shared" si="165"/>
        <v>1.6906670217269213</v>
      </c>
      <c r="X186" s="8">
        <f t="shared" si="166"/>
        <v>1.8121867785682582</v>
      </c>
      <c r="Y186" s="8">
        <f t="shared" si="167"/>
        <v>0.16473988439306358</v>
      </c>
      <c r="Z186" s="8">
        <f t="shared" si="168"/>
        <v>0.14739884393063582</v>
      </c>
      <c r="AA186" s="93">
        <f t="shared" si="169"/>
        <v>0.3529411764705882</v>
      </c>
      <c r="AB186" s="93">
        <f t="shared" si="170"/>
        <v>1.423529411764707</v>
      </c>
      <c r="AC186" s="93">
        <f t="shared" si="171"/>
        <v>0.56020167844050206</v>
      </c>
      <c r="AD186" s="92">
        <f t="shared" si="172"/>
        <v>12.461380020597325</v>
      </c>
      <c r="AE186" s="92"/>
      <c r="AF186" s="91">
        <f t="shared" si="173"/>
        <v>0.58043654001616807</v>
      </c>
      <c r="AG186" s="91">
        <f t="shared" si="174"/>
        <v>6.9118835893290209E-2</v>
      </c>
      <c r="AH186" s="91"/>
      <c r="AI186" s="90">
        <f t="shared" si="175"/>
        <v>3.0314427561305854E-2</v>
      </c>
      <c r="AJ186" s="90">
        <f t="shared" si="176"/>
        <v>0.19607843137254904</v>
      </c>
      <c r="AK186" s="90">
        <f t="shared" si="177"/>
        <v>-4.287648563261622E-3</v>
      </c>
    </row>
    <row r="187" spans="1:37">
      <c r="A187" t="s">
        <v>1083</v>
      </c>
      <c r="B187" t="s">
        <v>1083</v>
      </c>
      <c r="C187" t="s">
        <v>1062</v>
      </c>
      <c r="D187" t="s">
        <v>996</v>
      </c>
      <c r="E187" s="57">
        <v>7</v>
      </c>
      <c r="F187" s="57">
        <v>3</v>
      </c>
      <c r="G187" s="57">
        <v>3.1280000000000001</v>
      </c>
      <c r="H187" s="95">
        <v>27.4</v>
      </c>
      <c r="I187" s="95">
        <v>3.7</v>
      </c>
      <c r="J187" s="95">
        <v>4.4000000000000004</v>
      </c>
      <c r="K187" s="92">
        <f t="shared" si="153"/>
        <v>12.066666666666668</v>
      </c>
      <c r="L187" s="92">
        <f t="shared" si="154"/>
        <v>5.0775656324582341</v>
      </c>
      <c r="M187" s="92">
        <f t="shared" si="155"/>
        <v>6.82</v>
      </c>
      <c r="N187" s="92">
        <f t="shared" si="156"/>
        <v>5.9487828162291176</v>
      </c>
      <c r="O187" s="92">
        <f t="shared" si="157"/>
        <v>6.0651750886720865</v>
      </c>
      <c r="P187" s="92">
        <f t="shared" si="158"/>
        <v>5.6754866037994152</v>
      </c>
      <c r="Q187" s="92">
        <f t="shared" si="159"/>
        <v>5.8703308462357509</v>
      </c>
      <c r="R187" s="92">
        <f t="shared" si="160"/>
        <v>2.0284261569857791</v>
      </c>
      <c r="S187" s="92">
        <f t="shared" si="161"/>
        <v>0.28829343036430782</v>
      </c>
      <c r="T187" s="92">
        <f t="shared" si="162"/>
        <v>15.327555641624116</v>
      </c>
      <c r="U187" s="92">
        <f t="shared" si="163"/>
        <v>2.5285060923243181</v>
      </c>
      <c r="V187" s="92">
        <f t="shared" si="164"/>
        <v>1.9640850308795568</v>
      </c>
      <c r="W187" s="92">
        <f t="shared" si="165"/>
        <v>1.3790521338212824</v>
      </c>
      <c r="X187" s="8">
        <f t="shared" si="166"/>
        <v>1.8335101554993123</v>
      </c>
      <c r="Y187" s="8">
        <f t="shared" si="167"/>
        <v>0.16058394160583944</v>
      </c>
      <c r="Z187" s="8">
        <f t="shared" si="168"/>
        <v>0.13503649635036497</v>
      </c>
      <c r="AA187" s="93">
        <f t="shared" si="169"/>
        <v>0.32173913043478264</v>
      </c>
      <c r="AB187" s="93">
        <f t="shared" si="170"/>
        <v>1.7158166862514692</v>
      </c>
      <c r="AC187" s="93">
        <f t="shared" si="171"/>
        <v>0.65970161528778259</v>
      </c>
      <c r="AD187" s="92">
        <f t="shared" si="172"/>
        <v>14.645301579914465</v>
      </c>
      <c r="AE187" s="92"/>
      <c r="AF187" s="91">
        <f t="shared" si="173"/>
        <v>0.60832946994282178</v>
      </c>
      <c r="AG187" s="91">
        <f t="shared" si="174"/>
        <v>6.2895997527430067E-2</v>
      </c>
      <c r="AH187" s="91"/>
      <c r="AI187" s="90">
        <f t="shared" si="175"/>
        <v>3.819361037713187E-2</v>
      </c>
      <c r="AJ187" s="90">
        <f t="shared" si="176"/>
        <v>0.27027027027027023</v>
      </c>
      <c r="AK187" s="90">
        <f t="shared" si="177"/>
        <v>-5.2846504924333416E-3</v>
      </c>
    </row>
    <row r="188" spans="1:37">
      <c r="A188" t="s">
        <v>1082</v>
      </c>
      <c r="B188" t="s">
        <v>1082</v>
      </c>
      <c r="C188" t="s">
        <v>1062</v>
      </c>
      <c r="D188" t="s">
        <v>996</v>
      </c>
      <c r="E188" s="57">
        <v>7</v>
      </c>
      <c r="F188" s="57">
        <v>3</v>
      </c>
      <c r="G188" s="57">
        <v>3.5569999999999999</v>
      </c>
      <c r="H188" s="96">
        <v>55.2</v>
      </c>
      <c r="I188" s="95">
        <v>9.1999999999999993</v>
      </c>
      <c r="J188" s="95">
        <v>14.5</v>
      </c>
      <c r="K188" s="92">
        <f t="shared" si="153"/>
        <v>28.066666666666666</v>
      </c>
      <c r="L188" s="92">
        <f t="shared" si="154"/>
        <v>11.782252989301446</v>
      </c>
      <c r="M188" s="92">
        <f t="shared" si="155"/>
        <v>13.66</v>
      </c>
      <c r="N188" s="92">
        <f t="shared" si="156"/>
        <v>12.721126494650722</v>
      </c>
      <c r="O188" s="92">
        <f t="shared" si="157"/>
        <v>12.839797732172014</v>
      </c>
      <c r="P188" s="92">
        <f t="shared" si="158"/>
        <v>12.540571312304438</v>
      </c>
      <c r="Q188" s="92">
        <f t="shared" si="159"/>
        <v>12.690184522238226</v>
      </c>
      <c r="R188" s="92">
        <f t="shared" si="160"/>
        <v>2.2063035595525915</v>
      </c>
      <c r="S188" s="92">
        <f t="shared" si="161"/>
        <v>0.30312146141812291</v>
      </c>
      <c r="T188" s="92">
        <f t="shared" si="162"/>
        <v>33.154345897188108</v>
      </c>
      <c r="U188" s="92">
        <f t="shared" si="163"/>
        <v>3.5579530217073545</v>
      </c>
      <c r="V188" s="92">
        <f t="shared" si="164"/>
        <v>2.8090112969353758</v>
      </c>
      <c r="W188" s="92">
        <f t="shared" si="165"/>
        <v>1.8911276870625238</v>
      </c>
      <c r="X188" s="8">
        <f t="shared" si="166"/>
        <v>1.8813922751212531</v>
      </c>
      <c r="Y188" s="8">
        <f t="shared" si="167"/>
        <v>0.26268115942028986</v>
      </c>
      <c r="Z188" s="8">
        <f t="shared" si="168"/>
        <v>0.16666666666666666</v>
      </c>
      <c r="AA188" s="93">
        <f t="shared" si="169"/>
        <v>0.452088452088452</v>
      </c>
      <c r="AB188" s="93">
        <f t="shared" si="170"/>
        <v>0.79685396859309954</v>
      </c>
      <c r="AC188" s="93">
        <f t="shared" si="171"/>
        <v>0.33066400537835178</v>
      </c>
      <c r="AD188" s="92">
        <f t="shared" si="172"/>
        <v>7.3804273996023602</v>
      </c>
      <c r="AE188" s="92"/>
      <c r="AF188" s="91">
        <f t="shared" si="173"/>
        <v>0.54275630146175013</v>
      </c>
      <c r="AG188" s="91">
        <f t="shared" si="174"/>
        <v>0.12010930486964895</v>
      </c>
      <c r="AH188" s="91"/>
      <c r="AI188" s="90">
        <f t="shared" si="175"/>
        <v>2.0338844566873068E-2</v>
      </c>
      <c r="AJ188" s="90">
        <f t="shared" si="176"/>
        <v>0.10869565217391305</v>
      </c>
      <c r="AK188" s="90">
        <f t="shared" si="177"/>
        <v>-4.2311800031514992E-3</v>
      </c>
    </row>
    <row r="189" spans="1:37">
      <c r="A189" t="s">
        <v>1081</v>
      </c>
      <c r="B189" t="s">
        <v>1081</v>
      </c>
      <c r="C189" t="s">
        <v>1062</v>
      </c>
      <c r="D189" t="s">
        <v>996</v>
      </c>
      <c r="E189" s="57">
        <v>7</v>
      </c>
      <c r="F189" s="57">
        <v>3</v>
      </c>
      <c r="G189" s="57">
        <v>2.76</v>
      </c>
      <c r="H189" s="95">
        <v>36.299999999999997</v>
      </c>
      <c r="I189" s="95">
        <v>4.7</v>
      </c>
      <c r="J189" s="96">
        <v>6.1529999999999996</v>
      </c>
      <c r="K189" s="92">
        <f t="shared" si="153"/>
        <v>16.201999999999998</v>
      </c>
      <c r="L189" s="92">
        <f t="shared" si="154"/>
        <v>6.4852436356313099</v>
      </c>
      <c r="M189" s="92">
        <f t="shared" si="155"/>
        <v>8.8493999999999993</v>
      </c>
      <c r="N189" s="92">
        <f t="shared" si="156"/>
        <v>7.6673218178156546</v>
      </c>
      <c r="O189" s="92">
        <f t="shared" si="157"/>
        <v>7.8311772202093834</v>
      </c>
      <c r="P189" s="92">
        <f t="shared" si="158"/>
        <v>7.2875842771697528</v>
      </c>
      <c r="Q189" s="92">
        <f t="shared" si="159"/>
        <v>7.5593807486895681</v>
      </c>
      <c r="R189" s="92">
        <f t="shared" si="160"/>
        <v>2.113123771895594</v>
      </c>
      <c r="S189" s="92">
        <f t="shared" si="161"/>
        <v>0.29562282169945814</v>
      </c>
      <c r="T189" s="92">
        <f t="shared" si="162"/>
        <v>19.867914256952275</v>
      </c>
      <c r="U189" s="92">
        <f t="shared" si="163"/>
        <v>3.0942382030017943</v>
      </c>
      <c r="V189" s="92">
        <f t="shared" si="164"/>
        <v>2.4228681051746221</v>
      </c>
      <c r="W189" s="92">
        <f t="shared" si="165"/>
        <v>1.6667378772267953</v>
      </c>
      <c r="X189" s="8">
        <f t="shared" si="166"/>
        <v>1.8564636019133065</v>
      </c>
      <c r="Y189" s="8">
        <f t="shared" si="167"/>
        <v>0.16950413223140495</v>
      </c>
      <c r="Z189" s="8">
        <f t="shared" si="168"/>
        <v>0.12947658402203857</v>
      </c>
      <c r="AA189" s="93">
        <f t="shared" si="169"/>
        <v>0.31180548644972966</v>
      </c>
      <c r="AB189" s="93">
        <f t="shared" si="170"/>
        <v>1.8227197752290376</v>
      </c>
      <c r="AC189" s="93">
        <f t="shared" si="171"/>
        <v>0.69501526132818836</v>
      </c>
      <c r="AD189" s="92">
        <f t="shared" si="172"/>
        <v>15.417093611979199</v>
      </c>
      <c r="AE189" s="92"/>
      <c r="AF189" s="91">
        <f t="shared" si="173"/>
        <v>0.62224026026271062</v>
      </c>
      <c r="AG189" s="91">
        <f t="shared" si="174"/>
        <v>6.4031836876130621E-2</v>
      </c>
      <c r="AH189" s="91"/>
      <c r="AI189" s="90">
        <f t="shared" si="175"/>
        <v>2.8971728199763389E-2</v>
      </c>
      <c r="AJ189" s="90">
        <f t="shared" si="176"/>
        <v>0.21276595744680851</v>
      </c>
      <c r="AK189" s="90">
        <f t="shared" si="177"/>
        <v>-4.1990682310589153E-3</v>
      </c>
    </row>
    <row r="190" spans="1:37">
      <c r="A190" t="s">
        <v>1080</v>
      </c>
      <c r="B190" t="s">
        <v>1080</v>
      </c>
      <c r="C190" t="s">
        <v>1062</v>
      </c>
      <c r="D190" t="s">
        <v>996</v>
      </c>
      <c r="E190" s="57">
        <v>7</v>
      </c>
      <c r="F190" s="57">
        <v>3</v>
      </c>
      <c r="G190" s="57">
        <v>3.35</v>
      </c>
      <c r="H190" s="96">
        <v>31</v>
      </c>
      <c r="I190" s="95">
        <v>3.8</v>
      </c>
      <c r="J190" s="95">
        <v>4.9000000000000004</v>
      </c>
      <c r="K190" s="92">
        <f t="shared" si="153"/>
        <v>13.6</v>
      </c>
      <c r="L190" s="92">
        <f t="shared" si="154"/>
        <v>5.3037433155080205</v>
      </c>
      <c r="M190" s="92">
        <f t="shared" si="155"/>
        <v>7.5</v>
      </c>
      <c r="N190" s="92">
        <f t="shared" si="156"/>
        <v>6.4018716577540102</v>
      </c>
      <c r="O190" s="92">
        <f t="shared" si="157"/>
        <v>6.5569651295279856</v>
      </c>
      <c r="P190" s="92">
        <f t="shared" si="158"/>
        <v>6.0242310560690635</v>
      </c>
      <c r="Q190" s="92">
        <f t="shared" si="159"/>
        <v>6.2905980927985246</v>
      </c>
      <c r="R190" s="92">
        <f t="shared" si="160"/>
        <v>2.1243787328237898</v>
      </c>
      <c r="S190" s="92">
        <f t="shared" si="161"/>
        <v>0.29655875605404025</v>
      </c>
      <c r="T190" s="92">
        <f t="shared" si="162"/>
        <v>16.600805505990316</v>
      </c>
      <c r="U190" s="92">
        <f t="shared" si="163"/>
        <v>2.5705466563629824</v>
      </c>
      <c r="V190" s="92">
        <f t="shared" si="164"/>
        <v>2.0148700932162633</v>
      </c>
      <c r="W190" s="92">
        <f t="shared" si="165"/>
        <v>1.3823915744105204</v>
      </c>
      <c r="X190" s="8">
        <f t="shared" si="166"/>
        <v>1.8594924216455209</v>
      </c>
      <c r="Y190" s="8">
        <f t="shared" si="167"/>
        <v>0.15806451612903227</v>
      </c>
      <c r="Z190" s="8">
        <f t="shared" si="168"/>
        <v>0.12258064516129032</v>
      </c>
      <c r="AA190" s="93">
        <f t="shared" si="169"/>
        <v>0.29118773946360149</v>
      </c>
      <c r="AB190" s="93">
        <f t="shared" si="170"/>
        <v>2.0704779189352713</v>
      </c>
      <c r="AC190" s="93">
        <f t="shared" si="171"/>
        <v>0.77477555876731097</v>
      </c>
      <c r="AD190" s="92">
        <f t="shared" si="172"/>
        <v>17.153238942488418</v>
      </c>
      <c r="AE190" s="92"/>
      <c r="AF190" s="91">
        <f t="shared" si="173"/>
        <v>0.63767224409448819</v>
      </c>
      <c r="AG190" s="91">
        <f t="shared" si="174"/>
        <v>5.7271161417322844E-2</v>
      </c>
      <c r="AH190" s="91"/>
      <c r="AI190" s="90">
        <f t="shared" si="175"/>
        <v>3.3712718803996698E-2</v>
      </c>
      <c r="AJ190" s="90">
        <f t="shared" si="176"/>
        <v>0.26315789473684209</v>
      </c>
      <c r="AK190" s="90">
        <f t="shared" si="177"/>
        <v>-4.6014574412140347E-3</v>
      </c>
    </row>
    <row r="191" spans="1:37">
      <c r="A191" t="s">
        <v>1079</v>
      </c>
      <c r="B191" t="s">
        <v>1079</v>
      </c>
      <c r="C191" t="s">
        <v>1062</v>
      </c>
      <c r="D191" t="s">
        <v>996</v>
      </c>
      <c r="E191" s="57">
        <v>7</v>
      </c>
      <c r="F191" s="57">
        <v>3</v>
      </c>
      <c r="G191" s="57">
        <v>3.55</v>
      </c>
      <c r="H191" s="95">
        <v>25.7</v>
      </c>
      <c r="I191" s="95">
        <v>2.8</v>
      </c>
      <c r="J191" s="95">
        <v>3.7</v>
      </c>
      <c r="K191" s="92">
        <f t="shared" si="153"/>
        <v>11.033333333333333</v>
      </c>
      <c r="L191" s="92">
        <f t="shared" si="154"/>
        <v>3.9896373056994818</v>
      </c>
      <c r="M191" s="92">
        <f t="shared" si="155"/>
        <v>6.08</v>
      </c>
      <c r="N191" s="92">
        <f t="shared" si="156"/>
        <v>5.0348186528497409</v>
      </c>
      <c r="O191" s="92">
        <f t="shared" si="157"/>
        <v>5.1891608855159488</v>
      </c>
      <c r="P191" s="92">
        <f t="shared" si="158"/>
        <v>4.6306575859238883</v>
      </c>
      <c r="Q191" s="92">
        <f t="shared" si="159"/>
        <v>4.909909235719919</v>
      </c>
      <c r="R191" s="92">
        <f t="shared" si="160"/>
        <v>2.1914063035991163</v>
      </c>
      <c r="S191" s="92">
        <f t="shared" si="161"/>
        <v>0.30195977728321394</v>
      </c>
      <c r="T191" s="92">
        <f t="shared" si="162"/>
        <v>13.110262743851239</v>
      </c>
      <c r="U191" s="92">
        <f t="shared" si="163"/>
        <v>2.235842776506908</v>
      </c>
      <c r="V191" s="92">
        <f t="shared" si="164"/>
        <v>1.7629467435680741</v>
      </c>
      <c r="W191" s="92">
        <f t="shared" si="165"/>
        <v>1.1909067030840961</v>
      </c>
      <c r="X191" s="8">
        <f t="shared" si="166"/>
        <v>1.877428996508909</v>
      </c>
      <c r="Y191" s="8">
        <f t="shared" si="167"/>
        <v>0.14396887159533076</v>
      </c>
      <c r="Z191" s="8">
        <f t="shared" si="168"/>
        <v>0.10894941634241245</v>
      </c>
      <c r="AA191" s="93">
        <f t="shared" si="169"/>
        <v>0.25454545454545452</v>
      </c>
      <c r="AB191" s="93">
        <f t="shared" si="170"/>
        <v>2.6197402597402597</v>
      </c>
      <c r="AC191" s="93">
        <f t="shared" si="171"/>
        <v>0.9420652106165035</v>
      </c>
      <c r="AD191" s="92">
        <f t="shared" si="172"/>
        <v>20.759066397727739</v>
      </c>
      <c r="AE191" s="92"/>
      <c r="AF191" s="91">
        <f t="shared" si="173"/>
        <v>0.66995367609961942</v>
      </c>
      <c r="AG191" s="91">
        <f t="shared" si="174"/>
        <v>4.7516396826124845E-2</v>
      </c>
      <c r="AH191" s="91"/>
      <c r="AI191" s="90">
        <f t="shared" si="175"/>
        <v>4.0373523757209553E-2</v>
      </c>
      <c r="AJ191" s="90">
        <f t="shared" si="176"/>
        <v>0.35714285714285715</v>
      </c>
      <c r="AK191" s="90">
        <f t="shared" si="177"/>
        <v>-5.0810216973358963E-3</v>
      </c>
    </row>
    <row r="192" spans="1:37">
      <c r="A192" t="s">
        <v>1078</v>
      </c>
      <c r="B192" t="s">
        <v>1078</v>
      </c>
      <c r="C192" t="s">
        <v>1062</v>
      </c>
      <c r="D192" t="s">
        <v>996</v>
      </c>
      <c r="E192" s="57">
        <v>7</v>
      </c>
      <c r="F192" s="57">
        <v>3</v>
      </c>
      <c r="G192" s="57">
        <v>4.1150000000000002</v>
      </c>
      <c r="H192" s="95">
        <v>45.3</v>
      </c>
      <c r="I192" s="95">
        <v>7.7</v>
      </c>
      <c r="J192" s="95">
        <v>15.4</v>
      </c>
      <c r="K192" s="92">
        <f t="shared" si="153"/>
        <v>25.366666666666664</v>
      </c>
      <c r="L192" s="92">
        <f t="shared" si="154"/>
        <v>9.5531120331950223</v>
      </c>
      <c r="M192" s="92">
        <f t="shared" si="155"/>
        <v>10.6</v>
      </c>
      <c r="N192" s="92">
        <f t="shared" si="156"/>
        <v>10.076556016597511</v>
      </c>
      <c r="O192" s="92">
        <f t="shared" si="157"/>
        <v>10.145157518007455</v>
      </c>
      <c r="P192" s="92">
        <f t="shared" si="158"/>
        <v>10.004279624531339</v>
      </c>
      <c r="Q192" s="92">
        <f t="shared" si="159"/>
        <v>10.074718571269397</v>
      </c>
      <c r="R192" s="92">
        <f t="shared" si="160"/>
        <v>2.5173944971758386</v>
      </c>
      <c r="S192" s="92">
        <f t="shared" si="161"/>
        <v>0.32460619542529451</v>
      </c>
      <c r="T192" s="92">
        <f t="shared" si="162"/>
        <v>26.694937056270174</v>
      </c>
      <c r="U192" s="92">
        <f t="shared" si="163"/>
        <v>3.0707365187573181</v>
      </c>
      <c r="V192" s="92">
        <f t="shared" si="164"/>
        <v>2.4828288390759896</v>
      </c>
      <c r="W192" s="92">
        <f t="shared" si="165"/>
        <v>1.5648443349457442</v>
      </c>
      <c r="X192" s="8">
        <f t="shared" si="166"/>
        <v>1.9623271466575525</v>
      </c>
      <c r="Y192" s="8">
        <f t="shared" si="167"/>
        <v>0.33995584988962474</v>
      </c>
      <c r="Z192" s="8">
        <f t="shared" si="168"/>
        <v>0.16997792494481237</v>
      </c>
      <c r="AA192" s="93">
        <f t="shared" si="169"/>
        <v>0.51505016722408026</v>
      </c>
      <c r="AB192" s="93">
        <f t="shared" si="170"/>
        <v>0.54793033053902551</v>
      </c>
      <c r="AC192" s="93">
        <f t="shared" si="171"/>
        <v>0.2325220731317445</v>
      </c>
      <c r="AD192" s="92">
        <f t="shared" si="172"/>
        <v>5.194671498280786</v>
      </c>
      <c r="AE192" s="92"/>
      <c r="AF192" s="91">
        <f t="shared" si="173"/>
        <v>0.53069784494502203</v>
      </c>
      <c r="AG192" s="91">
        <f t="shared" si="174"/>
        <v>0.1595420129767475</v>
      </c>
      <c r="AH192" s="91"/>
      <c r="AI192" s="90">
        <f t="shared" si="175"/>
        <v>2.6676745524942976E-2</v>
      </c>
      <c r="AJ192" s="90">
        <f t="shared" si="176"/>
        <v>0.12987012987012986</v>
      </c>
      <c r="AK192" s="90">
        <f t="shared" si="177"/>
        <v>-6.7680705285687297E-3</v>
      </c>
    </row>
    <row r="193" spans="1:37">
      <c r="A193" t="s">
        <v>1077</v>
      </c>
      <c r="B193" t="s">
        <v>1076</v>
      </c>
      <c r="C193" t="s">
        <v>1062</v>
      </c>
      <c r="D193" t="s">
        <v>996</v>
      </c>
      <c r="E193" s="57">
        <v>7</v>
      </c>
      <c r="F193" s="57" t="s">
        <v>1061</v>
      </c>
      <c r="G193" s="57">
        <v>5.56</v>
      </c>
      <c r="H193" s="95">
        <v>59.6</v>
      </c>
      <c r="I193" s="95">
        <v>6.22</v>
      </c>
      <c r="J193" s="95">
        <v>36.1</v>
      </c>
      <c r="K193" s="92">
        <f t="shared" si="153"/>
        <v>43.933333333333337</v>
      </c>
      <c r="L193" s="92">
        <f t="shared" si="154"/>
        <v>7.6625078632837083</v>
      </c>
      <c r="M193" s="92">
        <f t="shared" si="155"/>
        <v>8.4319999999999986</v>
      </c>
      <c r="N193" s="92">
        <f t="shared" si="156"/>
        <v>8.047253931641853</v>
      </c>
      <c r="O193" s="92">
        <f t="shared" si="157"/>
        <v>8.1229807950545059</v>
      </c>
      <c r="P193" s="92">
        <f t="shared" si="158"/>
        <v>8.0179095344790632</v>
      </c>
      <c r="Q193" s="92">
        <f t="shared" si="159"/>
        <v>8.0704451647667845</v>
      </c>
      <c r="R193" s="92">
        <f t="shared" si="160"/>
        <v>5.4594192884341819</v>
      </c>
      <c r="S193" s="92">
        <f t="shared" si="161"/>
        <v>0.41368524902631915</v>
      </c>
      <c r="T193" s="92">
        <f t="shared" si="162"/>
        <v>22.752568356662277</v>
      </c>
      <c r="U193" s="92">
        <f t="shared" si="163"/>
        <v>3.1355184201314557</v>
      </c>
      <c r="V193" s="92">
        <f t="shared" si="164"/>
        <v>2.8109924683418028</v>
      </c>
      <c r="W193" s="92">
        <f t="shared" si="165"/>
        <v>1.2030576999595606</v>
      </c>
      <c r="X193" s="8">
        <f t="shared" si="166"/>
        <v>2.6062909702808539</v>
      </c>
      <c r="Y193" s="8">
        <f t="shared" si="167"/>
        <v>0.60570469798657722</v>
      </c>
      <c r="Z193" s="8">
        <f t="shared" si="168"/>
        <v>0.10436241610738255</v>
      </c>
      <c r="AA193" s="93">
        <f t="shared" si="169"/>
        <v>0.52936170212765954</v>
      </c>
      <c r="AB193" s="93">
        <f t="shared" si="170"/>
        <v>0.50211507149209744</v>
      </c>
      <c r="AC193" s="93">
        <f t="shared" si="171"/>
        <v>0.21397977453436282</v>
      </c>
      <c r="AD193" s="92">
        <f t="shared" si="172"/>
        <v>4.7810852202056315</v>
      </c>
      <c r="AE193" s="92"/>
      <c r="AF193" s="91">
        <f t="shared" si="173"/>
        <v>0.61371330681757796</v>
      </c>
      <c r="AG193" s="91">
        <f t="shared" si="174"/>
        <v>0.23397566483029256</v>
      </c>
      <c r="AH193" s="91"/>
      <c r="AI193" s="90">
        <f t="shared" si="175"/>
        <v>3.0897878797662478E-2</v>
      </c>
      <c r="AJ193" s="90">
        <f t="shared" si="176"/>
        <v>0.16077170418006431</v>
      </c>
      <c r="AK193" s="90">
        <f t="shared" si="177"/>
        <v>-1.1655312691699221E-2</v>
      </c>
    </row>
    <row r="194" spans="1:37">
      <c r="A194" t="s">
        <v>1075</v>
      </c>
      <c r="B194" t="s">
        <v>1074</v>
      </c>
      <c r="C194" t="s">
        <v>1062</v>
      </c>
      <c r="D194" t="s">
        <v>996</v>
      </c>
      <c r="E194" s="57">
        <v>7</v>
      </c>
      <c r="F194" s="57" t="s">
        <v>1061</v>
      </c>
      <c r="G194" s="57">
        <v>6.48</v>
      </c>
      <c r="H194" s="95">
        <v>56.3</v>
      </c>
      <c r="I194" s="95">
        <v>7.26</v>
      </c>
      <c r="J194" s="95">
        <v>32.799999999999997</v>
      </c>
      <c r="K194" s="92">
        <f t="shared" si="153"/>
        <v>40.633333333333333</v>
      </c>
      <c r="L194" s="92">
        <f t="shared" si="154"/>
        <v>8.5699216395418922</v>
      </c>
      <c r="M194" s="92">
        <f t="shared" si="155"/>
        <v>9.0560000000000009</v>
      </c>
      <c r="N194" s="92">
        <f t="shared" si="156"/>
        <v>8.8129608197709466</v>
      </c>
      <c r="O194" s="92">
        <f t="shared" si="157"/>
        <v>8.8543241883017458</v>
      </c>
      <c r="P194" s="92">
        <f t="shared" si="158"/>
        <v>8.804669493794739</v>
      </c>
      <c r="Q194" s="92">
        <f t="shared" si="159"/>
        <v>8.8294968410482433</v>
      </c>
      <c r="R194" s="92">
        <f t="shared" si="160"/>
        <v>4.6106336070593601</v>
      </c>
      <c r="S194" s="92">
        <f t="shared" si="161"/>
        <v>0.39886663765589708</v>
      </c>
      <c r="T194" s="92">
        <f t="shared" si="162"/>
        <v>24.656313739492283</v>
      </c>
      <c r="U194" s="92">
        <f t="shared" si="163"/>
        <v>2.8432274892291725</v>
      </c>
      <c r="V194" s="92">
        <f t="shared" si="164"/>
        <v>2.5041118448837789</v>
      </c>
      <c r="W194" s="92">
        <f t="shared" si="165"/>
        <v>1.1662010194927317</v>
      </c>
      <c r="X194" s="8">
        <f t="shared" si="166"/>
        <v>2.4380252132397429</v>
      </c>
      <c r="Y194" s="8">
        <f t="shared" si="167"/>
        <v>0.58259325044404975</v>
      </c>
      <c r="Z194" s="8">
        <f t="shared" si="168"/>
        <v>0.12895204262877444</v>
      </c>
      <c r="AA194" s="93">
        <f t="shared" si="169"/>
        <v>0.61787234042553185</v>
      </c>
      <c r="AB194" s="93">
        <f t="shared" si="170"/>
        <v>0.28359556884121684</v>
      </c>
      <c r="AC194" s="93">
        <f t="shared" si="171"/>
        <v>0.12336148324972414</v>
      </c>
      <c r="AD194" s="92">
        <f t="shared" si="172"/>
        <v>2.7577471998266647</v>
      </c>
      <c r="AE194" s="92"/>
      <c r="AF194" s="91">
        <f t="shared" si="173"/>
        <v>0.55597608555492128</v>
      </c>
      <c r="AG194" s="91">
        <f t="shared" si="174"/>
        <v>0.25868533559144913</v>
      </c>
      <c r="AH194" s="91"/>
      <c r="AI194" s="90">
        <f t="shared" si="175"/>
        <v>3.1103276141937062E-2</v>
      </c>
      <c r="AJ194" s="90">
        <f t="shared" si="176"/>
        <v>0.13774104683195593</v>
      </c>
      <c r="AK194" s="90">
        <f t="shared" si="177"/>
        <v>-1.1449915347424643E-2</v>
      </c>
    </row>
    <row r="195" spans="1:37">
      <c r="H195" s="95"/>
      <c r="I195" s="95"/>
      <c r="J195" s="95"/>
      <c r="U195" s="92"/>
      <c r="V195" s="92"/>
      <c r="W195" s="92"/>
      <c r="X195" s="8"/>
      <c r="Y195" s="8"/>
      <c r="Z195" s="8"/>
      <c r="AA195" s="93"/>
      <c r="AB195" s="93"/>
      <c r="AC195" s="93"/>
      <c r="AD195" s="92"/>
      <c r="AE195" s="92"/>
      <c r="AF195" s="91"/>
      <c r="AG195" s="91"/>
      <c r="AH195" s="91"/>
      <c r="AI195" s="90"/>
      <c r="AJ195" s="90"/>
      <c r="AK195" s="90"/>
    </row>
    <row r="196" spans="1:37">
      <c r="A196" t="s">
        <v>1073</v>
      </c>
      <c r="B196" t="s">
        <v>1073</v>
      </c>
      <c r="C196" t="s">
        <v>1062</v>
      </c>
      <c r="D196" t="s">
        <v>1068</v>
      </c>
      <c r="E196" s="57">
        <v>7</v>
      </c>
      <c r="F196" s="57">
        <v>3</v>
      </c>
      <c r="G196" s="57">
        <v>3.988</v>
      </c>
      <c r="H196" s="95">
        <v>36.6</v>
      </c>
      <c r="I196" s="95">
        <v>7.9</v>
      </c>
      <c r="J196" s="95">
        <v>8.6999999999999993</v>
      </c>
      <c r="K196" s="92">
        <f>(H196+2*J196)/3</f>
        <v>18</v>
      </c>
      <c r="L196" s="92">
        <f>(5*(H196-J196)*I196)/(4*I196 + 3*(H196-J196))</f>
        <v>9.5581092801387673</v>
      </c>
      <c r="M196" s="92">
        <f>(H196-J196+3*I196)/5</f>
        <v>10.320000000000002</v>
      </c>
      <c r="N196" s="92">
        <f>0.5*(M196+L196)</f>
        <v>9.9390546400693847</v>
      </c>
      <c r="O196" s="92">
        <f>0.5*(H196-J196)+3/(5/(I196-0.5*(H196-J196))-4*(-3*(K196+(H196-J196))/(5*0.5*(H196-J196)*(3*K196+2*(H196-J196)))))</f>
        <v>9.9739973587266295</v>
      </c>
      <c r="P196" s="92">
        <f>I196+2/(5/(0.5*(H196-J196)-I196)-6*(-(3*(K196+2*I196))/(5*I196*(3*K196+4*I196))))</f>
        <v>9.8873161566477972</v>
      </c>
      <c r="Q196" s="92">
        <f>(O196+P196)/2</f>
        <v>9.9306567576872133</v>
      </c>
      <c r="R196" s="92">
        <f>K196/N196</f>
        <v>1.8110374328190977</v>
      </c>
      <c r="S196" s="92">
        <f>(3*K196-2*N196)/(2*(3*K196+N196))</f>
        <v>0.26683136708810273</v>
      </c>
      <c r="T196" s="92">
        <f>9*N196*K196/(N196+3*K196)</f>
        <v>25.1822123544849</v>
      </c>
      <c r="U196" s="92">
        <f>SQRT((K196+4/3*N196)/G196)</f>
        <v>2.7993798950386672</v>
      </c>
      <c r="V196" s="92">
        <f>SQRT(K196/G196)</f>
        <v>2.1245095014768931</v>
      </c>
      <c r="W196" s="92">
        <f>SQRT(N196/G196)</f>
        <v>1.5786831161321857</v>
      </c>
      <c r="X196" s="8">
        <f>SQRT((K196/N196) +4/3)</f>
        <v>1.7732373688123175</v>
      </c>
      <c r="Y196" s="8">
        <f>J196/H196</f>
        <v>0.23770491803278684</v>
      </c>
      <c r="Z196" s="8">
        <f>I196/H196</f>
        <v>0.21584699453551912</v>
      </c>
      <c r="AA196" s="93">
        <f>2*I196/(H196-J196)</f>
        <v>0.56630824372759858</v>
      </c>
      <c r="AB196" s="93">
        <f>5*M196/L196 +1 -6</f>
        <v>0.39855723424527145</v>
      </c>
      <c r="AC196" s="93">
        <f>SQRT(5)*LN(M196/L196)</f>
        <v>0.17149260971884148</v>
      </c>
      <c r="AD196" s="92">
        <f>100*(M196-L196)/(M196+L196)</f>
        <v>3.832812814961625</v>
      </c>
      <c r="AE196" s="92"/>
      <c r="AF196" s="91">
        <f>-(2*H196*I196-(H196-J196)*(H196+2*J196))/(2*H196*I196+(H196-J196)*(H196+2*J196))</f>
        <v>0.44526303672153794</v>
      </c>
      <c r="AG196" s="91">
        <f>(4*J196*I196)/(2*H196*I196+(H196-J196)*(H196+2*J196))</f>
        <v>0.13186370438586392</v>
      </c>
      <c r="AH196" s="91"/>
      <c r="AI196" s="90">
        <f>(H196+J196)/((H196-J196)*(H196+2*J196))</f>
        <v>3.0067702110712857E-2</v>
      </c>
      <c r="AJ196" s="90">
        <f>1/I196</f>
        <v>0.12658227848101264</v>
      </c>
      <c r="AK196" s="90">
        <f>-J196/((H196-J196)*(H196+2*J196))</f>
        <v>-5.7745917960971716E-3</v>
      </c>
    </row>
    <row r="197" spans="1:37">
      <c r="A197" t="s">
        <v>1072</v>
      </c>
      <c r="B197" t="s">
        <v>1072</v>
      </c>
      <c r="C197" t="s">
        <v>1062</v>
      </c>
      <c r="D197" t="s">
        <v>1068</v>
      </c>
      <c r="E197" s="57">
        <v>7</v>
      </c>
      <c r="F197" s="57">
        <v>3</v>
      </c>
      <c r="G197" s="57">
        <v>4.4400000000000004</v>
      </c>
      <c r="H197" s="95">
        <v>30.7</v>
      </c>
      <c r="I197" s="95">
        <v>7.5</v>
      </c>
      <c r="J197" s="95">
        <v>8.1999999999999993</v>
      </c>
      <c r="K197" s="92">
        <f>(H197+2*J197)/3</f>
        <v>15.699999999999998</v>
      </c>
      <c r="L197" s="92">
        <f>(5*(H197-J197)*I197)/(4*I197 + 3*(H197-J197))</f>
        <v>8.6538461538461533</v>
      </c>
      <c r="M197" s="92">
        <f>(H197-J197+3*I197)/5</f>
        <v>9</v>
      </c>
      <c r="N197" s="92">
        <f>0.5*(M197+L197)</f>
        <v>8.8269230769230766</v>
      </c>
      <c r="O197" s="92">
        <f>0.5*(H197-J197)+3/(5/(I197-0.5*(H197-J197))-4*(-3*(K197+(H197-J197))/(5*0.5*(H197-J197)*(3*K197+2*(H197-J197)))))</f>
        <v>8.8400707075405869</v>
      </c>
      <c r="P197" s="92">
        <f>I197+2/(5/(0.5*(H197-J197)-I197)-6*(-(3*(K197+2*I197))/(5*I197*(3*K197+4*I197))))</f>
        <v>8.8119384699155994</v>
      </c>
      <c r="Q197" s="92">
        <f>(O197+P197)/2</f>
        <v>8.8260045887280931</v>
      </c>
      <c r="R197" s="92">
        <f>K197/N197</f>
        <v>1.7786492374727667</v>
      </c>
      <c r="S197" s="92">
        <f>(3*K197-2*N197)/(2*(3*K197+N197))</f>
        <v>0.26325562203424796</v>
      </c>
      <c r="T197" s="92">
        <f>9*N197*K197/(N197+3*K197)</f>
        <v>22.301320404373836</v>
      </c>
      <c r="U197" s="92">
        <f>SQRT((K197+4/3*N197)/G197)</f>
        <v>2.4873205838338741</v>
      </c>
      <c r="V197" s="92">
        <f>SQRT(K197/G197)</f>
        <v>1.8804350656260469</v>
      </c>
      <c r="W197" s="92">
        <f>SQRT(N197/G197)</f>
        <v>1.409980758040952</v>
      </c>
      <c r="X197" s="8">
        <f>SQRT((K197/N197) +4/3)</f>
        <v>1.7640812256826781</v>
      </c>
      <c r="Y197" s="8">
        <f>J197/H197</f>
        <v>0.26710097719869708</v>
      </c>
      <c r="Z197" s="8">
        <f>I197/H197</f>
        <v>0.24429967426710097</v>
      </c>
      <c r="AA197" s="93">
        <f>2*I197/(H197-J197)</f>
        <v>0.66666666666666663</v>
      </c>
      <c r="AB197" s="93">
        <f>5*M197/L197 +1 -6</f>
        <v>0.20000000000000018</v>
      </c>
      <c r="AC197" s="93">
        <f>SQRT(5)*LN(M197/L197)</f>
        <v>8.7700180736757186E-2</v>
      </c>
      <c r="AD197" s="92">
        <f>100*(M197-L197)/(M197+L197)</f>
        <v>1.9607843137254934</v>
      </c>
      <c r="AE197" s="92"/>
      <c r="AF197" s="91">
        <f>-(2*H197*I197-(H197-J197)*(H197+2*J197))/(2*H197*I197+(H197-J197)*(H197+2*J197))</f>
        <v>0.39417858904785386</v>
      </c>
      <c r="AG197" s="91">
        <f>(4*J197*I197)/(2*H197*I197+(H197-J197)*(H197+2*J197))</f>
        <v>0.16181549087321165</v>
      </c>
      <c r="AH197" s="91"/>
      <c r="AI197" s="90">
        <f>(H197+J197)/((H197-J197)*(H197+2*J197))</f>
        <v>3.6706770464732252E-2</v>
      </c>
      <c r="AJ197" s="90">
        <f>1/I197</f>
        <v>0.13333333333333333</v>
      </c>
      <c r="AK197" s="90">
        <f>-J197/((H197-J197)*(H197+2*J197))</f>
        <v>-7.7376739797121973E-3</v>
      </c>
    </row>
    <row r="198" spans="1:37">
      <c r="A198" t="s">
        <v>1071</v>
      </c>
      <c r="B198" t="s">
        <v>1071</v>
      </c>
      <c r="C198" t="s">
        <v>1062</v>
      </c>
      <c r="D198" t="s">
        <v>1068</v>
      </c>
      <c r="E198" s="57">
        <v>7</v>
      </c>
      <c r="F198" s="57">
        <v>3</v>
      </c>
      <c r="G198" s="59">
        <v>4.5</v>
      </c>
      <c r="H198" s="95">
        <v>24.5</v>
      </c>
      <c r="I198" s="95">
        <v>6.3</v>
      </c>
      <c r="J198" s="95">
        <v>6.6</v>
      </c>
      <c r="K198" s="92">
        <f>(H198+2*J198)/3</f>
        <v>12.566666666666668</v>
      </c>
      <c r="L198" s="92">
        <f>(5*(H198-J198)*I198)/(4*I198 + 3*(H198-J198))</f>
        <v>7.1463878326996211</v>
      </c>
      <c r="M198" s="92">
        <f>(H198-J198+3*I198)/5</f>
        <v>7.3599999999999994</v>
      </c>
      <c r="N198" s="92">
        <f>0.5*(M198+L198)</f>
        <v>7.2531939163498098</v>
      </c>
      <c r="O198" s="92">
        <f>0.5*(H198-J198)+3/(5/(I198-0.5*(H198-J198))-4*(-3*(K198+(H198-J198))/(5*0.5*(H198-J198)*(3*K198+2*(H198-J198)))))</f>
        <v>7.260466692533365</v>
      </c>
      <c r="P198" s="92">
        <f>I198+2/(5/(0.5*(H198-J198)-I198)-6*(-(3*(K198+2*I198))/(5*I198*(3*K198+4*I198))))</f>
        <v>7.2454367437337943</v>
      </c>
      <c r="Q198" s="92">
        <f>(O198+P198)/2</f>
        <v>7.2529517181335796</v>
      </c>
      <c r="R198" s="92">
        <f>K198/N198</f>
        <v>1.7325700665936254</v>
      </c>
      <c r="S198" s="92">
        <f>(3*K198-2*N198)/(2*(3*K198+N198))</f>
        <v>0.25797513087123153</v>
      </c>
      <c r="T198" s="92">
        <f>9*N198*K198/(N198+3*K198)</f>
        <v>18.248675132309149</v>
      </c>
      <c r="U198" s="92">
        <f>SQRT((K198+4/3*N198)/G198)</f>
        <v>2.2229905727028778</v>
      </c>
      <c r="V198" s="92">
        <f>SQRT(K198/G198)</f>
        <v>1.6711052009351752</v>
      </c>
      <c r="W198" s="92">
        <f>SQRT(N198/G198)</f>
        <v>1.2695750747001762</v>
      </c>
      <c r="X198" s="8">
        <f>SQRT((K198/N198) +4/3)</f>
        <v>1.7509721299686523</v>
      </c>
      <c r="Y198" s="8">
        <f>J198/H198</f>
        <v>0.26938775510204083</v>
      </c>
      <c r="Z198" s="8">
        <f>I198/H198</f>
        <v>0.25714285714285712</v>
      </c>
      <c r="AA198" s="93">
        <f>2*I198/(H198-J198)</f>
        <v>0.7039106145251397</v>
      </c>
      <c r="AB198" s="93">
        <f>5*M198/L198 +1 -6</f>
        <v>0.14945464219207061</v>
      </c>
      <c r="AC198" s="93">
        <f>SQRT(5)*LN(M198/L198)</f>
        <v>6.5858690815045154E-2</v>
      </c>
      <c r="AD198" s="92">
        <f>100*(M198-L198)/(M198+L198)</f>
        <v>1.4725386482420098</v>
      </c>
      <c r="AE198" s="92"/>
      <c r="AF198" s="91">
        <f>-(2*H198*I198-(H198-J198)*(H198+2*J198))/(2*H198*I198+(H198-J198)*(H198+2*J198))</f>
        <v>0.37226114099214064</v>
      </c>
      <c r="AG198" s="91">
        <f>(4*J198*I198)/(2*H198*I198+(H198-J198)*(H198+2*J198))</f>
        <v>0.16910516201844378</v>
      </c>
      <c r="AH198" s="91"/>
      <c r="AI198" s="90">
        <f>(H198+J198)/((H198-J198)*(H198+2*J198))</f>
        <v>4.6085680838137015E-2</v>
      </c>
      <c r="AJ198" s="90">
        <f>1/I198</f>
        <v>0.15873015873015872</v>
      </c>
      <c r="AK198" s="90">
        <f>-J198/((H198-J198)*(H198+2*J198))</f>
        <v>-9.780240949572484E-3</v>
      </c>
    </row>
    <row r="199" spans="1:37">
      <c r="A199" t="s">
        <v>1070</v>
      </c>
      <c r="B199" t="s">
        <v>1069</v>
      </c>
      <c r="C199" t="s">
        <v>1062</v>
      </c>
      <c r="D199" t="s">
        <v>1068</v>
      </c>
      <c r="E199" s="57">
        <v>7</v>
      </c>
      <c r="F199" s="57" t="s">
        <v>1061</v>
      </c>
      <c r="G199" s="57">
        <v>1.53</v>
      </c>
      <c r="H199" s="95">
        <v>38.1</v>
      </c>
      <c r="I199" s="95">
        <v>8.6300000000000008</v>
      </c>
      <c r="J199" s="95">
        <v>9.3699999999999992</v>
      </c>
      <c r="K199" s="92">
        <f>(H199+2*J199)/3</f>
        <v>18.946666666666669</v>
      </c>
      <c r="L199" s="92">
        <f>(5*(H199-J199)*I199)/(4*I199 + 3*(H199-J199))</f>
        <v>10.270064617678736</v>
      </c>
      <c r="M199" s="92">
        <f>(H199-J199+3*I199)/5</f>
        <v>10.924000000000001</v>
      </c>
      <c r="N199" s="92">
        <f>0.5*(M199+L199)</f>
        <v>10.597032308839369</v>
      </c>
      <c r="O199" s="92">
        <f>0.5*(H199-J199)+3/(5/(I199-0.5*(H199-J199))-4*(-3*(K199+(H199-J199))/(5*0.5*(H199-J199)*(3*K199+2*(H199-J199)))))</f>
        <v>10.62505305162982</v>
      </c>
      <c r="P199" s="92">
        <f>I199+2/(5/(0.5*(H199-J199)-I199)-6*(-(3*(K199+2*I199))/(5*I199*(3*K199+4*I199))))</f>
        <v>10.55834443698404</v>
      </c>
      <c r="Q199" s="92">
        <f>(O199+P199)/2</f>
        <v>10.59169874430693</v>
      </c>
      <c r="R199" s="92">
        <f>K199/N199</f>
        <v>1.7879219497011978</v>
      </c>
      <c r="S199" s="92">
        <f>(3*K199-2*N199)/(2*(3*K199+N199))</f>
        <v>0.2642905104355322</v>
      </c>
      <c r="T199" s="92">
        <f>9*N199*K199/(N199+3*K199)</f>
        <v>26.795454773688704</v>
      </c>
      <c r="U199" s="92">
        <f>SQRT((K199+4/3*N199)/G199)</f>
        <v>4.6495514632538564</v>
      </c>
      <c r="V199" s="92">
        <f>SQRT(K199/G199)</f>
        <v>3.5190115466981928</v>
      </c>
      <c r="W199" s="92">
        <f>SQRT(N199/G199)</f>
        <v>2.6317607998710959</v>
      </c>
      <c r="X199" s="8">
        <f>SQRT((K199/N199) +4/3)</f>
        <v>1.766707469570028</v>
      </c>
      <c r="Y199" s="8">
        <f>J199/H199</f>
        <v>0.2459317585301837</v>
      </c>
      <c r="Z199" s="8">
        <f>I199/H199</f>
        <v>0.22650918635170605</v>
      </c>
      <c r="AA199" s="93">
        <f>2*I199/(H199-J199)</f>
        <v>0.60076575008701705</v>
      </c>
      <c r="AB199" s="93">
        <f>5*M199/L199 +1 -6</f>
        <v>0.31836965329097833</v>
      </c>
      <c r="AC199" s="93">
        <f>SQRT(5)*LN(M199/L199)</f>
        <v>0.13802998930488658</v>
      </c>
      <c r="AD199" s="92">
        <f>100*(M199-L199)/(M199+L199)</f>
        <v>3.0854647002245801</v>
      </c>
      <c r="AE199" s="92"/>
      <c r="AF199" s="91">
        <f>-(2*H199*I199-(H199-J199)*(H199+2*J199))/(2*H199*I199+(H199-J199)*(H199+2*J199))</f>
        <v>0.42582686812369336</v>
      </c>
      <c r="AG199" s="91">
        <f>(4*J199*I199)/(2*H199*I199+(H199-J199)*(H199+2*J199))</f>
        <v>0.14120740802312315</v>
      </c>
      <c r="AH199" s="91"/>
      <c r="AI199" s="90">
        <f>(H199+J199)/((H199-J199)*(H199+2*J199))</f>
        <v>2.906896282283572E-2</v>
      </c>
      <c r="AJ199" s="90">
        <f>1/I199</f>
        <v>0.11587485515643105</v>
      </c>
      <c r="AK199" s="90">
        <f>-J199/((H199-J199)*(H199+2*J199))</f>
        <v>-5.7378593143031526E-3</v>
      </c>
    </row>
    <row r="200" spans="1:37">
      <c r="H200" s="95"/>
      <c r="I200" s="95"/>
      <c r="J200" s="95"/>
      <c r="U200" s="92"/>
      <c r="V200" s="92"/>
      <c r="W200" s="92"/>
      <c r="X200" s="8"/>
      <c r="Y200" s="8"/>
      <c r="Z200" s="8"/>
      <c r="AA200" s="93"/>
      <c r="AB200" s="93"/>
      <c r="AC200" s="93"/>
      <c r="AD200" s="92"/>
      <c r="AE200" s="92"/>
      <c r="AF200" s="91"/>
      <c r="AG200" s="91"/>
      <c r="AH200" s="91"/>
      <c r="AI200" s="90"/>
      <c r="AJ200" s="90"/>
      <c r="AK200" s="90"/>
    </row>
    <row r="201" spans="1:37">
      <c r="A201" t="s">
        <v>1067</v>
      </c>
      <c r="B201" t="s">
        <v>1066</v>
      </c>
      <c r="C201" t="s">
        <v>1062</v>
      </c>
      <c r="D201" t="s">
        <v>986</v>
      </c>
      <c r="E201" s="57">
        <v>7</v>
      </c>
      <c r="F201" s="57" t="s">
        <v>1061</v>
      </c>
      <c r="G201" s="57">
        <v>4.1449999999999996</v>
      </c>
      <c r="H201" s="95">
        <v>45.4</v>
      </c>
      <c r="I201" s="95">
        <v>13.6</v>
      </c>
      <c r="J201" s="95">
        <v>36.299999999999997</v>
      </c>
      <c r="K201" s="92">
        <f>(H201+2*J201)/3</f>
        <v>39.333333333333336</v>
      </c>
      <c r="L201" s="92">
        <f>(5*(H201-J201)*I201)/(4*I201 + 3*(H201-J201))</f>
        <v>7.5740514075887395</v>
      </c>
      <c r="M201" s="92">
        <f>(H201-J201+3*I201)/5</f>
        <v>9.98</v>
      </c>
      <c r="N201" s="92">
        <f>0.5*(M201+L201)</f>
        <v>8.7770257037943704</v>
      </c>
      <c r="O201" s="92">
        <f>0.5*(H201-J201)+3/(5/(I201-0.5*(H201-J201))-4*(-3*(K201+(H201-J201))/(5*0.5*(H201-J201)*(3*K201+2*(H201-J201)))))</f>
        <v>8.6037374576017189</v>
      </c>
      <c r="P201" s="92">
        <f>I201+2/(5/(0.5*(H201-J201)-I201)-6*(-(3*(K201+2*I201))/(5*I201*(3*K201+4*I201))))</f>
        <v>9.1588102571658929</v>
      </c>
      <c r="Q201" s="92">
        <f>(O201+P201)/2</f>
        <v>8.8812738573838068</v>
      </c>
      <c r="R201" s="92">
        <f>K201/N201</f>
        <v>4.48139662121865</v>
      </c>
      <c r="S201" s="92">
        <f>(3*K201-2*N201)/(2*(3*K201+N201))</f>
        <v>0.39615201585142157</v>
      </c>
      <c r="T201" s="92">
        <f>9*N201*K201/(N201+3*K201)</f>
        <v>24.508124259064505</v>
      </c>
      <c r="U201" s="92">
        <f>SQRT((K201+4/3*N201)/G201)</f>
        <v>3.5089420244133143</v>
      </c>
      <c r="V201" s="92">
        <f>SQRT(K201/G201)</f>
        <v>3.0804779810733538</v>
      </c>
      <c r="W201" s="92">
        <f>SQRT(N201/G201)</f>
        <v>1.4551622432265179</v>
      </c>
      <c r="X201" s="8">
        <f>SQRT((K201/N201) +4/3)</f>
        <v>2.411375116930583</v>
      </c>
      <c r="Y201" s="8">
        <f>J201/H201</f>
        <v>0.79955947136563876</v>
      </c>
      <c r="Z201" s="8">
        <f>I201/H201</f>
        <v>0.29955947136563876</v>
      </c>
      <c r="AA201" s="93">
        <f>2*I201/(H201-J201)</f>
        <v>2.9890109890109886</v>
      </c>
      <c r="AB201" s="93">
        <f>5*M201/L201 +1 -6</f>
        <v>1.5882837750484811</v>
      </c>
      <c r="AC201" s="93">
        <f>SQRT(5)*LN(M201/L201)</f>
        <v>0.6168304726559789</v>
      </c>
      <c r="AD201" s="92">
        <f>100*(M201-L201)/(M201+L201)</f>
        <v>13.70594477905626</v>
      </c>
      <c r="AE201" s="92"/>
      <c r="AF201" s="91">
        <f>-(2*H201*I201-(H201-J201)*(H201+2*J201))/(2*H201*I201+(H201-J201)*(H201+2*J201))</f>
        <v>-6.9771471143683692E-2</v>
      </c>
      <c r="AG201" s="91">
        <f>(4*J201*I201)/(2*H201*I201+(H201-J201)*(H201+2*J201))</f>
        <v>0.85534591194968534</v>
      </c>
      <c r="AH201" s="91"/>
      <c r="AI201" s="90">
        <f>(H201+J201)/((H201-J201)*(H201+2*J201))</f>
        <v>7.6084932017135384E-2</v>
      </c>
      <c r="AJ201" s="90">
        <f>1/I201</f>
        <v>7.3529411764705885E-2</v>
      </c>
      <c r="AK201" s="90">
        <f>-J201/((H201-J201)*(H201+2*J201))</f>
        <v>-3.3805177872974476E-2</v>
      </c>
    </row>
    <row r="202" spans="1:37">
      <c r="A202" t="s">
        <v>1065</v>
      </c>
      <c r="B202" t="s">
        <v>1065</v>
      </c>
      <c r="C202" t="s">
        <v>1062</v>
      </c>
      <c r="D202" t="s">
        <v>986</v>
      </c>
      <c r="E202" s="57">
        <v>7</v>
      </c>
      <c r="F202" s="57">
        <v>3</v>
      </c>
      <c r="G202" s="57">
        <v>4.71</v>
      </c>
      <c r="H202" s="95">
        <v>45.8</v>
      </c>
      <c r="I202" s="95">
        <v>13.9</v>
      </c>
      <c r="J202" s="95">
        <v>35.4</v>
      </c>
      <c r="K202" s="92">
        <f>(H202+2*J202)/3</f>
        <v>38.866666666666667</v>
      </c>
      <c r="L202" s="92">
        <f>(5*(H202-J202)*I202)/(4*I202 + 3*(H202-J202))</f>
        <v>8.3271889400921655</v>
      </c>
      <c r="M202" s="92">
        <f>(H202-J202+3*I202)/5</f>
        <v>10.42</v>
      </c>
      <c r="N202" s="92">
        <f>0.5*(M202+L202)</f>
        <v>9.3735944700460827</v>
      </c>
      <c r="O202" s="92">
        <f>0.5*(H202-J202)+3/(5/(I202-0.5*(H202-J202))-4*(-3*(K202+(H202-J202))/(5*0.5*(H202-J202)*(3*K202+2*(H202-J202)))))</f>
        <v>9.2529387831747609</v>
      </c>
      <c r="P202" s="92">
        <f>I202+2/(5/(0.5*(H202-J202)-I202)-6*(-(3*(K202+2*I202))/(5*I202*(3*K202+4*I202))))</f>
        <v>9.6845431633923411</v>
      </c>
      <c r="Q202" s="92">
        <f>(O202+P202)/2</f>
        <v>9.4687409732835519</v>
      </c>
      <c r="R202" s="92">
        <f>K202/N202</f>
        <v>4.146399419226805</v>
      </c>
      <c r="S202" s="92">
        <f>(3*K202-2*N202)/(2*(3*K202+N202))</f>
        <v>0.38838619899496157</v>
      </c>
      <c r="T202" s="92">
        <f>9*N202*K202/(N202+3*K202)</f>
        <v>26.028338394374948</v>
      </c>
      <c r="U202" s="92">
        <f>SQRT((K202+4/3*N202)/G202)</f>
        <v>3.3023440374309674</v>
      </c>
      <c r="V202" s="92">
        <f>SQRT(K202/G202)</f>
        <v>2.8726200956147427</v>
      </c>
      <c r="W202" s="92">
        <f>SQRT(N202/G202)</f>
        <v>1.410725857801457</v>
      </c>
      <c r="X202" s="8">
        <f>SQRT((K202/N202) +4/3)</f>
        <v>2.340882900223789</v>
      </c>
      <c r="Y202" s="8">
        <f>J202/H202</f>
        <v>0.77292576419213976</v>
      </c>
      <c r="Z202" s="8">
        <f>I202/H202</f>
        <v>0.30349344978165943</v>
      </c>
      <c r="AA202" s="93">
        <f>2*I202/(H202-J202)</f>
        <v>2.6730769230769234</v>
      </c>
      <c r="AB202" s="93">
        <f>5*M202/L202 +1 -6</f>
        <v>1.2566131710016606</v>
      </c>
      <c r="AC202" s="93">
        <f>SQRT(5)*LN(M202/L202)</f>
        <v>0.50132889860561725</v>
      </c>
      <c r="AD202" s="92">
        <f>100*(M202-L202)/(M202+L202)</f>
        <v>11.163332628670597</v>
      </c>
      <c r="AE202" s="92"/>
      <c r="AF202" s="91">
        <f>-(2*H202*I202-(H202-J202)*(H202+2*J202))/(2*H202*I202+(H202-J202)*(H202+2*J202))</f>
        <v>-2.4377685165816586E-2</v>
      </c>
      <c r="AG202" s="91">
        <f>(4*J202*I202)/(2*H202*I202+(H202-J202)*(H202+2*J202))</f>
        <v>0.79176790512816386</v>
      </c>
      <c r="AH202" s="91"/>
      <c r="AI202" s="90">
        <f>(H202+J202)/((H202-J202)*(H202+2*J202))</f>
        <v>6.6961340546246209E-2</v>
      </c>
      <c r="AJ202" s="90">
        <f>1/I202</f>
        <v>7.1942446043165464E-2</v>
      </c>
      <c r="AK202" s="90">
        <f>-J202/((H202-J202)*(H202+2*J202))</f>
        <v>-2.919250560759995E-2</v>
      </c>
    </row>
    <row r="203" spans="1:37">
      <c r="A203" t="s">
        <v>1064</v>
      </c>
      <c r="B203" t="s">
        <v>1063</v>
      </c>
      <c r="C203" t="s">
        <v>1062</v>
      </c>
      <c r="D203" t="s">
        <v>986</v>
      </c>
      <c r="E203" s="57">
        <v>7</v>
      </c>
      <c r="F203" s="57" t="s">
        <v>1061</v>
      </c>
      <c r="G203" s="57">
        <v>5.67</v>
      </c>
      <c r="H203" s="95">
        <v>45.1</v>
      </c>
      <c r="I203" s="95">
        <v>18.2</v>
      </c>
      <c r="J203" s="95">
        <v>30.7</v>
      </c>
      <c r="K203" s="92">
        <f>(H203+2*J203)/3</f>
        <v>35.5</v>
      </c>
      <c r="L203" s="92">
        <f>(5*(H203-J203)*I203)/(4*I203 + 3*(H203-J203))</f>
        <v>11.296551724137935</v>
      </c>
      <c r="M203" s="92">
        <f>(H203-J203+3*I203)/5</f>
        <v>13.8</v>
      </c>
      <c r="N203" s="92">
        <f>0.5*(M203+L203)</f>
        <v>12.548275862068968</v>
      </c>
      <c r="O203" s="92">
        <f>0.5*(H203-J203)+3/(5/(I203-0.5*(H203-J203))-4*(-3*(K203+(H203-J203))/(5*0.5*(H203-J203)*(3*K203+2*(H203-J203)))))</f>
        <v>12.394965870307168</v>
      </c>
      <c r="P203" s="92">
        <f>I203+2/(5/(0.5*(H203-J203)-I203)-6*(-(3*(K203+2*I203))/(5*I203*(3*K203+4*I203))))</f>
        <v>12.869878967054866</v>
      </c>
      <c r="Q203" s="92">
        <f>(O203+P203)/2</f>
        <v>12.632422418681017</v>
      </c>
      <c r="R203" s="92">
        <f>K203/N203</f>
        <v>2.8290739214069793</v>
      </c>
      <c r="S203" s="92">
        <f>(3*K203-2*N203)/(2*(3*K203+N203))</f>
        <v>0.34189259645464021</v>
      </c>
      <c r="T203" s="92">
        <f>9*N203*K203/(N203+3*K203)</f>
        <v>33.676876955161632</v>
      </c>
      <c r="U203" s="92">
        <f>SQRT((K203+4/3*N203)/G203)</f>
        <v>3.035098459704153</v>
      </c>
      <c r="V203" s="92">
        <f>SQRT(K203/G203)</f>
        <v>2.502203614354674</v>
      </c>
      <c r="W203" s="92">
        <f>SQRT(N203/G203)</f>
        <v>1.4876490847329205</v>
      </c>
      <c r="X203" s="8">
        <f>SQRT((K203/N203) +4/3)</f>
        <v>2.0401978469600226</v>
      </c>
      <c r="Y203" s="8">
        <f>J203/H203</f>
        <v>0.68070953436807091</v>
      </c>
      <c r="Z203" s="8">
        <f>I203/H203</f>
        <v>0.40354767184035473</v>
      </c>
      <c r="AA203" s="93">
        <f>2*I203/(H203-J203)</f>
        <v>2.5277777777777772</v>
      </c>
      <c r="AB203" s="93">
        <f>5*M203/L203 +1 -6</f>
        <v>1.1080586080586059</v>
      </c>
      <c r="AC203" s="93">
        <f>SQRT(5)*LN(M203/L203)</f>
        <v>0.44759612003060678</v>
      </c>
      <c r="AD203" s="92">
        <f>100*(M203-L203)/(M203+L203)</f>
        <v>9.9752679307501939</v>
      </c>
      <c r="AE203" s="92"/>
      <c r="AF203" s="91">
        <f>-(2*H203*I203-(H203-J203)*(H203+2*J203))/(2*H203*I203+(H203-J203)*(H203+2*J203))</f>
        <v>-3.4025774429649401E-2</v>
      </c>
      <c r="AG203" s="91">
        <f>(4*J203*I203)/(2*H203*I203+(H203-J203)*(H203+2*J203))</f>
        <v>0.7038712034365906</v>
      </c>
      <c r="AH203" s="91"/>
      <c r="AI203" s="90">
        <f>(H203+J203)/((H203-J203)*(H203+2*J203))</f>
        <v>4.9426186750130406E-2</v>
      </c>
      <c r="AJ203" s="90">
        <f>1/I203</f>
        <v>5.4945054945054944E-2</v>
      </c>
      <c r="AK203" s="90">
        <f>-J203/((H203-J203)*(H203+2*J203))</f>
        <v>-2.0018257694314031E-2</v>
      </c>
    </row>
    <row r="204" spans="1:37">
      <c r="H204" s="95"/>
      <c r="I204" s="95"/>
      <c r="J204" s="95"/>
      <c r="U204" s="92"/>
      <c r="V204" s="92"/>
      <c r="W204" s="92"/>
      <c r="X204" s="8"/>
      <c r="Y204" s="8"/>
      <c r="Z204" s="8"/>
      <c r="AA204" s="93"/>
      <c r="AB204" s="93"/>
      <c r="AC204" s="93"/>
      <c r="AD204" s="92"/>
      <c r="AE204" s="92"/>
      <c r="AF204" s="91"/>
      <c r="AG204" s="91"/>
      <c r="AH204" s="91"/>
      <c r="AI204" s="90"/>
      <c r="AJ204" s="90"/>
      <c r="AK204" s="90"/>
    </row>
    <row r="205" spans="1:37">
      <c r="A205" s="38" t="s">
        <v>1060</v>
      </c>
      <c r="H205" s="95"/>
      <c r="I205" s="95"/>
      <c r="J205" s="95"/>
      <c r="U205" s="92"/>
      <c r="V205" s="92"/>
      <c r="W205" s="92"/>
      <c r="X205" s="8"/>
      <c r="Y205" s="8"/>
      <c r="Z205" s="8"/>
      <c r="AA205" s="93"/>
      <c r="AB205" s="93"/>
      <c r="AC205" s="93"/>
      <c r="AD205" s="92"/>
      <c r="AE205" s="92"/>
      <c r="AF205" s="91"/>
      <c r="AG205" s="91"/>
      <c r="AH205" s="91"/>
      <c r="AI205" s="90"/>
      <c r="AJ205" s="90"/>
      <c r="AK205" s="90"/>
    </row>
    <row r="206" spans="1:37">
      <c r="A206" t="s">
        <v>1059</v>
      </c>
      <c r="B206" t="s">
        <v>1058</v>
      </c>
      <c r="C206" t="s">
        <v>1043</v>
      </c>
      <c r="D206" t="s">
        <v>996</v>
      </c>
      <c r="E206" s="57">
        <v>7</v>
      </c>
      <c r="F206" s="57" t="s">
        <v>1047</v>
      </c>
      <c r="G206" s="57">
        <v>7.5970000000000004</v>
      </c>
      <c r="H206" s="95">
        <v>127</v>
      </c>
      <c r="I206" s="96">
        <v>23</v>
      </c>
      <c r="J206" s="95">
        <v>24.4</v>
      </c>
      <c r="K206" s="92">
        <f t="shared" ref="K206:K211" si="178">(H206+2*J206)/3</f>
        <v>58.6</v>
      </c>
      <c r="L206" s="92">
        <f t="shared" ref="L206:L211" si="179">(5*(H206-J206)*I206)/(4*I206 + 3*(H206-J206))</f>
        <v>29.512256128064035</v>
      </c>
      <c r="M206" s="92">
        <f t="shared" ref="M206:M211" si="180">(H206-J206+3*I206)/5</f>
        <v>34.32</v>
      </c>
      <c r="N206" s="92">
        <f t="shared" ref="N206:N211" si="181">0.5*(M206+L206)</f>
        <v>31.916128064032016</v>
      </c>
      <c r="O206" s="92">
        <f t="shared" ref="O206:O211" si="182">0.5*(H206-J206)+3/(5/(I206-0.5*(H206-J206))-4*(-3*(K206+(H206-J206))/(5*0.5*(H206-J206)*(3*K206+2*(H206-J206)))))</f>
        <v>32.177643285616512</v>
      </c>
      <c r="P206" s="92">
        <f t="shared" ref="P206:P211" si="183">I206+2/(5/(0.5*(H206-J206)-I206)-6*(-(3*(K206+2*I206))/(5*I206*(3*K206+4*I206))))</f>
        <v>31.409924260465569</v>
      </c>
      <c r="Q206" s="92">
        <f t="shared" ref="Q206:Q211" si="184">(O206+P206)/2</f>
        <v>31.793783773041042</v>
      </c>
      <c r="R206" s="92">
        <f t="shared" ref="R206:R211" si="185">K206/N206</f>
        <v>1.8360623156553713</v>
      </c>
      <c r="S206" s="92">
        <f t="shared" ref="S206:S211" si="186">(3*K206-2*N206)/(2*(3*K206+N206))</f>
        <v>0.26952106443419749</v>
      </c>
      <c r="T206" s="92">
        <f t="shared" ref="T206:T211" si="187">9*N206*K206/(N206+3*K206)</f>
        <v>81.036393744936163</v>
      </c>
      <c r="U206" s="92">
        <f t="shared" ref="U206:U211" si="188">SQRT((K206+4/3*N206)/G206)</f>
        <v>3.6489865703348805</v>
      </c>
      <c r="V206" s="92">
        <f t="shared" ref="V206:V211" si="189">SQRT(K206/G206)</f>
        <v>2.7773316594359412</v>
      </c>
      <c r="W206" s="92">
        <f t="shared" ref="W206:W211" si="190">SQRT(N206/G206)</f>
        <v>2.0496704327731172</v>
      </c>
      <c r="X206" s="8">
        <f t="shared" ref="X206:X211" si="191">SQRT((K206/N206) +4/3)</f>
        <v>1.7802796547140296</v>
      </c>
      <c r="Y206" s="8">
        <f t="shared" ref="Y206:Y211" si="192">J206/H206</f>
        <v>0.1921259842519685</v>
      </c>
      <c r="Z206" s="8">
        <f t="shared" ref="Z206:Z211" si="193">I206/H206</f>
        <v>0.18110236220472442</v>
      </c>
      <c r="AA206" s="93">
        <f t="shared" ref="AA206:AA211" si="194">2*I206/(H206-J206)</f>
        <v>0.44834307992202732</v>
      </c>
      <c r="AB206" s="93">
        <f t="shared" ref="AB206:AB211" si="195">5*M206/L206 +1 -6</f>
        <v>0.81453343503686693</v>
      </c>
      <c r="AC206" s="93">
        <f t="shared" ref="AC206:AC211" si="196">SQRT(5)*LN(M206/L206)</f>
        <v>0.33747327251404219</v>
      </c>
      <c r="AD206" s="92">
        <f t="shared" ref="AD206:AD211" si="197">100*(M206-L206)/(M206+L206)</f>
        <v>7.5318407394067144</v>
      </c>
      <c r="AE206" s="92"/>
      <c r="AF206" s="91">
        <f t="shared" ref="AF206:AF211" si="198">-(2*H206*I206-(H206-J206)*(H206+2*J206))/(2*H206*I206+(H206-J206)*(H206+2*J206))</f>
        <v>0.51070141730753449</v>
      </c>
      <c r="AG206" s="91">
        <f t="shared" ref="AG206:AG211" si="199">(4*J206*I206)/(2*H206*I206+(H206-J206)*(H206+2*J206))</f>
        <v>9.4006971792883129E-2</v>
      </c>
      <c r="AH206" s="91"/>
      <c r="AI206" s="90">
        <f t="shared" ref="AI206:AI211" si="200">(H206+J206)/((H206-J206)*(H206+2*J206))</f>
        <v>8.3938198422361041E-3</v>
      </c>
      <c r="AJ206" s="90">
        <f t="shared" ref="AJ206:AJ211" si="201">1/I206</f>
        <v>4.3478260869565216E-2</v>
      </c>
      <c r="AK206" s="90">
        <f t="shared" ref="AK206:AK211" si="202">-J206/((H206-J206)*(H206+2*J206))</f>
        <v>-1.35276885172101E-3</v>
      </c>
    </row>
    <row r="207" spans="1:37">
      <c r="A207" s="66" t="s">
        <v>1803</v>
      </c>
      <c r="B207" t="s">
        <v>1056</v>
      </c>
      <c r="C207" t="s">
        <v>1043</v>
      </c>
      <c r="D207" t="s">
        <v>996</v>
      </c>
      <c r="E207" s="57">
        <v>7</v>
      </c>
      <c r="F207" s="57" t="s">
        <v>1047</v>
      </c>
      <c r="G207" s="57">
        <v>2.61</v>
      </c>
      <c r="H207" s="98">
        <v>122.6</v>
      </c>
      <c r="I207" s="102">
        <v>33.1</v>
      </c>
      <c r="J207" s="102">
        <v>22</v>
      </c>
      <c r="K207" s="92">
        <f t="shared" si="178"/>
        <v>55.533333333333331</v>
      </c>
      <c r="L207" s="92">
        <f t="shared" si="179"/>
        <v>38.344771994472595</v>
      </c>
      <c r="M207" s="92">
        <f t="shared" si="180"/>
        <v>39.980000000000004</v>
      </c>
      <c r="N207" s="92">
        <f t="shared" si="181"/>
        <v>39.162385997236299</v>
      </c>
      <c r="O207" s="92">
        <f t="shared" si="182"/>
        <v>39.20708585041951</v>
      </c>
      <c r="P207" s="92">
        <f t="shared" si="183"/>
        <v>39.070537664715587</v>
      </c>
      <c r="Q207" s="92">
        <f t="shared" si="184"/>
        <v>39.138811757567552</v>
      </c>
      <c r="R207" s="92">
        <f t="shared" si="185"/>
        <v>1.4180273218606327</v>
      </c>
      <c r="S207" s="92">
        <f t="shared" si="186"/>
        <v>0.2145076894829385</v>
      </c>
      <c r="T207" s="92">
        <f t="shared" si="187"/>
        <v>95.126037864284882</v>
      </c>
      <c r="U207" s="92">
        <f t="shared" si="188"/>
        <v>6.4252211374593804</v>
      </c>
      <c r="V207" s="92">
        <f t="shared" si="189"/>
        <v>4.6127149498070752</v>
      </c>
      <c r="W207" s="92">
        <f t="shared" si="190"/>
        <v>3.8735959511558304</v>
      </c>
      <c r="X207" s="8">
        <f t="shared" si="191"/>
        <v>1.6587225974206674</v>
      </c>
      <c r="Y207" s="8">
        <f t="shared" si="192"/>
        <v>0.17944535073409462</v>
      </c>
      <c r="Z207" s="8">
        <f t="shared" si="193"/>
        <v>0.26998368678629692</v>
      </c>
      <c r="AA207" s="93">
        <f t="shared" si="194"/>
        <v>0.65805168986083507</v>
      </c>
      <c r="AB207" s="93">
        <f t="shared" si="195"/>
        <v>0.2132269825157822</v>
      </c>
      <c r="AC207" s="93">
        <f t="shared" si="196"/>
        <v>9.3380734516808853E-2</v>
      </c>
      <c r="AD207" s="92">
        <f t="shared" si="197"/>
        <v>2.0877532916952606</v>
      </c>
      <c r="AE207" s="92"/>
      <c r="AF207" s="91">
        <f t="shared" si="198"/>
        <v>0.34747596888255711</v>
      </c>
      <c r="AG207" s="91">
        <f t="shared" si="199"/>
        <v>0.11709240362629483</v>
      </c>
      <c r="AH207" s="91"/>
      <c r="AI207" s="90">
        <f t="shared" si="200"/>
        <v>8.6277055553831868E-3</v>
      </c>
      <c r="AJ207" s="90">
        <f t="shared" si="201"/>
        <v>3.0211480362537763E-2</v>
      </c>
      <c r="AK207" s="90">
        <f t="shared" si="202"/>
        <v>-1.3126522974995169E-3</v>
      </c>
    </row>
    <row r="208" spans="1:37">
      <c r="A208" s="66" t="s">
        <v>1802</v>
      </c>
      <c r="B208" t="s">
        <v>1054</v>
      </c>
      <c r="C208" t="s">
        <v>1043</v>
      </c>
      <c r="D208" t="s">
        <v>996</v>
      </c>
      <c r="E208" s="57">
        <v>7</v>
      </c>
      <c r="F208" s="57" t="s">
        <v>1047</v>
      </c>
      <c r="G208" s="57">
        <v>2.68</v>
      </c>
      <c r="H208" s="98">
        <v>86.5</v>
      </c>
      <c r="I208" s="102">
        <v>50</v>
      </c>
      <c r="J208" s="102">
        <v>57.6</v>
      </c>
      <c r="K208" s="92">
        <f t="shared" si="178"/>
        <v>67.233333333333334</v>
      </c>
      <c r="L208" s="92">
        <f t="shared" si="179"/>
        <v>25.200558074642483</v>
      </c>
      <c r="M208" s="92">
        <f t="shared" si="180"/>
        <v>35.78</v>
      </c>
      <c r="N208" s="92">
        <f t="shared" si="181"/>
        <v>30.490279037321244</v>
      </c>
      <c r="O208" s="92">
        <f t="shared" si="182"/>
        <v>29.288556419729737</v>
      </c>
      <c r="P208" s="92">
        <f t="shared" si="183"/>
        <v>31.92864187326548</v>
      </c>
      <c r="Q208" s="92">
        <f t="shared" si="184"/>
        <v>30.60859914649761</v>
      </c>
      <c r="R208" s="92">
        <f t="shared" si="185"/>
        <v>2.205074386201491</v>
      </c>
      <c r="S208" s="92">
        <f t="shared" si="186"/>
        <v>0.30302612690934161</v>
      </c>
      <c r="T208" s="92">
        <f t="shared" si="187"/>
        <v>79.459260404771584</v>
      </c>
      <c r="U208" s="92">
        <f t="shared" si="188"/>
        <v>6.3447898097581268</v>
      </c>
      <c r="V208" s="92">
        <f t="shared" si="189"/>
        <v>5.0086989005745712</v>
      </c>
      <c r="W208" s="92">
        <f t="shared" si="190"/>
        <v>3.3729763992719008</v>
      </c>
      <c r="X208" s="8">
        <f t="shared" si="191"/>
        <v>1.8810655808702748</v>
      </c>
      <c r="Y208" s="8">
        <f t="shared" si="192"/>
        <v>0.66589595375722543</v>
      </c>
      <c r="Z208" s="8">
        <f t="shared" si="193"/>
        <v>0.5780346820809249</v>
      </c>
      <c r="AA208" s="93">
        <f t="shared" si="194"/>
        <v>3.4602076124567476</v>
      </c>
      <c r="AB208" s="93">
        <f t="shared" si="195"/>
        <v>2.0990491349480962</v>
      </c>
      <c r="AC208" s="93">
        <f t="shared" si="196"/>
        <v>0.78379311701693855</v>
      </c>
      <c r="AD208" s="92">
        <f t="shared" si="197"/>
        <v>17.348876854173565</v>
      </c>
      <c r="AE208" s="92"/>
      <c r="AF208" s="91">
        <f t="shared" si="198"/>
        <v>-0.19482316962414184</v>
      </c>
      <c r="AG208" s="91">
        <f t="shared" si="199"/>
        <v>0.79562791410809908</v>
      </c>
      <c r="AH208" s="91"/>
      <c r="AI208" s="90">
        <f t="shared" si="200"/>
        <v>2.4720670151463429E-2</v>
      </c>
      <c r="AJ208" s="90">
        <f t="shared" si="201"/>
        <v>0.02</v>
      </c>
      <c r="AK208" s="90">
        <f t="shared" si="202"/>
        <v>-9.8814059731040498E-3</v>
      </c>
    </row>
    <row r="209" spans="1:37">
      <c r="A209" s="66" t="s">
        <v>1801</v>
      </c>
      <c r="B209" t="s">
        <v>1052</v>
      </c>
      <c r="C209" t="s">
        <v>1043</v>
      </c>
      <c r="D209" t="s">
        <v>996</v>
      </c>
      <c r="E209" s="57">
        <v>7</v>
      </c>
      <c r="F209" s="57" t="s">
        <v>1047</v>
      </c>
      <c r="G209" s="57">
        <v>3.99</v>
      </c>
      <c r="H209" s="98">
        <v>137.69999999999999</v>
      </c>
      <c r="I209" s="102">
        <v>50.6</v>
      </c>
      <c r="J209" s="102">
        <v>48.3</v>
      </c>
      <c r="K209" s="92">
        <f t="shared" si="178"/>
        <v>78.099999999999994</v>
      </c>
      <c r="L209" s="92">
        <f t="shared" si="179"/>
        <v>48.062473438164041</v>
      </c>
      <c r="M209" s="92">
        <f t="shared" si="180"/>
        <v>48.239999999999995</v>
      </c>
      <c r="N209" s="92">
        <f t="shared" si="181"/>
        <v>48.151236719082021</v>
      </c>
      <c r="O209" s="92">
        <f t="shared" si="182"/>
        <v>48.151338933142839</v>
      </c>
      <c r="P209" s="92">
        <f t="shared" si="183"/>
        <v>48.155748633104444</v>
      </c>
      <c r="Q209" s="92">
        <f t="shared" si="184"/>
        <v>48.153543783123638</v>
      </c>
      <c r="R209" s="92">
        <f t="shared" si="185"/>
        <v>1.6219728779894342</v>
      </c>
      <c r="S209" s="92">
        <f t="shared" si="186"/>
        <v>0.24428557680397836</v>
      </c>
      <c r="T209" s="92">
        <f t="shared" si="187"/>
        <v>119.82777870965576</v>
      </c>
      <c r="U209" s="92">
        <f t="shared" si="188"/>
        <v>5.9719823906202789</v>
      </c>
      <c r="V209" s="92">
        <f t="shared" si="189"/>
        <v>4.4242439848060737</v>
      </c>
      <c r="W209" s="92">
        <f t="shared" si="190"/>
        <v>3.4738997002776979</v>
      </c>
      <c r="X209" s="8">
        <f t="shared" si="191"/>
        <v>1.7191004075744871</v>
      </c>
      <c r="Y209" s="8">
        <f t="shared" si="192"/>
        <v>0.35076252723311546</v>
      </c>
      <c r="Z209" s="8">
        <f t="shared" si="193"/>
        <v>0.36746550472040673</v>
      </c>
      <c r="AA209" s="93">
        <f t="shared" si="194"/>
        <v>1.1319910514541389</v>
      </c>
      <c r="AB209" s="93">
        <f t="shared" si="195"/>
        <v>1.8468313128366276E-2</v>
      </c>
      <c r="AC209" s="93">
        <f t="shared" si="196"/>
        <v>8.2440646758106025E-3</v>
      </c>
      <c r="AD209" s="92">
        <f t="shared" si="197"/>
        <v>0.18434268144726743</v>
      </c>
      <c r="AE209" s="92"/>
      <c r="AF209" s="91">
        <f t="shared" si="198"/>
        <v>0.20099903502298913</v>
      </c>
      <c r="AG209" s="91">
        <f t="shared" si="199"/>
        <v>0.28025959773703435</v>
      </c>
      <c r="AH209" s="91"/>
      <c r="AI209" s="90">
        <f t="shared" si="200"/>
        <v>8.8797990300967904E-3</v>
      </c>
      <c r="AJ209" s="90">
        <f t="shared" si="201"/>
        <v>1.9762845849802372E-2</v>
      </c>
      <c r="AK209" s="90">
        <f t="shared" si="202"/>
        <v>-2.3058832965251342E-3</v>
      </c>
    </row>
    <row r="210" spans="1:37">
      <c r="A210" t="s">
        <v>1051</v>
      </c>
      <c r="B210" t="s">
        <v>1050</v>
      </c>
      <c r="C210" t="s">
        <v>1040</v>
      </c>
      <c r="D210" t="s">
        <v>996</v>
      </c>
      <c r="E210" s="57">
        <v>7</v>
      </c>
      <c r="F210" s="57" t="s">
        <v>1047</v>
      </c>
      <c r="G210" s="57">
        <v>8.19</v>
      </c>
      <c r="H210" s="95">
        <v>107</v>
      </c>
      <c r="I210" s="95">
        <v>13.2</v>
      </c>
      <c r="J210" s="95">
        <v>8</v>
      </c>
      <c r="K210" s="92">
        <f t="shared" si="178"/>
        <v>41</v>
      </c>
      <c r="L210" s="92">
        <f t="shared" si="179"/>
        <v>18.679245283018869</v>
      </c>
      <c r="M210" s="92">
        <f t="shared" si="180"/>
        <v>27.72</v>
      </c>
      <c r="N210" s="92">
        <f t="shared" si="181"/>
        <v>23.199622641509436</v>
      </c>
      <c r="O210" s="92">
        <f t="shared" si="182"/>
        <v>23.769910201678197</v>
      </c>
      <c r="P210" s="92">
        <f t="shared" si="183"/>
        <v>21.454161654572971</v>
      </c>
      <c r="Q210" s="92">
        <f t="shared" si="184"/>
        <v>22.612035928125586</v>
      </c>
      <c r="R210" s="92">
        <f t="shared" si="185"/>
        <v>1.7672701247580473</v>
      </c>
      <c r="S210" s="92">
        <f t="shared" si="186"/>
        <v>0.26197316153411332</v>
      </c>
      <c r="T210" s="92">
        <f t="shared" si="187"/>
        <v>58.554602262608121</v>
      </c>
      <c r="U210" s="92">
        <f t="shared" si="188"/>
        <v>2.9636139001302255</v>
      </c>
      <c r="V210" s="92">
        <f t="shared" si="189"/>
        <v>2.2374326819158172</v>
      </c>
      <c r="W210" s="92">
        <f t="shared" si="190"/>
        <v>1.6830557795881451</v>
      </c>
      <c r="X210" s="8">
        <f t="shared" si="191"/>
        <v>1.7608530484090319</v>
      </c>
      <c r="Y210" s="8">
        <f t="shared" si="192"/>
        <v>7.476635514018691E-2</v>
      </c>
      <c r="Z210" s="8">
        <f t="shared" si="193"/>
        <v>0.12336448598130841</v>
      </c>
      <c r="AA210" s="93">
        <f t="shared" si="194"/>
        <v>0.26666666666666666</v>
      </c>
      <c r="AB210" s="93">
        <f t="shared" si="195"/>
        <v>2.4199999999999982</v>
      </c>
      <c r="AC210" s="93">
        <f t="shared" si="196"/>
        <v>0.88266803316632581</v>
      </c>
      <c r="AD210" s="92">
        <f t="shared" si="197"/>
        <v>19.48470209339774</v>
      </c>
      <c r="AE210" s="92"/>
      <c r="AF210" s="91">
        <f t="shared" si="198"/>
        <v>0.62340519137703487</v>
      </c>
      <c r="AG210" s="91">
        <f t="shared" si="199"/>
        <v>2.8156621205455347E-2</v>
      </c>
      <c r="AH210" s="91"/>
      <c r="AI210" s="90">
        <f t="shared" si="200"/>
        <v>9.4440338342777364E-3</v>
      </c>
      <c r="AJ210" s="90">
        <f t="shared" si="201"/>
        <v>7.575757575757576E-2</v>
      </c>
      <c r="AK210" s="90">
        <f t="shared" si="202"/>
        <v>-6.5697626673236426E-4</v>
      </c>
    </row>
    <row r="211" spans="1:37">
      <c r="A211" t="s">
        <v>1049</v>
      </c>
      <c r="B211" t="s">
        <v>1048</v>
      </c>
      <c r="C211" t="s">
        <v>1035</v>
      </c>
      <c r="D211" t="s">
        <v>996</v>
      </c>
      <c r="E211" s="57">
        <v>7</v>
      </c>
      <c r="F211" s="57" t="s">
        <v>1047</v>
      </c>
      <c r="G211" s="57">
        <v>8.15</v>
      </c>
      <c r="H211" s="95">
        <v>120.75</v>
      </c>
      <c r="I211" s="95">
        <v>15.7</v>
      </c>
      <c r="J211" s="95">
        <v>16.600000000000001</v>
      </c>
      <c r="K211" s="92">
        <f t="shared" si="178"/>
        <v>51.316666666666663</v>
      </c>
      <c r="L211" s="92">
        <f t="shared" si="179"/>
        <v>21.787541638907392</v>
      </c>
      <c r="M211" s="92">
        <f t="shared" si="180"/>
        <v>30.25</v>
      </c>
      <c r="N211" s="92">
        <f t="shared" si="181"/>
        <v>26.018770819453696</v>
      </c>
      <c r="O211" s="92">
        <f t="shared" si="182"/>
        <v>26.581650031781514</v>
      </c>
      <c r="P211" s="92">
        <f t="shared" si="183"/>
        <v>24.590357573885306</v>
      </c>
      <c r="Q211" s="92">
        <f t="shared" si="184"/>
        <v>25.58600380283341</v>
      </c>
      <c r="R211" s="92">
        <f t="shared" si="185"/>
        <v>1.9722940419728918</v>
      </c>
      <c r="S211" s="92">
        <f t="shared" si="186"/>
        <v>0.28313928549118145</v>
      </c>
      <c r="T211" s="92">
        <f t="shared" si="187"/>
        <v>66.771413997265242</v>
      </c>
      <c r="U211" s="92">
        <f t="shared" si="188"/>
        <v>3.2485647815915453</v>
      </c>
      <c r="V211" s="92">
        <f t="shared" si="189"/>
        <v>2.5092874521230946</v>
      </c>
      <c r="W211" s="92">
        <f t="shared" si="190"/>
        <v>1.786753261396459</v>
      </c>
      <c r="X211" s="8">
        <f t="shared" si="191"/>
        <v>1.8181384367825859</v>
      </c>
      <c r="Y211" s="8">
        <f t="shared" si="192"/>
        <v>0.13747412008281576</v>
      </c>
      <c r="Z211" s="8">
        <f t="shared" si="193"/>
        <v>0.1300207039337474</v>
      </c>
      <c r="AA211" s="93">
        <f t="shared" si="194"/>
        <v>0.30148823811809888</v>
      </c>
      <c r="AB211" s="93">
        <f t="shared" si="195"/>
        <v>1.9420406628117837</v>
      </c>
      <c r="AC211" s="93">
        <f t="shared" si="196"/>
        <v>0.73378328789002367</v>
      </c>
      <c r="AD211" s="92">
        <f t="shared" si="197"/>
        <v>16.262217803858366</v>
      </c>
      <c r="AE211" s="92"/>
      <c r="AF211" s="91">
        <f t="shared" si="198"/>
        <v>0.61750664581635439</v>
      </c>
      <c r="AG211" s="91">
        <f t="shared" si="199"/>
        <v>5.2582937303921461E-2</v>
      </c>
      <c r="AH211" s="91"/>
      <c r="AI211" s="90">
        <f t="shared" si="200"/>
        <v>8.5662293170544832E-3</v>
      </c>
      <c r="AJ211" s="90">
        <f t="shared" si="201"/>
        <v>6.3694267515923567E-2</v>
      </c>
      <c r="AK211" s="90">
        <f t="shared" si="202"/>
        <v>-1.0353069287448449E-3</v>
      </c>
    </row>
    <row r="212" spans="1:37">
      <c r="H212" s="95"/>
      <c r="I212" s="95"/>
      <c r="J212" s="95"/>
      <c r="U212" s="92"/>
      <c r="V212" s="92"/>
      <c r="W212" s="92"/>
      <c r="X212" s="8"/>
      <c r="Y212" s="8"/>
      <c r="Z212" s="8"/>
      <c r="AA212" s="93"/>
      <c r="AB212" s="93"/>
      <c r="AC212" s="93"/>
      <c r="AD212" s="92"/>
      <c r="AE212" s="92"/>
      <c r="AF212" s="91"/>
      <c r="AG212" s="91"/>
      <c r="AH212" s="91"/>
      <c r="AI212" s="90"/>
      <c r="AJ212" s="90"/>
      <c r="AK212" s="90"/>
    </row>
    <row r="213" spans="1:37">
      <c r="A213" t="s">
        <v>1046</v>
      </c>
      <c r="B213" t="s">
        <v>535</v>
      </c>
      <c r="C213" t="s">
        <v>1043</v>
      </c>
      <c r="D213" t="s">
        <v>986</v>
      </c>
      <c r="E213" s="57">
        <v>7</v>
      </c>
      <c r="F213" s="57" t="s">
        <v>1034</v>
      </c>
      <c r="G213" s="57">
        <v>4.0880000000000001</v>
      </c>
      <c r="H213" s="95">
        <v>102</v>
      </c>
      <c r="I213" s="95">
        <v>44.6</v>
      </c>
      <c r="J213" s="95">
        <v>64.599999999999994</v>
      </c>
      <c r="K213" s="92">
        <f>(H213+2*J213)/3</f>
        <v>77.066666666666663</v>
      </c>
      <c r="L213" s="92">
        <f>(5*(H213-J213)*I213)/(4*I213 + 3*(H213-J213))</f>
        <v>28.699931176875431</v>
      </c>
      <c r="M213" s="92">
        <f>(H213-J213+3*I213)/5</f>
        <v>34.24</v>
      </c>
      <c r="N213" s="92">
        <f>0.5*(M213+L213)</f>
        <v>31.469965588437717</v>
      </c>
      <c r="O213" s="92">
        <f>0.5*(H213-J213)+3/(5/(I213-0.5*(H213-J213))-4*(-3*(K213+(H213-J213))/(5*0.5*(H213-J213)*(3*K213+2*(H213-J213)))))</f>
        <v>31.14504992519786</v>
      </c>
      <c r="P213" s="92">
        <f>I213+2/(5/(0.5*(H213-J213)-I213)-6*(-(3*(K213+2*I213))/(5*I213*(3*K213+4*I213))))</f>
        <v>32.122225136031901</v>
      </c>
      <c r="Q213" s="92">
        <f>(O213+P213)/2</f>
        <v>31.63363753061488</v>
      </c>
      <c r="R213" s="92">
        <f>K213/N213</f>
        <v>2.4488958035270776</v>
      </c>
      <c r="S213" s="92">
        <f>(3*K213-2*N213)/(2*(3*K213+N213))</f>
        <v>0.32028798657316127</v>
      </c>
      <c r="T213" s="92">
        <f>9*N213*K213/(N213+3*K213)</f>
        <v>83.098835008570205</v>
      </c>
      <c r="U213" s="92">
        <f>SQRT((K213+4/3*N213)/G213)</f>
        <v>5.3959337444692972</v>
      </c>
      <c r="V213" s="92">
        <f>SQRT(K213/G213)</f>
        <v>4.3418802760297739</v>
      </c>
      <c r="W213" s="92">
        <f>SQRT(N213/G213)</f>
        <v>2.774550861399832</v>
      </c>
      <c r="X213" s="8">
        <f>SQRT((K213/N213) +4/3)</f>
        <v>1.9447953971717464</v>
      </c>
      <c r="Y213" s="8">
        <f>J213/H213</f>
        <v>0.6333333333333333</v>
      </c>
      <c r="Z213" s="8">
        <f>I213/H213</f>
        <v>0.43725490196078431</v>
      </c>
      <c r="AA213" s="93">
        <f>2*I213/(H213-J213)</f>
        <v>2.3850267379679142</v>
      </c>
      <c r="AB213" s="93">
        <f>5*M213/L213 +1 -6</f>
        <v>0.96517109901441245</v>
      </c>
      <c r="AC213" s="93">
        <f>SQRT(5)*LN(M213/L213)</f>
        <v>0.39466561013603069</v>
      </c>
      <c r="AD213" s="92">
        <f>100*(M213-L213)/(M213+L213)</f>
        <v>8.8021526549746696</v>
      </c>
      <c r="AE213" s="92"/>
      <c r="AF213" s="91">
        <f>-(2*H213*I213-(H213-J213)*(H213+2*J213))/(2*H213*I213+(H213-J213)*(H213+2*J213))</f>
        <v>-2.5444512568976011E-2</v>
      </c>
      <c r="AG213" s="91">
        <f>(4*J213*I213)/(2*H213*I213+(H213-J213)*(H213+2*J213))</f>
        <v>0.64944819129368492</v>
      </c>
      <c r="AH213" s="91"/>
      <c r="AI213" s="90">
        <f>(H213+J213)/((H213-J213)*(H213+2*J213))</f>
        <v>1.9267065114815976E-2</v>
      </c>
      <c r="AJ213" s="90">
        <f>1/I213</f>
        <v>2.2421524663677129E-2</v>
      </c>
      <c r="AK213" s="90">
        <f>-J213/((H213-J213)*(H213+2*J213))</f>
        <v>-7.4709027996225216E-3</v>
      </c>
    </row>
    <row r="214" spans="1:37" ht="14.7">
      <c r="A214" t="s">
        <v>1045</v>
      </c>
      <c r="B214" t="s">
        <v>1044</v>
      </c>
      <c r="C214" t="s">
        <v>1043</v>
      </c>
      <c r="D214" t="s">
        <v>986</v>
      </c>
      <c r="E214" s="57">
        <v>7</v>
      </c>
      <c r="F214" s="57" t="s">
        <v>1034</v>
      </c>
      <c r="G214" s="69">
        <v>7.6</v>
      </c>
      <c r="H214" s="95">
        <v>67.5</v>
      </c>
      <c r="I214" s="95">
        <v>24.2</v>
      </c>
      <c r="J214" s="95">
        <v>51.86</v>
      </c>
      <c r="K214" s="92">
        <f>(H214+2*J214)/3</f>
        <v>57.073333333333331</v>
      </c>
      <c r="L214" s="92">
        <f>(5*(H214-J214)*I214)/(4*I214 + 3*(H214-J214))</f>
        <v>13.167548010019482</v>
      </c>
      <c r="M214" s="92">
        <f>(H214-J214+3*I214)/5</f>
        <v>17.648</v>
      </c>
      <c r="N214" s="92">
        <f>0.5*(M214+L214)</f>
        <v>15.407774005009742</v>
      </c>
      <c r="O214" s="92">
        <f>0.5*(H214-J214)+3/(5/(I214-0.5*(H214-J214))-4*(-3*(K214+(H214-J214))/(5*0.5*(H214-J214)*(3*K214+2*(H214-J214)))))</f>
        <v>15.041027688672624</v>
      </c>
      <c r="P214" s="92">
        <f>I214+2/(5/(0.5*(H214-J214)-I214)-6*(-(3*(K214+2*I214))/(5*I214*(3*K214+4*I214))))</f>
        <v>16.093282284708181</v>
      </c>
      <c r="Q214" s="92">
        <f>(O214+P214)/2</f>
        <v>15.567154986690403</v>
      </c>
      <c r="R214" s="92">
        <f>K214/N214</f>
        <v>3.7041907101425742</v>
      </c>
      <c r="S214" s="92">
        <f>(3*K214-2*N214)/(2*(3*K214+N214))</f>
        <v>0.37616172817399507</v>
      </c>
      <c r="T214" s="92">
        <f>9*N214*K214/(N214+3*K214)</f>
        <v>42.407177804097131</v>
      </c>
      <c r="U214" s="92">
        <f>SQRT((K214+4/3*N214)/G214)</f>
        <v>3.1957420686438311</v>
      </c>
      <c r="V214" s="92">
        <f>SQRT(K214/G214)</f>
        <v>2.7403739020080851</v>
      </c>
      <c r="W214" s="92">
        <f>SQRT(N214/G214)</f>
        <v>1.4238464400593567</v>
      </c>
      <c r="X214" s="8">
        <f>SQRT((K214/N214) +4/3)</f>
        <v>2.2444429249762416</v>
      </c>
      <c r="Y214" s="8">
        <f>J214/H214</f>
        <v>0.76829629629629625</v>
      </c>
      <c r="Z214" s="8">
        <f>I214/H214</f>
        <v>0.35851851851851851</v>
      </c>
      <c r="AA214" s="93">
        <f>2*I214/(H214-J214)</f>
        <v>3.0946291560102299</v>
      </c>
      <c r="AB214" s="93">
        <f>5*M214/L214 +1 -6</f>
        <v>1.7013235822535986</v>
      </c>
      <c r="AC214" s="93">
        <f>SQRT(5)*LN(M214/L214)</f>
        <v>0.65487084245538363</v>
      </c>
      <c r="AD214" s="92">
        <f>100*(M214-L214)/(M214+L214)</f>
        <v>14.539582383943737</v>
      </c>
      <c r="AE214" s="92"/>
      <c r="AF214" s="91">
        <f>-(2*H214*I214-(H214-J214)*(H214+2*J214))/(2*H214*I214+(H214-J214)*(H214+2*J214))</f>
        <v>-9.9096890218555791E-2</v>
      </c>
      <c r="AG214" s="91">
        <f>(4*J214*I214)/(2*H214*I214+(H214-J214)*(H214+2*J214))</f>
        <v>0.84443207002569332</v>
      </c>
      <c r="AH214" s="91"/>
      <c r="AI214" s="90">
        <f>(H214+J214)/((H214-J214)*(H214+2*J214))</f>
        <v>4.4572559017563441E-2</v>
      </c>
      <c r="AJ214" s="90">
        <f>1/I214</f>
        <v>4.1322314049586778E-2</v>
      </c>
      <c r="AK214" s="90">
        <f>-J214/((H214-J214)*(H214+2*J214))</f>
        <v>-1.9366059908267761E-2</v>
      </c>
    </row>
    <row r="215" spans="1:37">
      <c r="A215" t="s">
        <v>1042</v>
      </c>
      <c r="B215" t="s">
        <v>1041</v>
      </c>
      <c r="C215" t="s">
        <v>1040</v>
      </c>
      <c r="D215" t="s">
        <v>986</v>
      </c>
      <c r="E215" s="57">
        <v>7</v>
      </c>
      <c r="F215" s="57" t="s">
        <v>1034</v>
      </c>
      <c r="G215" s="69">
        <v>8.1</v>
      </c>
      <c r="H215" s="95">
        <v>53.2</v>
      </c>
      <c r="I215" s="95">
        <v>20.8</v>
      </c>
      <c r="J215" s="95">
        <v>36.799999999999997</v>
      </c>
      <c r="K215" s="92">
        <f>(H215+2*J215)/3</f>
        <v>42.266666666666666</v>
      </c>
      <c r="L215" s="92">
        <f>(5*(H215-J215)*I215)/(4*I215 + 3*(H215-J215))</f>
        <v>12.882175226586105</v>
      </c>
      <c r="M215" s="92">
        <f>(H215-J215+3*I215)/5</f>
        <v>15.760000000000002</v>
      </c>
      <c r="N215" s="92">
        <f>0.5*(M215+L215)</f>
        <v>14.321087613293052</v>
      </c>
      <c r="O215" s="92">
        <f>0.5*(H215-J215)+3/(5/(I215-0.5*(H215-J215))-4*(-3*(K215+(H215-J215))/(5*0.5*(H215-J215)*(3*K215+2*(H215-J215)))))</f>
        <v>14.14752575237326</v>
      </c>
      <c r="P215" s="92">
        <f>I215+2/(5/(0.5*(H215-J215)-I215)-6*(-(3*(K215+2*I215))/(5*I215*(3*K215+4*I215))))</f>
        <v>14.696941018666868</v>
      </c>
      <c r="Q215" s="92">
        <f>(O215+P215)/2</f>
        <v>14.422233385520064</v>
      </c>
      <c r="R215" s="92">
        <f>K215/N215</f>
        <v>2.9513587101746448</v>
      </c>
      <c r="S215" s="92">
        <f>(3*K215-2*N215)/(2*(3*K215+N215))</f>
        <v>0.34777872830172202</v>
      </c>
      <c r="T215" s="92">
        <f>9*N215*K215/(N215+3*K215)</f>
        <v>38.603314502683311</v>
      </c>
      <c r="U215" s="92">
        <f>SQRT((K215+4/3*N215)/G215)</f>
        <v>2.7523603821029776</v>
      </c>
      <c r="V215" s="92">
        <f>SQRT(K215/G215)</f>
        <v>2.2843176214976704</v>
      </c>
      <c r="W215" s="92">
        <f>SQRT(N215/G215)</f>
        <v>1.3296749632199432</v>
      </c>
      <c r="X215" s="8">
        <f>SQRT((K215/N215) +4/3)</f>
        <v>2.0699497683538066</v>
      </c>
      <c r="Y215" s="8">
        <f>J215/H215</f>
        <v>0.69172932330827064</v>
      </c>
      <c r="Z215" s="8">
        <f>I215/H215</f>
        <v>0.39097744360902253</v>
      </c>
      <c r="AA215" s="93">
        <f>2*I215/(H215-J215)</f>
        <v>2.5365853658536577</v>
      </c>
      <c r="AB215" s="93">
        <f>5*M215/L215 +1 -6</f>
        <v>1.1169793621013131</v>
      </c>
      <c r="AC215" s="93">
        <f>SQRT(5)*LN(M215/L215)</f>
        <v>0.4508594908339148</v>
      </c>
      <c r="AD215" s="92">
        <f>100*(M215-L215)/(M215+L215)</f>
        <v>10.047507742158688</v>
      </c>
      <c r="AE215" s="92"/>
      <c r="AF215" s="91">
        <f>-(2*H215*I215-(H215-J215)*(H215+2*J215))/(2*H215*I215+(H215-J215)*(H215+2*J215))</f>
        <v>-3.1123038503112169E-2</v>
      </c>
      <c r="AG215" s="91">
        <f>(4*J215*I215)/(2*H215*I215+(H215-J215)*(H215+2*J215))</f>
        <v>0.71325804167132556</v>
      </c>
      <c r="AH215" s="91"/>
      <c r="AI215" s="90">
        <f>(H215+J215)/((H215-J215)*(H215+2*J215))</f>
        <v>4.3279218281141785E-2</v>
      </c>
      <c r="AJ215" s="90">
        <f>1/I215</f>
        <v>4.8076923076923073E-2</v>
      </c>
      <c r="AK215" s="90">
        <f>-J215/((H215-J215)*(H215+2*J215))</f>
        <v>-1.7696391474955751E-2</v>
      </c>
    </row>
    <row r="216" spans="1:37">
      <c r="A216" t="s">
        <v>1039</v>
      </c>
      <c r="B216" t="s">
        <v>1038</v>
      </c>
      <c r="C216" t="s">
        <v>1035</v>
      </c>
      <c r="D216" t="s">
        <v>986</v>
      </c>
      <c r="E216" s="57">
        <v>7</v>
      </c>
      <c r="F216" s="57" t="s">
        <v>1034</v>
      </c>
      <c r="G216" s="69">
        <v>8.2370000000000001</v>
      </c>
      <c r="H216" s="95">
        <v>60.8</v>
      </c>
      <c r="I216" s="95">
        <v>22.3</v>
      </c>
      <c r="J216" s="95">
        <v>44.6</v>
      </c>
      <c r="K216" s="92">
        <f>(H216+2*J216)/3</f>
        <v>50</v>
      </c>
      <c r="L216" s="92">
        <f>(5*(H216-J216)*I216)/(4*I216 + 3*(H216-J216))</f>
        <v>13.108127721335267</v>
      </c>
      <c r="M216" s="92">
        <f>(H216-J216+3*I216)/5</f>
        <v>16.619999999999997</v>
      </c>
      <c r="N216" s="92">
        <f>0.5*(M216+L216)</f>
        <v>14.864063860667631</v>
      </c>
      <c r="O216" s="92">
        <f>0.5*(H216-J216)+3/(5/(I216-0.5*(H216-J216))-4*(-3*(K216+(H216-J216))/(5*0.5*(H216-J216)*(3*K216+2*(H216-J216)))))</f>
        <v>14.62670456242347</v>
      </c>
      <c r="P216" s="92">
        <f>I216+2/(5/(0.5*(H216-J216)-I216)-6*(-(3*(K216+2*I216))/(5*I216*(3*K216+4*I216))))</f>
        <v>15.362001439167333</v>
      </c>
      <c r="Q216" s="92">
        <f>(O216+P216)/2</f>
        <v>14.994353000795401</v>
      </c>
      <c r="R216" s="92">
        <f>K216/N216</f>
        <v>3.3638176254279233</v>
      </c>
      <c r="S216" s="92">
        <f>(3*K216-2*N216)/(2*(3*K216+N216))</f>
        <v>0.36476072911896279</v>
      </c>
      <c r="T216" s="92">
        <f>9*N216*K216/(N216+3*K216)</f>
        <v>40.571781264311163</v>
      </c>
      <c r="U216" s="92">
        <f>SQRT((K216+4/3*N216)/G216)</f>
        <v>2.911397516672678</v>
      </c>
      <c r="V216" s="92">
        <f>SQRT(K216/G216)</f>
        <v>2.4637717383774098</v>
      </c>
      <c r="W216" s="92">
        <f>SQRT(N216/G216)</f>
        <v>1.3433347464222924</v>
      </c>
      <c r="X216" s="8">
        <f>SQRT((K216/N216) +4/3)</f>
        <v>2.1672911568963817</v>
      </c>
      <c r="Y216" s="8">
        <f>J216/H216</f>
        <v>0.73355263157894746</v>
      </c>
      <c r="Z216" s="8">
        <f>I216/H216</f>
        <v>0.36677631578947373</v>
      </c>
      <c r="AA216" s="93">
        <f>2*I216/(H216-J216)</f>
        <v>2.7530864197530871</v>
      </c>
      <c r="AB216" s="93">
        <f>5*M216/L216 +1 -6</f>
        <v>1.3395781431655873</v>
      </c>
      <c r="AC216" s="93">
        <f>SQRT(5)*LN(M216/L216)</f>
        <v>0.53078510415806635</v>
      </c>
      <c r="AD216" s="92">
        <f>100*(M216-L216)/(M216+L216)</f>
        <v>11.813297869224144</v>
      </c>
      <c r="AE216" s="92"/>
      <c r="AF216" s="91">
        <f>-(2*H216*I216-(H216-J216)*(H216+2*J216))/(2*H216*I216+(H216-J216)*(H216+2*J216))</f>
        <v>-5.4783650479998822E-2</v>
      </c>
      <c r="AG216" s="91">
        <f>(4*J216*I216)/(2*H216*I216+(H216-J216)*(H216+2*J216))</f>
        <v>0.77373932255605182</v>
      </c>
      <c r="AH216" s="91"/>
      <c r="AI216" s="90">
        <f>(H216+J216)/((H216-J216)*(H216+2*J216))</f>
        <v>4.3374485596707826E-2</v>
      </c>
      <c r="AJ216" s="90">
        <f>1/I216</f>
        <v>4.4843049327354258E-2</v>
      </c>
      <c r="AK216" s="90">
        <f>-J216/((H216-J216)*(H216+2*J216))</f>
        <v>-1.8353909465020579E-2</v>
      </c>
    </row>
    <row r="217" spans="1:37">
      <c r="A217" t="s">
        <v>1037</v>
      </c>
      <c r="B217" t="s">
        <v>1036</v>
      </c>
      <c r="C217" t="s">
        <v>1035</v>
      </c>
      <c r="D217" t="s">
        <v>986</v>
      </c>
      <c r="E217" s="57">
        <v>7</v>
      </c>
      <c r="F217" s="57" t="s">
        <v>1034</v>
      </c>
      <c r="G217" s="69">
        <v>5.27</v>
      </c>
      <c r="H217" s="95">
        <v>86.4</v>
      </c>
      <c r="I217" s="95">
        <v>40.200000000000003</v>
      </c>
      <c r="J217" s="95">
        <v>51.5</v>
      </c>
      <c r="K217" s="92">
        <f>(H217+2*J217)/3</f>
        <v>63.133333333333333</v>
      </c>
      <c r="L217" s="92">
        <f>(5*(H217-J217)*I217)/(4*I217 + 3*(H217-J217))</f>
        <v>26.421468926553679</v>
      </c>
      <c r="M217" s="92">
        <f>(H217-J217+3*I217)/5</f>
        <v>31.1</v>
      </c>
      <c r="N217" s="92">
        <f>0.5*(M217+L217)</f>
        <v>28.76073446327684</v>
      </c>
      <c r="O217" s="92">
        <f>0.5*(H217-J217)+3/(5/(I217-0.5*(H217-J217))-4*(-3*(K217+(H217-J217))/(5*0.5*(H217-J217)*(3*K217+2*(H217-J217)))))</f>
        <v>28.48759535065658</v>
      </c>
      <c r="P217" s="92">
        <f>I217+2/(5/(0.5*(H217-J217)-I217)-6*(-(3*(K217+2*I217))/(5*I217*(3*K217+4*I217))))</f>
        <v>29.275589896924732</v>
      </c>
      <c r="Q217" s="92">
        <f>(O217+P217)/2</f>
        <v>28.881592623790656</v>
      </c>
      <c r="R217" s="92">
        <f>K217/N217</f>
        <v>2.1951224303379724</v>
      </c>
      <c r="S217" s="92">
        <f>(3*K217-2*N217)/(2*(3*K217+N217))</f>
        <v>0.30225084133012381</v>
      </c>
      <c r="T217" s="92">
        <f>9*N217*K217/(N217+3*K217)</f>
        <v>74.907381304149098</v>
      </c>
      <c r="U217" s="92">
        <f>SQRT((K217+4/3*N217)/G217)</f>
        <v>4.3882061033391695</v>
      </c>
      <c r="V217" s="92">
        <f>SQRT(K217/G217)</f>
        <v>3.4611789387134846</v>
      </c>
      <c r="W217" s="92">
        <f>SQRT(N217/G217)</f>
        <v>2.3361174777163929</v>
      </c>
      <c r="X217" s="8">
        <f>SQRT((K217/N217) +4/3)</f>
        <v>1.8784184208187764</v>
      </c>
      <c r="Y217" s="8">
        <f>J217/H217</f>
        <v>0.59606481481481477</v>
      </c>
      <c r="Z217" s="8">
        <f>I217/H217</f>
        <v>0.46527777777777779</v>
      </c>
      <c r="AA217" s="93">
        <f>2*I217/(H217-J217)</f>
        <v>2.303724928366762</v>
      </c>
      <c r="AB217" s="93">
        <f>5*M217/L217 +1 -6</f>
        <v>0.88536543642817289</v>
      </c>
      <c r="AC217" s="93">
        <f>SQRT(5)*LN(M217/L217)</f>
        <v>0.36454822536749065</v>
      </c>
      <c r="AD217" s="92">
        <f>100*(M217-L217)/(M217+L217)</f>
        <v>8.1335389390352795</v>
      </c>
      <c r="AE217" s="92"/>
      <c r="AF217" s="91">
        <f>-(2*H217*I217-(H217-J217)*(H217+2*J217))/(2*H217*I217+(H217-J217)*(H217+2*J217))</f>
        <v>-2.4821821368453192E-2</v>
      </c>
      <c r="AG217" s="91">
        <f>(4*J217*I217)/(2*H217*I217+(H217-J217)*(H217+2*J217))</f>
        <v>0.6108602291721682</v>
      </c>
      <c r="AH217" s="91"/>
      <c r="AI217" s="90">
        <f>(H217+J217)/((H217-J217)*(H217+2*J217))</f>
        <v>2.086214043442873E-2</v>
      </c>
      <c r="AJ217" s="90">
        <f>1/I217</f>
        <v>2.4875621890547261E-2</v>
      </c>
      <c r="AK217" s="90">
        <f>-J217/((H217-J217)*(H217+2*J217))</f>
        <v>-7.7911546945110925E-3</v>
      </c>
    </row>
    <row r="218" spans="1:37">
      <c r="G218" s="69"/>
      <c r="H218" s="95"/>
      <c r="I218" s="95"/>
      <c r="J218" s="95"/>
      <c r="U218" s="92"/>
      <c r="V218" s="92"/>
      <c r="W218" s="92"/>
      <c r="X218" s="8"/>
      <c r="Y218" s="8"/>
      <c r="Z218" s="8"/>
      <c r="AA218" s="93"/>
      <c r="AB218" s="93"/>
      <c r="AC218" s="93"/>
      <c r="AD218" s="92"/>
      <c r="AE218" s="92"/>
      <c r="AF218" s="91"/>
      <c r="AG218" s="91"/>
      <c r="AH218" s="91"/>
      <c r="AI218" s="90"/>
      <c r="AJ218" s="90"/>
      <c r="AK218" s="90"/>
    </row>
    <row r="219" spans="1:37">
      <c r="A219" t="s">
        <v>1033</v>
      </c>
      <c r="B219" t="s">
        <v>1032</v>
      </c>
      <c r="C219" t="s">
        <v>1029</v>
      </c>
      <c r="D219" t="s">
        <v>1015</v>
      </c>
      <c r="E219" s="57">
        <v>7</v>
      </c>
      <c r="F219" s="57" t="s">
        <v>1028</v>
      </c>
      <c r="G219" s="91">
        <v>5.01</v>
      </c>
      <c r="H219" s="95">
        <v>366</v>
      </c>
      <c r="I219" s="95">
        <v>106</v>
      </c>
      <c r="J219" s="96">
        <v>35</v>
      </c>
      <c r="K219" s="92">
        <f>(H219+2*J219)/3</f>
        <v>145.33333333333334</v>
      </c>
      <c r="L219" s="92">
        <f>(5*(H219-J219)*I219)/(4*I219 + 3*(H219-J219))</f>
        <v>123.80381086803105</v>
      </c>
      <c r="M219" s="92">
        <f>(H219-J219+3*I219)/5</f>
        <v>129.80000000000001</v>
      </c>
      <c r="N219" s="92">
        <f>0.5*(M219+L219)</f>
        <v>126.80190543401554</v>
      </c>
      <c r="O219" s="92">
        <f>0.5*(H219-J219)+3/(5/(I219-0.5*(H219-J219))-4*(-3*(K219+(H219-J219))/(5*0.5*(H219-J219)*(3*K219+2*(H219-J219)))))</f>
        <v>126.91110913891521</v>
      </c>
      <c r="P219" s="92">
        <f>I219+2/(5/(0.5*(H219-J219)-I219)-6*(-(3*(K219+2*I219))/(5*I219*(3*K219+4*I219))))</f>
        <v>126.37799845512498</v>
      </c>
      <c r="Q219" s="92">
        <f>(O219+P219)/2</f>
        <v>126.64455379702009</v>
      </c>
      <c r="R219" s="92">
        <f>K219/N219</f>
        <v>1.146144711594741</v>
      </c>
      <c r="S219" s="92">
        <f>(3*K219-2*N219)/(2*(3*K219+N219))</f>
        <v>0.16204297406501367</v>
      </c>
      <c r="T219" s="92">
        <f>9*N219*K219/(N219+3*K219)</f>
        <v>294.69852661530808</v>
      </c>
      <c r="U219" s="92">
        <f>SQRT((K219+4/3*N219)/G219)</f>
        <v>7.921805231100957</v>
      </c>
      <c r="V219" s="92">
        <f>SQRT(K219/G219)</f>
        <v>5.3859678209149013</v>
      </c>
      <c r="W219" s="92">
        <f>SQRT(N219/G219)</f>
        <v>5.0308807940236226</v>
      </c>
      <c r="X219" s="8">
        <f>SQRT((K219/N219) +4/3)</f>
        <v>1.5746358451807434</v>
      </c>
      <c r="Y219" s="8">
        <f>J219/H219</f>
        <v>9.5628415300546443E-2</v>
      </c>
      <c r="Z219" s="8">
        <f>I219/H219</f>
        <v>0.2896174863387978</v>
      </c>
      <c r="AA219" s="93">
        <f>2*I219/(H219-J219)</f>
        <v>0.6404833836858006</v>
      </c>
      <c r="AB219" s="93">
        <f>5*M219/L219 +1 -6</f>
        <v>0.24216496608333848</v>
      </c>
      <c r="AC219" s="93">
        <f>SQRT(5)*LN(M219/L219)</f>
        <v>0.10575855142454919</v>
      </c>
      <c r="AD219" s="92">
        <f>100*(M219-L219)/(M219+L219)</f>
        <v>2.3643923612367259</v>
      </c>
      <c r="AE219" s="92"/>
      <c r="AF219" s="91">
        <f>-(2*H219*I219-(H219-J219)*(H219+2*J219))/(2*H219*I219+(H219-J219)*(H219+2*J219))</f>
        <v>0.30068316599671935</v>
      </c>
      <c r="AG219" s="91">
        <f>(4*J219*I219)/(2*H219*I219+(H219-J219)*(H219+2*J219))</f>
        <v>6.6874560628729027E-2</v>
      </c>
      <c r="AH219" s="91"/>
      <c r="AI219" s="90">
        <f>(H219+J219)/((H219-J219)*(H219+2*J219))</f>
        <v>2.7786246847196429E-3</v>
      </c>
      <c r="AJ219" s="90">
        <f>1/I219</f>
        <v>9.433962264150943E-3</v>
      </c>
      <c r="AK219" s="90">
        <f>-J219/((H219-J219)*(H219+2*J219))</f>
        <v>-2.4252335153413342E-4</v>
      </c>
    </row>
    <row r="220" spans="1:37">
      <c r="A220" t="s">
        <v>1031</v>
      </c>
      <c r="B220" t="s">
        <v>1030</v>
      </c>
      <c r="C220" t="s">
        <v>1029</v>
      </c>
      <c r="D220" t="s">
        <v>1015</v>
      </c>
      <c r="E220" s="57">
        <v>7</v>
      </c>
      <c r="F220" s="57" t="s">
        <v>1028</v>
      </c>
      <c r="G220" s="69">
        <v>3.5019999999999998</v>
      </c>
      <c r="H220" s="95">
        <v>111.6</v>
      </c>
      <c r="I220" s="95">
        <v>36.200000000000003</v>
      </c>
      <c r="J220" s="95">
        <v>38.6</v>
      </c>
      <c r="K220" s="92">
        <f>(H220+2*J220)/3</f>
        <v>62.933333333333337</v>
      </c>
      <c r="L220" s="92">
        <f>(5*(H220-J220)*I220)/(4*I220 + 3*(H220-J220))</f>
        <v>36.319406267179772</v>
      </c>
      <c r="M220" s="92">
        <f>(H220-J220+3*I220)/5</f>
        <v>36.320000000000007</v>
      </c>
      <c r="N220" s="92">
        <f>0.5*(M220+L220)</f>
        <v>36.31970313358989</v>
      </c>
      <c r="O220" s="92">
        <f>0.5*(H220-J220)+3/(5/(I220-0.5*(H220-J220))-4*(-3*(K220+(H220-J220))/(5*0.5*(H220-J220)*(3*K220+2*(H220-J220)))))</f>
        <v>36.319711212185709</v>
      </c>
      <c r="P220" s="92">
        <f>I220+2/(5/(0.5*(H220-J220)-I220)-6*(-(3*(K220+2*I220))/(5*I220*(3*K220+4*I220))))</f>
        <v>36.31971022882724</v>
      </c>
      <c r="Q220" s="92">
        <f>(O220+P220)/2</f>
        <v>36.319710720506478</v>
      </c>
      <c r="R220" s="92">
        <f>K220/N220</f>
        <v>1.7327601247690296</v>
      </c>
      <c r="S220" s="92">
        <f>(3*K220-2*N220)/(2*(3*K220+N220))</f>
        <v>0.25799739453256237</v>
      </c>
      <c r="T220" s="92">
        <f>9*N220*K220/(N220+3*K220)</f>
        <v>91.380183824504456</v>
      </c>
      <c r="U220" s="92">
        <f>SQRT((K220+4/3*N220)/G220)</f>
        <v>5.6390477022820242</v>
      </c>
      <c r="V220" s="92">
        <f>SQRT(K220/G220)</f>
        <v>4.2391842869824226</v>
      </c>
      <c r="W220" s="92">
        <f>SQRT(N220/G220)</f>
        <v>3.2204241455451386</v>
      </c>
      <c r="X220" s="8">
        <f>SQRT((K220/N220) +4/3)</f>
        <v>1.751026401315058</v>
      </c>
      <c r="Y220" s="8">
        <f>J220/H220</f>
        <v>0.34587813620071689</v>
      </c>
      <c r="Z220" s="8">
        <f>I220/H220</f>
        <v>0.32437275985663089</v>
      </c>
      <c r="AA220" s="93">
        <f>2*I220/(H220-J220)</f>
        <v>0.99178082191780825</v>
      </c>
      <c r="AB220" s="93">
        <f>5*M220/L220 +1 -6</f>
        <v>8.173768258590286E-5</v>
      </c>
      <c r="AC220" s="93">
        <f>SQRT(5)*LN(M220/L220)</f>
        <v>3.6553904134649331E-5</v>
      </c>
      <c r="AD220" s="92">
        <f>100*(M220-L220)/(M220+L220)</f>
        <v>8.1737014486483648E-4</v>
      </c>
      <c r="AE220" s="92"/>
      <c r="AF220" s="91">
        <f>-(2*H220*I220-(H220-J220)*(H220+2*J220))/(2*H220*I220+(H220-J220)*(H220+2*J220))</f>
        <v>0.26084060919649593</v>
      </c>
      <c r="AG220" s="91">
        <f>(4*J220*I220)/(2*H220*I220+(H220-J220)*(H220+2*J220))</f>
        <v>0.25565907244637331</v>
      </c>
      <c r="AH220" s="91"/>
      <c r="AI220" s="90">
        <f>(H220+J220)/((H220-J220)*(H220+2*J220))</f>
        <v>1.0897956814488042E-2</v>
      </c>
      <c r="AJ220" s="90">
        <f>1/I220</f>
        <v>2.7624309392265192E-2</v>
      </c>
      <c r="AK220" s="90">
        <f>-J220/((H220-J220)*(H220+2*J220))</f>
        <v>-2.8006733224982586E-3</v>
      </c>
    </row>
    <row r="221" spans="1:37">
      <c r="G221" s="69"/>
      <c r="H221" s="95"/>
      <c r="I221" s="95"/>
      <c r="J221" s="95"/>
      <c r="U221" s="92"/>
      <c r="V221" s="92"/>
      <c r="W221" s="92"/>
      <c r="X221" s="8"/>
      <c r="Y221" s="8"/>
      <c r="Z221" s="8"/>
      <c r="AA221" s="93"/>
      <c r="AB221" s="93"/>
      <c r="AC221" s="93"/>
      <c r="AD221" s="92"/>
      <c r="AE221" s="92"/>
      <c r="AF221" s="91"/>
      <c r="AG221" s="91"/>
      <c r="AH221" s="91"/>
      <c r="AI221" s="90"/>
      <c r="AJ221" s="90"/>
      <c r="AK221" s="90"/>
    </row>
    <row r="222" spans="1:37">
      <c r="A222" s="66" t="s">
        <v>1800</v>
      </c>
      <c r="B222" s="11" t="s">
        <v>1026</v>
      </c>
      <c r="C222" t="s">
        <v>1025</v>
      </c>
      <c r="D222" t="s">
        <v>990</v>
      </c>
      <c r="E222" s="57">
        <v>7</v>
      </c>
      <c r="F222" s="57" t="s">
        <v>1024</v>
      </c>
      <c r="G222" s="57">
        <v>4.08</v>
      </c>
      <c r="H222" s="98">
        <v>104.7</v>
      </c>
      <c r="I222" s="102">
        <v>39</v>
      </c>
      <c r="J222" s="98">
        <v>41.8</v>
      </c>
      <c r="K222" s="91">
        <f>(H222+2*J222)/3</f>
        <v>62.766666666666673</v>
      </c>
      <c r="L222" s="91">
        <f>(5*(H222-J222)*I222)/(4*I222 + 3*(H222-J222))</f>
        <v>35.58311575282854</v>
      </c>
      <c r="M222" s="91">
        <f>(H222-J222+3*I222)/5</f>
        <v>35.980000000000004</v>
      </c>
      <c r="N222" s="92">
        <f>0.5*(M222+L222)</f>
        <v>35.781557876414269</v>
      </c>
      <c r="O222" s="92">
        <f>0.5*(H222-J222)+3/(5/(I222-0.5*(H222-J222))-4*(-3*(K222+(H222-J222))/(5*0.5*(H222-J222)*(3*K222+2*(H222-J222)))))</f>
        <v>35.780361696368857</v>
      </c>
      <c r="P222" s="92">
        <f>I222+2/(5/(0.5*(H222-J222)-I222)-6*(-(3*(K222+2*I222))/(5*I222*(3*K222+4*I222))))</f>
        <v>35.797498255556704</v>
      </c>
      <c r="Q222" s="92">
        <f>(O222+P222)/2</f>
        <v>35.78892997596278</v>
      </c>
      <c r="R222" s="92">
        <f>K222/N222</f>
        <v>1.7541624901703869</v>
      </c>
      <c r="S222" s="92">
        <f>(3*K222-2*N222)/(2*(3*K222+N222))</f>
        <v>0.26047856270160868</v>
      </c>
      <c r="T222" s="92">
        <f>9*N222*K222/(N222+3*K222)</f>
        <v>90.203773286574162</v>
      </c>
      <c r="U222" s="92">
        <f>SQRT((K222+4/3*N222)/G222)</f>
        <v>5.2035859266048661</v>
      </c>
      <c r="V222" s="92">
        <f>SQRT(K222/G222)</f>
        <v>3.9222425891452173</v>
      </c>
      <c r="W222" s="92">
        <f>SQRT(N222/G222)</f>
        <v>2.9614168358391786</v>
      </c>
      <c r="X222" s="8">
        <f>SQRT((K222/N222) +4/3)</f>
        <v>1.7571271506364359</v>
      </c>
      <c r="Y222" s="33">
        <f>J222/H222</f>
        <v>0.3992359121298949</v>
      </c>
      <c r="Z222" s="33">
        <f>I222/H222</f>
        <v>0.37249283667621774</v>
      </c>
      <c r="AA222" s="90">
        <f>2*I222/(H222-J222)</f>
        <v>1.2400635930047694</v>
      </c>
      <c r="AB222" s="90">
        <f>5*M222/L222 +1 -6</f>
        <v>5.5768619298032895E-2</v>
      </c>
      <c r="AC222" s="93">
        <f>SQRT(5)*LN(M222/L222)</f>
        <v>2.4802420782098884E-2</v>
      </c>
      <c r="AD222" s="92">
        <f>100*(M222-L222)/(M222+L222)</f>
        <v>0.5545933027039518</v>
      </c>
      <c r="AE222" s="92"/>
      <c r="AF222" s="91">
        <f>-(2*H222*I222-(H222-J222)*(H222+2*J222))/(2*H222*I222+(H222-J222)*(H222+2*J222))</f>
        <v>0.18377545579433377</v>
      </c>
      <c r="AG222" s="91">
        <f>(4*J222*I222)/(2*H222*I222+(H222-J222)*(H222+2*J222))</f>
        <v>0.32586615040875688</v>
      </c>
      <c r="AH222" s="91"/>
      <c r="AI222" s="90">
        <f>(H222+J222)/((H222-J222)*(H222+2*J222))</f>
        <v>1.2369058946797847E-2</v>
      </c>
      <c r="AJ222" s="90">
        <f>1/I222</f>
        <v>2.564102564102564E-2</v>
      </c>
      <c r="AK222" s="90">
        <f>-J222/((H222-J222)*(H222+2*J222))</f>
        <v>-3.5291922455709898E-3</v>
      </c>
    </row>
    <row r="223" spans="1:37">
      <c r="A223" s="66"/>
      <c r="B223" s="11"/>
      <c r="H223" s="98"/>
      <c r="I223" s="102"/>
      <c r="J223" s="98"/>
      <c r="K223" s="91"/>
      <c r="L223" s="91"/>
      <c r="M223" s="91"/>
      <c r="U223" s="92"/>
      <c r="V223" s="92"/>
      <c r="W223" s="92"/>
      <c r="X223" s="8"/>
      <c r="Y223" s="33"/>
      <c r="Z223" s="33"/>
      <c r="AA223" s="90"/>
      <c r="AB223" s="90"/>
      <c r="AC223" s="93"/>
      <c r="AD223" s="92"/>
      <c r="AE223" s="92"/>
      <c r="AF223" s="91"/>
      <c r="AG223" s="91"/>
      <c r="AH223" s="91"/>
      <c r="AI223" s="90"/>
      <c r="AJ223" s="90"/>
      <c r="AK223" s="90"/>
    </row>
    <row r="224" spans="1:37" ht="12.75" customHeight="1">
      <c r="A224" s="38" t="s">
        <v>1023</v>
      </c>
      <c r="H224" s="101"/>
      <c r="I224" s="101"/>
      <c r="J224" s="101"/>
      <c r="U224" s="92"/>
      <c r="V224" s="92"/>
      <c r="W224" s="92"/>
      <c r="X224" s="8"/>
      <c r="Y224" s="8"/>
      <c r="Z224" s="8"/>
      <c r="AA224" s="93"/>
      <c r="AB224" s="93"/>
      <c r="AC224" s="93"/>
      <c r="AD224" s="92"/>
      <c r="AE224" s="92"/>
      <c r="AF224" s="91"/>
      <c r="AG224" s="91"/>
      <c r="AH224" s="91"/>
      <c r="AI224" s="90"/>
      <c r="AJ224" s="90"/>
      <c r="AK224" s="90"/>
    </row>
    <row r="225" spans="1:37" ht="12.75" customHeight="1">
      <c r="A225" t="s">
        <v>1022</v>
      </c>
      <c r="B225" t="s">
        <v>1021</v>
      </c>
      <c r="C225" t="s">
        <v>524</v>
      </c>
      <c r="D225" t="s">
        <v>1015</v>
      </c>
      <c r="E225" s="57">
        <v>7</v>
      </c>
      <c r="F225" s="57" t="s">
        <v>1020</v>
      </c>
      <c r="G225" s="57">
        <v>3.25</v>
      </c>
      <c r="H225" s="95">
        <v>29.3</v>
      </c>
      <c r="I225" s="95">
        <v>12.8</v>
      </c>
      <c r="J225" s="95">
        <v>20.6</v>
      </c>
      <c r="K225" s="92">
        <f>(H225+2*J225)/3</f>
        <v>23.5</v>
      </c>
      <c r="L225" s="92">
        <f>(5*(H225-J225)*I225)/(4*I225 + 3*(H225-J225))</f>
        <v>7.2031047865459259</v>
      </c>
      <c r="M225" s="92">
        <f>(H225-J225+3*I225)/5</f>
        <v>9.4200000000000017</v>
      </c>
      <c r="N225" s="92">
        <f>0.5*(M225+L225)</f>
        <v>8.3115523932729634</v>
      </c>
      <c r="O225" s="92">
        <f>0.5*(H225-J225)+3/(5/(I225-0.5*(H225-J225))-4*(-3*(K225+(H225-J225))/(5*0.5*(H225-J225)*(3*K225+2*(H225-J225)))))</f>
        <v>8.129163211286782</v>
      </c>
      <c r="P225" s="92">
        <f>I225+2/(5/(0.5*(H225-J225)-I225)-6*(-(3*(K225+2*I225))/(5*I225*(3*K225+4*I225))))</f>
        <v>8.6180461299108622</v>
      </c>
      <c r="Q225" s="92">
        <f>(O225+P225)/2</f>
        <v>8.373604670598823</v>
      </c>
      <c r="R225" s="92">
        <f>K225/N225</f>
        <v>2.8273899854159561</v>
      </c>
      <c r="S225" s="92">
        <f>(3*K225-2*N225)/(2*(3*K225+N225))</f>
        <v>0.34180836170188672</v>
      </c>
      <c r="T225" s="92">
        <f>9*N225*K225/(N225+3*K225)</f>
        <v>22.305021000033978</v>
      </c>
      <c r="U225" s="92">
        <f>SQRT((K225+4/3*N225)/G225)</f>
        <v>3.2619989085362171</v>
      </c>
      <c r="V225" s="92">
        <f>SQRT(K225/G225)</f>
        <v>2.6890089681459286</v>
      </c>
      <c r="W225" s="92">
        <f>SQRT(N225/G225)</f>
        <v>1.5991875238356761</v>
      </c>
      <c r="X225" s="8">
        <f>SQRT((K225/N225) +4/3)</f>
        <v>2.0397851158269806</v>
      </c>
      <c r="Y225" s="8">
        <f>J225/H225</f>
        <v>0.70307167235494883</v>
      </c>
      <c r="Z225" s="8">
        <f>I225/H225</f>
        <v>0.43686006825938567</v>
      </c>
      <c r="AA225" s="93">
        <f>2*I225/(H225-J225)</f>
        <v>2.9425287356321843</v>
      </c>
      <c r="AB225" s="93">
        <f>5*M225/L225 +1 -6</f>
        <v>1.5388469827586206</v>
      </c>
      <c r="AC225" s="93">
        <f>SQRT(5)*LN(M225/L225)</f>
        <v>0.59998832294324433</v>
      </c>
      <c r="AD225" s="92">
        <f>100*(M225-L225)/(M225+L225)</f>
        <v>13.336228351567282</v>
      </c>
      <c r="AE225" s="92"/>
      <c r="AF225" s="91">
        <f>-(2*H225*I225-(H225-J225)*(H225+2*J225))/(2*H225*I225+(H225-J225)*(H225+2*J225))</f>
        <v>-0.10028384295490061</v>
      </c>
      <c r="AG225" s="91">
        <f>(4*J225*I225)/(2*H225*I225+(H225-J225)*(H225+2*J225))</f>
        <v>0.77357840153143187</v>
      </c>
      <c r="AH225" s="91"/>
      <c r="AI225" s="90">
        <f>(H225+J225)/((H225-J225)*(H225+2*J225))</f>
        <v>8.1356484878128327E-2</v>
      </c>
      <c r="AJ225" s="90">
        <f>1/I225</f>
        <v>7.8125E-2</v>
      </c>
      <c r="AK225" s="90">
        <f>-J225/((H225-J225)*(H225+2*J225))</f>
        <v>-3.3586043857503876E-2</v>
      </c>
    </row>
    <row r="226" spans="1:37" ht="12.75" customHeight="1">
      <c r="A226" t="s">
        <v>1797</v>
      </c>
      <c r="B226" t="s">
        <v>1018</v>
      </c>
      <c r="C226" t="s">
        <v>524</v>
      </c>
      <c r="D226" t="s">
        <v>1015</v>
      </c>
      <c r="E226" s="57">
        <v>7</v>
      </c>
      <c r="F226" s="57">
        <v>5</v>
      </c>
      <c r="G226" s="57">
        <v>2.99</v>
      </c>
      <c r="H226" s="95">
        <v>42.88</v>
      </c>
      <c r="I226" s="95">
        <v>15.8</v>
      </c>
      <c r="J226" s="95">
        <v>29.5</v>
      </c>
      <c r="K226" s="92">
        <f>(H226+2*J226)/3</f>
        <v>33.96</v>
      </c>
      <c r="L226" s="92">
        <f>(5*(H226-J226)*I226)/(4*I226 + 3*(H226-J226))</f>
        <v>10.228565898974262</v>
      </c>
      <c r="M226" s="92">
        <f>(H226-J226+3*I226)/5</f>
        <v>12.156000000000002</v>
      </c>
      <c r="N226" s="92">
        <f>0.5*(M226+L226)</f>
        <v>11.192282949487133</v>
      </c>
      <c r="O226" s="92">
        <f>0.5*(H226-J226)+3/(5/(I226-0.5*(H226-J226))-4*(-3*(K226+(H226-J226))/(5*0.5*(H226-J226)*(3*K226+2*(H226-J226)))))</f>
        <v>11.096148834401275</v>
      </c>
      <c r="P226" s="92">
        <f>I226+2/(5/(0.5*(H226-J226)-I226)-6*(-(3*(K226+2*I226))/(5*I226*(3*K226+4*I226))))</f>
        <v>11.436614152215963</v>
      </c>
      <c r="Q226" s="92">
        <f>(O226+P226)/2</f>
        <v>11.266381493308618</v>
      </c>
      <c r="R226" s="92">
        <f>K226/N226</f>
        <v>3.0342335118999255</v>
      </c>
      <c r="S226" s="92">
        <f>(3*K226-2*N226)/(2*(3*K226+N226))</f>
        <v>0.35152484776724097</v>
      </c>
      <c r="T226" s="92">
        <f>9*N226*K226/(N226+3*K226)</f>
        <v>30.253297018946974</v>
      </c>
      <c r="U226" s="92">
        <f>SQRT((K226+4/3*N226)/G226)</f>
        <v>4.0433703917192574</v>
      </c>
      <c r="V226" s="92">
        <f>SQRT(K226/G226)</f>
        <v>3.3701423607575651</v>
      </c>
      <c r="W226" s="92">
        <f>SQRT(N226/G226)</f>
        <v>1.93474505934103</v>
      </c>
      <c r="X226" s="8">
        <f>SQRT((K226/N226) +4/3)</f>
        <v>2.0898724471204595</v>
      </c>
      <c r="Y226" s="8">
        <f>J226/H226</f>
        <v>0.68796641791044777</v>
      </c>
      <c r="Z226" s="8">
        <f>I226/H226</f>
        <v>0.36847014925373134</v>
      </c>
      <c r="AA226" s="93">
        <f>2*I226/(H226-J226)</f>
        <v>2.3617339312406576</v>
      </c>
      <c r="AB226" s="93">
        <f>5*M226/L226 +1 -6</f>
        <v>0.9421819833115741</v>
      </c>
      <c r="AC226" s="93">
        <f>SQRT(5)*LN(M226/L226)</f>
        <v>0.38603140084210069</v>
      </c>
      <c r="AD226" s="92">
        <f>100*(M226-L226)/(M226+L226)</f>
        <v>8.6105493835556661</v>
      </c>
      <c r="AE226" s="92"/>
      <c r="AF226" s="91">
        <f>-(2*H226*I226-(H226-J226)*(H226+2*J226))/(2*H226*I226+(H226-J226)*(H226+2*J226))</f>
        <v>2.9970247546651681E-3</v>
      </c>
      <c r="AG226" s="91">
        <f>(4*J226*I226)/(2*H226*I226+(H226-J226)*(H226+2*J226))</f>
        <v>0.68590456552559187</v>
      </c>
      <c r="AH226" s="91"/>
      <c r="AI226" s="90">
        <f>(H226+J226)/((H226-J226)*(H226+2*J226))</f>
        <v>5.3097433423535872E-2</v>
      </c>
      <c r="AJ226" s="90">
        <f>1/I226</f>
        <v>6.3291139240506319E-2</v>
      </c>
      <c r="AK226" s="90">
        <f>-J226/((H226-J226)*(H226+2*J226))</f>
        <v>-2.164098212205455E-2</v>
      </c>
    </row>
    <row r="227" spans="1:37" ht="12.75" customHeight="1">
      <c r="A227" t="s">
        <v>1796</v>
      </c>
      <c r="B227" t="s">
        <v>1016</v>
      </c>
      <c r="C227" t="s">
        <v>524</v>
      </c>
      <c r="D227" t="s">
        <v>1015</v>
      </c>
      <c r="E227" s="57">
        <v>7</v>
      </c>
      <c r="F227" s="57">
        <v>5</v>
      </c>
      <c r="G227" s="57">
        <v>4.53</v>
      </c>
      <c r="H227" s="95">
        <v>37.4</v>
      </c>
      <c r="I227" s="95">
        <v>13.4</v>
      </c>
      <c r="J227" s="95">
        <v>27.7</v>
      </c>
      <c r="K227" s="92">
        <f>(H227+2*J227)/3</f>
        <v>30.933333333333334</v>
      </c>
      <c r="L227" s="92">
        <f>(5*(H227-J227)*I227)/(4*I227 + 3*(H227-J227))</f>
        <v>7.8585247883917768</v>
      </c>
      <c r="M227" s="92">
        <f>(H227-J227+3*I227)/5</f>
        <v>9.98</v>
      </c>
      <c r="N227" s="92">
        <f>0.5*(M227+L227)</f>
        <v>8.9192623941958882</v>
      </c>
      <c r="O227" s="92">
        <f>0.5*(H227-J227)+3/(5/(I227-0.5*(H227-J227))-4*(-3*(K227+(H227-J227))/(5*0.5*(H227-J227)*(3*K227+2*(H227-J227)))))</f>
        <v>8.7766808846788109</v>
      </c>
      <c r="P227" s="92">
        <f>I227+2/(5/(0.5*(H227-J227)-I227)-6*(-(3*(K227+2*I227))/(5*I227*(3*K227+4*I227))))</f>
        <v>9.2233235820556558</v>
      </c>
      <c r="Q227" s="92">
        <f>(O227+P227)/2</f>
        <v>9.0000022333672334</v>
      </c>
      <c r="R227" s="92">
        <f>K227/N227</f>
        <v>3.4681492668567371</v>
      </c>
      <c r="S227" s="92">
        <f>(3*K227-2*N227)/(2*(3*K227+N227))</f>
        <v>0.36847236918169757</v>
      </c>
      <c r="T227" s="92">
        <f>9*N227*K227/(N227+3*K227)</f>
        <v>24.411528279876933</v>
      </c>
      <c r="U227" s="92">
        <f>SQRT((K227+4/3*N227)/G227)</f>
        <v>3.074702131780354</v>
      </c>
      <c r="V227" s="92">
        <f>SQRT(K227/G227)</f>
        <v>2.6131495182460083</v>
      </c>
      <c r="W227" s="92">
        <f>SQRT(N227/G227)</f>
        <v>1.4031864080901659</v>
      </c>
      <c r="X227" s="8">
        <f>SQRT((K227/N227) +4/3)</f>
        <v>2.1912285595505709</v>
      </c>
      <c r="Y227" s="8">
        <f>J227/H227</f>
        <v>0.74064171122994649</v>
      </c>
      <c r="Z227" s="8">
        <f>I227/H227</f>
        <v>0.35828877005347598</v>
      </c>
      <c r="AA227" s="93">
        <f>2*I227/(H227-J227)</f>
        <v>2.7628865979381447</v>
      </c>
      <c r="AB227" s="93">
        <f>5*M227/L227 +1 -6</f>
        <v>1.34979227573473</v>
      </c>
      <c r="AC227" s="93">
        <f>SQRT(5)*LN(M227/L227)</f>
        <v>0.53438488869182343</v>
      </c>
      <c r="AD227" s="92">
        <f>100*(M227-L227)/(M227+L227)</f>
        <v>11.892660613890842</v>
      </c>
      <c r="AE227" s="92"/>
      <c r="AF227" s="91">
        <f>-(2*H227*I227-(H227-J227)*(H227+2*J227))/(2*H227*I227+(H227-J227)*(H227+2*J227))</f>
        <v>-5.3698330600058922E-2</v>
      </c>
      <c r="AG227" s="91">
        <f>(4*J227*I227)/(2*H227*I227+(H227-J227)*(H227+2*J227))</f>
        <v>0.78041293469576567</v>
      </c>
      <c r="AH227" s="91"/>
      <c r="AI227" s="90">
        <f>(H227+J227)/((H227-J227)*(H227+2*J227))</f>
        <v>7.2320476359758273E-2</v>
      </c>
      <c r="AJ227" s="90">
        <f>1/I227</f>
        <v>7.4626865671641784E-2</v>
      </c>
      <c r="AK227" s="90">
        <f>-J227/((H227-J227)*(H227+2*J227))</f>
        <v>-3.0772307145396378E-2</v>
      </c>
    </row>
    <row r="228" spans="1:37" ht="12.75" customHeight="1">
      <c r="H228" s="95"/>
      <c r="I228" s="95"/>
      <c r="J228" s="95"/>
      <c r="U228" s="92"/>
      <c r="V228" s="92"/>
      <c r="W228" s="92"/>
      <c r="X228" s="8"/>
      <c r="Y228" s="8"/>
      <c r="Z228" s="8"/>
      <c r="AA228" s="93"/>
      <c r="AB228" s="93"/>
      <c r="AC228" s="93"/>
      <c r="AD228" s="92"/>
      <c r="AE228" s="92"/>
      <c r="AF228" s="91"/>
      <c r="AG228" s="91"/>
      <c r="AH228" s="91"/>
      <c r="AI228" s="90"/>
      <c r="AJ228" s="90"/>
      <c r="AK228" s="90"/>
    </row>
    <row r="229" spans="1:37">
      <c r="A229" s="38" t="s">
        <v>1014</v>
      </c>
      <c r="H229" s="95"/>
      <c r="I229" s="95"/>
      <c r="J229" s="95"/>
      <c r="U229" s="92"/>
      <c r="V229" s="92"/>
      <c r="W229" s="92"/>
      <c r="X229" s="8"/>
      <c r="Y229" s="8"/>
      <c r="Z229" s="8"/>
      <c r="AA229" s="93"/>
      <c r="AB229" s="93"/>
      <c r="AC229" s="93"/>
      <c r="AD229" s="92"/>
      <c r="AE229" s="92"/>
      <c r="AF229" s="91"/>
      <c r="AG229" s="91"/>
      <c r="AH229" s="91"/>
      <c r="AI229" s="90"/>
      <c r="AJ229" s="90"/>
      <c r="AK229" s="90"/>
    </row>
    <row r="230" spans="1:37">
      <c r="A230" s="66" t="s">
        <v>1799</v>
      </c>
      <c r="B230" t="s">
        <v>1012</v>
      </c>
      <c r="C230" t="s">
        <v>1007</v>
      </c>
      <c r="D230" t="s">
        <v>996</v>
      </c>
      <c r="E230" s="57">
        <v>7</v>
      </c>
      <c r="F230" s="57" t="s">
        <v>1009</v>
      </c>
      <c r="G230" s="69">
        <v>14.65</v>
      </c>
      <c r="H230" s="98">
        <v>621</v>
      </c>
      <c r="I230" s="98">
        <v>166.8</v>
      </c>
      <c r="J230" s="98">
        <v>155.30000000000001</v>
      </c>
      <c r="K230" s="92">
        <f>(H230+2*J230)/3</f>
        <v>310.53333333333336</v>
      </c>
      <c r="L230" s="92">
        <f>(5*(H230-J230)*I230)/(4*I230 + 3*(H230-J230))</f>
        <v>188.14794361284697</v>
      </c>
      <c r="M230" s="92">
        <f>(H230-J230+3*I230)/5</f>
        <v>193.22</v>
      </c>
      <c r="N230" s="92">
        <f>0.5*(M230+L230)</f>
        <v>190.68397180642347</v>
      </c>
      <c r="O230" s="92">
        <f>0.5*(H230-J230)+3/(5/(I230-0.5*(H230-J230))-4*(-3*(K230+(H230-J230))/(5*0.5*(H230-J230)*(3*K230+2*(H230-J230)))))</f>
        <v>190.83655261433901</v>
      </c>
      <c r="P230" s="92">
        <f>I230+2/(5/(0.5*(H230-J230)-I230)-6*(-(3*(K230+2*I230))/(5*I230*(3*K230+4*I230))))</f>
        <v>190.49791858905638</v>
      </c>
      <c r="Q230" s="92">
        <f>(O230+P230)/2</f>
        <v>190.66723560169771</v>
      </c>
      <c r="R230" s="92">
        <f>K230/N230</f>
        <v>1.6285235218856113</v>
      </c>
      <c r="S230" s="91">
        <f>(3*K230-2*N230)/(2*(3*K230+N230))</f>
        <v>0.24513940776571103</v>
      </c>
      <c r="T230" s="92">
        <f>9*N230*K230/(N230+3*K230)</f>
        <v>474.85625545092734</v>
      </c>
      <c r="U230" s="92">
        <f>SQRT((K230+4/3*N230)/G230)</f>
        <v>6.2089807744665277</v>
      </c>
      <c r="V230" s="92">
        <f>SQRT(K230/G230)</f>
        <v>4.603999843831696</v>
      </c>
      <c r="W230" s="92">
        <f>SQRT(N230/G230)</f>
        <v>3.6077653432241847</v>
      </c>
      <c r="X230" s="8">
        <f>SQRT((K230/N230) +4/3)</f>
        <v>1.7210046063909721</v>
      </c>
      <c r="Y230" s="8">
        <f>J230/H230</f>
        <v>0.25008051529790665</v>
      </c>
      <c r="Z230" s="8">
        <f>I230/H230</f>
        <v>0.26859903381642514</v>
      </c>
      <c r="AA230" s="93">
        <f>2*I230/(H230-J230)</f>
        <v>0.71634099205497104</v>
      </c>
      <c r="AB230" s="93">
        <f>5*M230/L230 +1 -6</f>
        <v>0.13478904658107282</v>
      </c>
      <c r="AC230" s="93">
        <f>SQRT(5)*LN(M230/L230)</f>
        <v>5.9481305770883244E-2</v>
      </c>
      <c r="AD230" s="92">
        <f>100*(M230-L230)/(M230+L230)</f>
        <v>1.3299640077515331</v>
      </c>
      <c r="AE230" s="92"/>
      <c r="AF230" s="91">
        <f>-(2*H230*I230-(H230-J230)*(H230+2*J230))/(2*H230*I230+(H230-J230)*(H230+2*J230))</f>
        <v>0.35362929089658457</v>
      </c>
      <c r="AG230" s="91">
        <f>(4*J230*I230)/(2*H230*I230+(H230-J230)*(H230+2*J230))</f>
        <v>0.16164472000605545</v>
      </c>
      <c r="AH230" s="91"/>
      <c r="AI230" s="90">
        <f>(H230+J230)/((H230-J230)*(H230+2*J230))</f>
        <v>1.7893441112254271E-3</v>
      </c>
      <c r="AJ230" s="90">
        <f>1/I230</f>
        <v>5.9952038369304557E-3</v>
      </c>
      <c r="AK230" s="90">
        <f>-J230/((H230-J230)*(H230+2*J230))</f>
        <v>-3.5796102083383852E-4</v>
      </c>
    </row>
    <row r="231" spans="1:37">
      <c r="A231" s="11" t="s">
        <v>1011</v>
      </c>
      <c r="B231" t="s">
        <v>1010</v>
      </c>
      <c r="C231" t="s">
        <v>1007</v>
      </c>
      <c r="D231" t="s">
        <v>996</v>
      </c>
      <c r="E231" s="57">
        <v>7</v>
      </c>
      <c r="F231" s="57" t="s">
        <v>1009</v>
      </c>
      <c r="G231" s="69">
        <v>7.7249999999999996</v>
      </c>
      <c r="H231" s="95">
        <v>566.4</v>
      </c>
      <c r="I231" s="95">
        <v>153.1</v>
      </c>
      <c r="J231" s="95">
        <v>116.9</v>
      </c>
      <c r="K231" s="92">
        <f>(H231+2*J231)/3</f>
        <v>266.73333333333335</v>
      </c>
      <c r="L231" s="92">
        <f>(5*(H231-J231)*I231)/(4*I231 + 3*(H231-J231))</f>
        <v>175.47669437503185</v>
      </c>
      <c r="M231" s="92">
        <f>(H231-J231+3*I231)/5</f>
        <v>181.76</v>
      </c>
      <c r="N231" s="92">
        <f>0.5*(M231+L231)</f>
        <v>178.61834718751592</v>
      </c>
      <c r="O231" s="92">
        <f>0.5*(H231-J231)+3/(5/(I231-0.5*(H231-J231))-4*(-3*(K231+(H231-J231))/(5*0.5*(H231-J231)*(3*K231+2*(H231-J231)))))</f>
        <v>178.79590601883237</v>
      </c>
      <c r="P231" s="92">
        <f>I231+2/(5/(0.5*(H231-J231)-I231)-6*(-(3*(K231+2*I231))/(5*I231*(3*K231+4*I231))))</f>
        <v>178.31410565628084</v>
      </c>
      <c r="Q231" s="92">
        <f>(O231+P231)/2</f>
        <v>178.55500583755662</v>
      </c>
      <c r="R231" s="92">
        <f>K231/N231</f>
        <v>1.4933143069189478</v>
      </c>
      <c r="S231" s="91">
        <f>(3*K231-2*N231)/(2*(3*K231+N231))</f>
        <v>0.22627452116000643</v>
      </c>
      <c r="T231" s="92">
        <f>9*N231*K231/(N231+3*K231)</f>
        <v>438.0702563355257</v>
      </c>
      <c r="U231" s="92">
        <f>SQRT((K231+4/3*N231)/G231)</f>
        <v>8.0844341191558655</v>
      </c>
      <c r="V231" s="92">
        <f>SQRT(K231/G231)</f>
        <v>5.8761030317095742</v>
      </c>
      <c r="W231" s="92">
        <f>SQRT(N231/G231)</f>
        <v>4.8085461566651055</v>
      </c>
      <c r="X231" s="8">
        <f>SQRT((K231/N231) +4/3)</f>
        <v>1.6812637033649067</v>
      </c>
      <c r="Y231" s="100" t="s">
        <v>616</v>
      </c>
      <c r="Z231" s="8">
        <f>I231/H231</f>
        <v>0.27030367231638419</v>
      </c>
      <c r="AA231" s="93">
        <f>2*I231/(H231-J231)</f>
        <v>0.68120133481646272</v>
      </c>
      <c r="AB231" s="93">
        <f>5*M231/L231 +1 -6</f>
        <v>0.17903533136825978</v>
      </c>
      <c r="AC231" s="93">
        <f>SQRT(5)*LN(M231/L231)</f>
        <v>7.8666877265916368E-2</v>
      </c>
      <c r="AD231" s="92">
        <f>100*(M231-L231)/(M231+L231)</f>
        <v>1.758863443734545</v>
      </c>
      <c r="AE231" s="92"/>
      <c r="AF231" s="91">
        <f>-(2*H231*I231-(H231-J231)*(H231+2*J231))/(2*H231*I231+(H231-J231)*(H231+2*J231))</f>
        <v>0.34937287663350636</v>
      </c>
      <c r="AG231" s="91">
        <f>(4*J231*I231)/(2*H231*I231+(H231-J231)*(H231+2*J231))</f>
        <v>0.13428374068069049</v>
      </c>
      <c r="AH231" s="91"/>
      <c r="AI231" s="90">
        <f>(H231+J231)/((H231-J231)*(H231+2*J231))</f>
        <v>1.899691929075573E-3</v>
      </c>
      <c r="AJ231" s="90">
        <f>1/I231</f>
        <v>6.5316786414108428E-3</v>
      </c>
      <c r="AK231" s="90">
        <f>-J231/((H231-J231)*(H231+2*J231))</f>
        <v>-3.2500217548504974E-4</v>
      </c>
    </row>
    <row r="232" spans="1:37">
      <c r="A232" s="11"/>
      <c r="G232" s="69"/>
      <c r="H232" s="95"/>
      <c r="I232" s="95"/>
      <c r="J232" s="95"/>
      <c r="S232" s="91"/>
      <c r="U232" s="92"/>
      <c r="V232" s="92"/>
      <c r="W232" s="92"/>
      <c r="X232" s="8"/>
      <c r="Y232" s="8"/>
      <c r="Z232" s="8"/>
      <c r="AA232" s="93"/>
      <c r="AB232" s="93"/>
      <c r="AC232" s="93"/>
      <c r="AD232" s="92"/>
      <c r="AE232" s="92"/>
      <c r="AF232" s="91"/>
      <c r="AG232" s="91"/>
      <c r="AH232" s="91"/>
      <c r="AI232" s="90"/>
      <c r="AJ232" s="90"/>
      <c r="AK232" s="90"/>
    </row>
    <row r="233" spans="1:37">
      <c r="A233" t="s">
        <v>1008</v>
      </c>
      <c r="B233" t="s">
        <v>914</v>
      </c>
      <c r="C233" t="s">
        <v>1007</v>
      </c>
      <c r="D233" t="s">
        <v>986</v>
      </c>
      <c r="E233" s="57">
        <v>7</v>
      </c>
      <c r="F233" s="57" t="s">
        <v>1006</v>
      </c>
      <c r="G233" s="69">
        <v>3.2090000000000001</v>
      </c>
      <c r="H233" s="95">
        <v>399</v>
      </c>
      <c r="I233" s="95">
        <v>251</v>
      </c>
      <c r="J233" s="95">
        <v>133</v>
      </c>
      <c r="K233" s="92">
        <f>(H233+2*J233)/3</f>
        <v>221.66666666666666</v>
      </c>
      <c r="L233" s="92">
        <f>(5*(H233-J233)*I233)/(4*I233 + 3*(H233-J233))</f>
        <v>185.2552719200888</v>
      </c>
      <c r="M233" s="92">
        <f>(H233-J233+3*I233)/5</f>
        <v>203.8</v>
      </c>
      <c r="N233" s="92">
        <f>0.5*(M233+L233)</f>
        <v>194.52763596004439</v>
      </c>
      <c r="O233" s="92">
        <f>0.5*(H233-J233)+3/(5/(I233-0.5*(H233-J233))-4*(-3*(K233+(H233-J233))/(5*0.5*(H233-J233)*(3*K233+2*(H233-J233)))))</f>
        <v>193.3323176808953</v>
      </c>
      <c r="P233" s="92">
        <f>I233+2/(5/(0.5*(H233-J233)-I233)-6*(-(3*(K233+2*I233))/(5*I233*(3*K233+4*I233))))</f>
        <v>195.68111407157662</v>
      </c>
      <c r="Q233" s="92">
        <f>(O233+P233)/2</f>
        <v>194.50671587623594</v>
      </c>
      <c r="R233" s="92">
        <f>K233/N233</f>
        <v>1.1395124686149816</v>
      </c>
      <c r="S233" s="91">
        <f>(3*K233-2*N233)/(2*(3*K233+N233))</f>
        <v>0.16052114937043088</v>
      </c>
      <c r="T233" s="92">
        <f>9*N233*K233/(N233+3*K233)</f>
        <v>451.50687133732697</v>
      </c>
      <c r="U233" s="92">
        <f>SQRT((K233+4/3*N233)/G233)</f>
        <v>12.243464152058095</v>
      </c>
      <c r="V233" s="92">
        <f>SQRT(K233/G233)</f>
        <v>8.3112306863021619</v>
      </c>
      <c r="W233" s="92">
        <f>SQRT(N233/G233)</f>
        <v>7.7858457595402379</v>
      </c>
      <c r="X233" s="8">
        <f>SQRT((K233/N233) +4/3)</f>
        <v>1.5725284741295831</v>
      </c>
      <c r="Y233" s="8">
        <f>J233/H233</f>
        <v>0.33333333333333331</v>
      </c>
      <c r="Z233" s="8">
        <f>I233/H233</f>
        <v>0.62907268170426067</v>
      </c>
      <c r="AA233" s="93">
        <f>2*I233/(H233-J233)</f>
        <v>1.887218045112782</v>
      </c>
      <c r="AB233" s="93">
        <f>5*M233/L233 +1 -6</f>
        <v>0.50051822784051758</v>
      </c>
      <c r="AC233" s="93">
        <f>SQRT(5)*LN(M233/L233)</f>
        <v>0.21333072064293548</v>
      </c>
      <c r="AD233" s="92">
        <f>100*(M233-L233)/(M233+L233)</f>
        <v>4.7666050092029755</v>
      </c>
      <c r="AE233" s="92"/>
      <c r="AF233" s="91">
        <f>-(2*H233*I233-(H233-J233)*(H233+2*J233))/(2*H233*I233+(H233-J233)*(H233+2*J233))</f>
        <v>-6.2059238363892807E-2</v>
      </c>
      <c r="AG233" s="91">
        <f>(4*J233*I233)/(2*H233*I233+(H233-J233)*(H233+2*J233))</f>
        <v>0.35401974612129761</v>
      </c>
      <c r="AH233" s="91"/>
      <c r="AI233" s="90">
        <f>(H233+J233)/((H233-J233)*(H233+2*J233))</f>
        <v>3.0075187969924814E-3</v>
      </c>
      <c r="AJ233" s="90">
        <f>1/I233</f>
        <v>3.9840637450199202E-3</v>
      </c>
      <c r="AK233" s="90">
        <f>-J233/((H233-J233)*(H233+2*J233))</f>
        <v>-7.5187969924812035E-4</v>
      </c>
    </row>
    <row r="234" spans="1:37">
      <c r="A234" s="38"/>
      <c r="G234" s="69"/>
      <c r="H234" s="95"/>
      <c r="I234" s="95"/>
      <c r="J234" s="95"/>
      <c r="U234" s="92"/>
      <c r="V234" s="92"/>
      <c r="W234" s="92"/>
      <c r="X234" s="8"/>
      <c r="Y234" s="8"/>
      <c r="Z234" s="8"/>
      <c r="AA234" s="93"/>
      <c r="AB234" s="93"/>
      <c r="AC234" s="93"/>
      <c r="AD234" s="92"/>
      <c r="AE234" s="92"/>
      <c r="AF234" s="91"/>
      <c r="AG234" s="91"/>
      <c r="AH234" s="91"/>
      <c r="AI234" s="90"/>
      <c r="AJ234" s="90"/>
      <c r="AK234" s="90"/>
    </row>
    <row r="235" spans="1:37">
      <c r="A235" t="s">
        <v>1005</v>
      </c>
      <c r="B235" t="s">
        <v>23</v>
      </c>
      <c r="C235" t="s">
        <v>1005</v>
      </c>
      <c r="D235" t="s">
        <v>1004</v>
      </c>
      <c r="E235" s="57">
        <v>7</v>
      </c>
      <c r="F235" s="57" t="s">
        <v>1003</v>
      </c>
      <c r="G235" s="69">
        <v>3.51</v>
      </c>
      <c r="H235" s="95">
        <v>1077.0999999999999</v>
      </c>
      <c r="I235" s="95">
        <v>577.1</v>
      </c>
      <c r="J235" s="95">
        <v>124.7</v>
      </c>
      <c r="K235" s="92">
        <f>(H235+2*J235)/3</f>
        <v>442.16666666666669</v>
      </c>
      <c r="L235" s="92">
        <f>(5*(H235-J235)*I235)/(4*I235 + 3*(H235-J235))</f>
        <v>532.00987300603981</v>
      </c>
      <c r="M235" s="92">
        <f>(H235-J235+3*I235)/5</f>
        <v>536.74</v>
      </c>
      <c r="N235" s="92">
        <f>0.5*(M235+L235)</f>
        <v>534.37493650301985</v>
      </c>
      <c r="O235" s="92">
        <f>0.5*(H235-J235)+3/(5/(I235-0.5*(H235-J235))-4*(-3*(K235+(H235-J235))/(5*0.5*(H235-J235)*(3*K235+2*(H235-J235)))))</f>
        <v>534.19439489231388</v>
      </c>
      <c r="P235" s="92">
        <f>I235+2/(5/(0.5*(H235-J235)-I235)-6*(-(3*(K235+2*I235))/(5*I235*(3*K235+4*I235))))</f>
        <v>534.37808949576413</v>
      </c>
      <c r="Q235" s="92">
        <f>(O235+P235)/2</f>
        <v>534.286242194039</v>
      </c>
      <c r="R235" s="92">
        <f>K235/N235</f>
        <v>0.82744649208331256</v>
      </c>
      <c r="S235" s="91">
        <f>(3*K235-2*N235)/(2*(3*K235+N235))</f>
        <v>6.9255091230990426E-2</v>
      </c>
      <c r="T235" s="92">
        <f>9*N235*K235/(N235+3*K235)</f>
        <v>1142.7662429641825</v>
      </c>
      <c r="U235" s="92">
        <f>SQRT((K235+4/3*N235)/G235)</f>
        <v>18.137387854313126</v>
      </c>
      <c r="V235" s="92">
        <f>SQRT(K235/G235)</f>
        <v>11.223787654207587</v>
      </c>
      <c r="W235" s="92">
        <f>SQRT(N235/G235)</f>
        <v>12.338702186748899</v>
      </c>
      <c r="X235" s="8">
        <f>SQRT((K235/N235) +4/3)</f>
        <v>1.4699591237230529</v>
      </c>
      <c r="Y235" s="8">
        <f>J235/H235</f>
        <v>0.11577383715532449</v>
      </c>
      <c r="Z235" s="8">
        <f>I235/H235</f>
        <v>0.53579054869557152</v>
      </c>
      <c r="AA235" s="93">
        <f>2*I235/(H235-J235)</f>
        <v>1.2118857622847545</v>
      </c>
      <c r="AB235" s="93">
        <f>5*M235/L235 +1 -6</f>
        <v>4.4455255757128498E-2</v>
      </c>
      <c r="AC235" s="93">
        <f>SQRT(5)*LN(M235/L235)</f>
        <v>1.9793133696116148E-2</v>
      </c>
      <c r="AD235" s="92">
        <f>100*(M235-L235)/(M235+L235)</f>
        <v>0.44258503448107239</v>
      </c>
      <c r="AE235" s="92"/>
      <c r="AF235" s="91">
        <f>-(2*H235*I235-(H235-J235)*(H235+2*J235))/(2*H235*I235+(H235-J235)*(H235+2*J235))</f>
        <v>8.0468375898509938E-3</v>
      </c>
      <c r="AG235" s="91">
        <f>(4*J235*I235)/(2*H235*I235+(H235-J235)*(H235+2*J235))</f>
        <v>0.11484222389058175</v>
      </c>
      <c r="AH235" s="91"/>
      <c r="AI235" s="90">
        <f>(H235+J235)/((H235-J235)*(H235+2*J235))</f>
        <v>9.5127385051243575E-4</v>
      </c>
      <c r="AJ235" s="90">
        <f>1/I235</f>
        <v>1.7328019407381735E-3</v>
      </c>
      <c r="AK235" s="90">
        <f>-J235/((H235-J235)*(H235+2*J235))</f>
        <v>-9.8705149907555957E-5</v>
      </c>
    </row>
    <row r="236" spans="1:37">
      <c r="G236" s="97"/>
      <c r="H236" s="95"/>
      <c r="I236" s="95"/>
      <c r="J236" s="95"/>
      <c r="S236" s="91"/>
      <c r="U236" s="92"/>
      <c r="V236" s="92"/>
      <c r="W236" s="92"/>
      <c r="X236" s="8"/>
      <c r="Y236" s="8"/>
      <c r="Z236" s="8"/>
      <c r="AA236" s="93"/>
      <c r="AB236" s="93"/>
      <c r="AC236" s="93"/>
      <c r="AD236" s="92"/>
      <c r="AE236" s="92"/>
      <c r="AF236" s="91"/>
      <c r="AG236" s="91"/>
      <c r="AH236" s="91"/>
      <c r="AI236" s="90"/>
      <c r="AJ236" s="90"/>
      <c r="AK236" s="90"/>
    </row>
    <row r="237" spans="1:37">
      <c r="A237" s="99" t="s">
        <v>1002</v>
      </c>
      <c r="G237" s="97"/>
      <c r="H237" s="95"/>
      <c r="I237" s="95"/>
      <c r="J237" s="95"/>
      <c r="S237" s="91"/>
      <c r="U237" s="92"/>
      <c r="V237" s="92"/>
      <c r="W237" s="92"/>
      <c r="X237" s="8"/>
      <c r="Y237" s="8"/>
      <c r="Z237" s="8"/>
      <c r="AA237" s="93"/>
      <c r="AB237" s="93"/>
      <c r="AC237" s="93"/>
      <c r="AD237" s="92"/>
      <c r="AE237" s="92"/>
      <c r="AF237" s="91"/>
      <c r="AG237" s="91"/>
      <c r="AH237" s="91"/>
      <c r="AI237" s="90"/>
      <c r="AJ237" s="90"/>
      <c r="AK237" s="90"/>
    </row>
    <row r="238" spans="1:37">
      <c r="A238" t="s">
        <v>1001</v>
      </c>
      <c r="B238" t="s">
        <v>1000</v>
      </c>
      <c r="C238" t="s">
        <v>993</v>
      </c>
      <c r="D238" t="s">
        <v>996</v>
      </c>
      <c r="E238" s="57">
        <v>7</v>
      </c>
      <c r="F238" s="57" t="s">
        <v>999</v>
      </c>
      <c r="G238" s="57">
        <v>5.39</v>
      </c>
      <c r="H238" s="95">
        <v>625</v>
      </c>
      <c r="I238" s="95">
        <v>163</v>
      </c>
      <c r="J238" s="95">
        <v>165</v>
      </c>
      <c r="K238" s="92">
        <f>(H238+2*J238)/3</f>
        <v>318.33333333333331</v>
      </c>
      <c r="L238" s="92">
        <f>(5*(H238-J238)*I238)/(4*I238 + 3*(H238-J238))</f>
        <v>184.49803149606299</v>
      </c>
      <c r="M238" s="92">
        <f>(H238-J238+3*I238)/5</f>
        <v>189.8</v>
      </c>
      <c r="N238" s="92">
        <f>0.5*(M238+L238)</f>
        <v>187.1490157480315</v>
      </c>
      <c r="O238" s="92">
        <f>0.5*(H238-J238)+3/(5/(I238-0.5*(H238-J238))-4*(-3*(K238+(H238-J238))/(5*0.5*(H238-J238)*(3*K238+2*(H238-J238)))))</f>
        <v>187.32287624304931</v>
      </c>
      <c r="P238" s="92">
        <f>I238+2/(5/(0.5*(H238-J238)-I238)-6*(-(3*(K238+2*I238))/(5*I238*(3*K238+4*I238))))</f>
        <v>186.95717560535388</v>
      </c>
      <c r="Q238" s="92">
        <f>(O238+P238)/2</f>
        <v>187.14002592420161</v>
      </c>
      <c r="R238" s="92">
        <f>K238/N238</f>
        <v>1.7009618354708427</v>
      </c>
      <c r="S238" s="92">
        <f>(3*K238-2*N238)/(2*(3*K238+N238))</f>
        <v>0.25421462545481244</v>
      </c>
      <c r="T238" s="92">
        <f>9*N238*K238/(N238+3*K238)</f>
        <v>469.45006538130821</v>
      </c>
      <c r="U238" s="92">
        <f>SQRT((K238+4/3*N238)/G238)</f>
        <v>10.264275586134135</v>
      </c>
      <c r="V238" s="92">
        <f>SQRT(K238/G238)</f>
        <v>7.6850496180191445</v>
      </c>
      <c r="W238" s="92">
        <f>SQRT(N238/G238)</f>
        <v>5.8924972853213742</v>
      </c>
      <c r="X238" s="8">
        <f>SQRT((K238/N238) +4/3)</f>
        <v>1.7419228366389183</v>
      </c>
      <c r="Y238" s="8">
        <f>J238/H238</f>
        <v>0.26400000000000001</v>
      </c>
      <c r="Z238" s="8">
        <f>I238/H238</f>
        <v>0.26079999999999998</v>
      </c>
      <c r="AA238" s="93">
        <f>2*I238/(H238-J238)</f>
        <v>0.70869565217391306</v>
      </c>
      <c r="AB238" s="93">
        <f>5*M238/L238 +1 -6</f>
        <v>0.14368631635102691</v>
      </c>
      <c r="AC238" s="93">
        <f>SQRT(5)*LN(M238/L238)</f>
        <v>6.3352483992627884E-2</v>
      </c>
      <c r="AD238" s="92">
        <f>100*(M238-L238)/(M238+L238)</f>
        <v>1.4165098551935043</v>
      </c>
      <c r="AE238" s="92"/>
      <c r="AF238" s="91">
        <f>-(2*H238*I238-(H238-J238)*(H238+2*J238))/(2*H238*I238+(H238-J238)*(H238+2*J238))</f>
        <v>0.36630122074488763</v>
      </c>
      <c r="AG238" s="91">
        <f>(4*J238*I238)/(2*H238*I238+(H238-J238)*(H238+2*J238))</f>
        <v>0.16729647772334966</v>
      </c>
      <c r="AH238" s="91"/>
      <c r="AI238" s="90">
        <f>(H238+J238)/((H238-J238)*(H238+2*J238))</f>
        <v>1.7983155019348964E-3</v>
      </c>
      <c r="AJ238" s="90">
        <f>1/I238</f>
        <v>6.1349693251533744E-3</v>
      </c>
      <c r="AK238" s="90">
        <f>-J238/((H238-J238)*(H238+2*J238))</f>
        <v>-3.7559754154336443E-4</v>
      </c>
    </row>
    <row r="239" spans="1:37">
      <c r="A239" t="s">
        <v>998</v>
      </c>
      <c r="B239" t="s">
        <v>998</v>
      </c>
      <c r="C239" t="s">
        <v>993</v>
      </c>
      <c r="D239" t="s">
        <v>996</v>
      </c>
      <c r="E239" s="57">
        <v>7</v>
      </c>
      <c r="F239" s="57">
        <v>1</v>
      </c>
      <c r="G239" s="57">
        <v>8.43</v>
      </c>
      <c r="H239" s="95">
        <v>556</v>
      </c>
      <c r="I239" s="95">
        <v>125</v>
      </c>
      <c r="J239" s="95">
        <v>152</v>
      </c>
      <c r="K239" s="92">
        <f>(H239+2*J239)/3</f>
        <v>286.66666666666669</v>
      </c>
      <c r="L239" s="92">
        <f>(5*(H239-J239)*I239)/(4*I239 + 3*(H239-J239))</f>
        <v>147.48831775700936</v>
      </c>
      <c r="M239" s="92">
        <f>(H239-J239+3*I239)/5</f>
        <v>155.80000000000001</v>
      </c>
      <c r="N239" s="92">
        <f>0.5*(M239+L239)</f>
        <v>151.6441588785047</v>
      </c>
      <c r="O239" s="92">
        <f>0.5*(H239-J239)+3/(5/(I239-0.5*(H239-J239))-4*(-3*(K239+(H239-J239))/(5*0.5*(H239-J239)*(3*K239+2*(H239-J239)))))</f>
        <v>152.01286025938367</v>
      </c>
      <c r="P239" s="92">
        <f>I239+2/(5/(0.5*(H239-J239)-I239)-6*(-(3*(K239+2*I239))/(5*I239*(3*K239+4*I239))))</f>
        <v>151.21239852457637</v>
      </c>
      <c r="Q239" s="92">
        <f>(O239+P239)/2</f>
        <v>151.61262939198002</v>
      </c>
      <c r="R239" s="92">
        <f>K239/N239</f>
        <v>1.890390429718696</v>
      </c>
      <c r="S239" s="92">
        <f>(3*K239-2*N239)/(2*(3*K239+N239))</f>
        <v>0.27515192835203728</v>
      </c>
      <c r="T239" s="92">
        <f>9*N239*K239/(N239+3*K239)</f>
        <v>386.73868323449597</v>
      </c>
      <c r="U239" s="92">
        <f>SQRT((K239+4/3*N239)/G239)</f>
        <v>7.6151413018287242</v>
      </c>
      <c r="V239" s="92">
        <f>SQRT(K239/G239)</f>
        <v>5.8314265651635546</v>
      </c>
      <c r="W239" s="92">
        <f>SQRT(N239/G239)</f>
        <v>4.2413006196733845</v>
      </c>
      <c r="X239" s="8"/>
      <c r="Y239" s="8">
        <f>J239/H239</f>
        <v>0.2733812949640288</v>
      </c>
      <c r="Z239" s="8">
        <f>I239/H239</f>
        <v>0.22482014388489208</v>
      </c>
      <c r="AA239" s="93">
        <f>2*I239/(H239-J239)</f>
        <v>0.61881188118811881</v>
      </c>
      <c r="AB239" s="93">
        <f>5*M239/L239 +1 -6</f>
        <v>0.28177425742574247</v>
      </c>
      <c r="AC239" s="93">
        <f>SQRT(5)*LN(M239/L239)</f>
        <v>0.12259055402708345</v>
      </c>
      <c r="AD239" s="92">
        <f>100*(M239-L239)/(M239+L239)</f>
        <v>2.7405217268044813</v>
      </c>
      <c r="AE239" s="92"/>
      <c r="AF239" s="91">
        <f>-(2*H239*I239-(H239-J239)*(H239+2*J239))/(2*H239*I239+(H239-J239)*(H239+2*J239))</f>
        <v>0.42850094564591729</v>
      </c>
      <c r="AG239" s="91">
        <f>(4*J239*I239)/(2*H239*I239+(H239-J239)*(H239+2*J239))</f>
        <v>0.15623715155003701</v>
      </c>
      <c r="AH239" s="91"/>
      <c r="AI239" s="90">
        <f>(H239+J239)/((H239-J239)*(H239+2*J239))</f>
        <v>2.0377619157264564E-3</v>
      </c>
      <c r="AJ239" s="90">
        <f>1/I239</f>
        <v>8.0000000000000002E-3</v>
      </c>
      <c r="AK239" s="90">
        <f>-J239/((H239-J239)*(H239+2*J239))</f>
        <v>-4.374856090260189E-4</v>
      </c>
    </row>
    <row r="240" spans="1:37">
      <c r="A240" t="s">
        <v>997</v>
      </c>
      <c r="B240" t="s">
        <v>997</v>
      </c>
      <c r="C240" t="s">
        <v>993</v>
      </c>
      <c r="D240" t="s">
        <v>996</v>
      </c>
      <c r="E240" s="57">
        <v>7</v>
      </c>
      <c r="F240" s="57">
        <v>1</v>
      </c>
      <c r="G240" s="57">
        <v>6.11</v>
      </c>
      <c r="H240" s="95">
        <v>533</v>
      </c>
      <c r="I240" s="95">
        <v>133</v>
      </c>
      <c r="J240" s="95">
        <v>135</v>
      </c>
      <c r="K240" s="92">
        <f>(H240+2*J240)/3</f>
        <v>267.66666666666669</v>
      </c>
      <c r="L240" s="92">
        <f>(5*(H240-J240)*I240)/(4*I240 + 3*(H240-J240))</f>
        <v>153.34298957126305</v>
      </c>
      <c r="M240" s="92">
        <f>(H240-J240+3*I240)/5</f>
        <v>159.4</v>
      </c>
      <c r="N240" s="92">
        <f>0.5*(M240+L240)</f>
        <v>156.37149478563151</v>
      </c>
      <c r="O240" s="92">
        <f>0.5*(H240-J240)+3/(5/(I240-0.5*(H240-J240))-4*(-3*(K240+(H240-J240))/(5*0.5*(H240-J240)*(3*K240+2*(H240-J240)))))</f>
        <v>156.58929036620046</v>
      </c>
      <c r="P240" s="92">
        <f>I240+2/(5/(0.5*(H240-J240)-I240)-6*(-(3*(K240+2*I240))/(5*I240*(3*K240+4*I240))))</f>
        <v>156.10058741884035</v>
      </c>
      <c r="Q240" s="92">
        <f>(O240+P240)/2</f>
        <v>156.34493889252042</v>
      </c>
      <c r="R240" s="92">
        <f>K240/N240</f>
        <v>1.7117356781273267</v>
      </c>
      <c r="S240" s="92">
        <f>(3*K240-2*N240)/(2*(3*K240+N240))</f>
        <v>0.25550947317768874</v>
      </c>
      <c r="T240" s="92">
        <f>9*N240*K240/(N240+3*K240)</f>
        <v>392.65178607663188</v>
      </c>
      <c r="U240" s="92">
        <f>SQRT((K240+4/3*N240)/G240)</f>
        <v>8.8278868605962266</v>
      </c>
      <c r="V240" s="92">
        <f>SQRT(K240/G240)</f>
        <v>6.6187585757875187</v>
      </c>
      <c r="W240" s="92">
        <f>SQRT(N240/G240)</f>
        <v>5.0589243920219849</v>
      </c>
      <c r="X240" s="8"/>
      <c r="Y240" s="8">
        <f>J240/H240</f>
        <v>0.25328330206378985</v>
      </c>
      <c r="Z240" s="8">
        <f>I240/H240</f>
        <v>0.24953095684803001</v>
      </c>
      <c r="AA240" s="93">
        <f>2*I240/(H240-J240)</f>
        <v>0.66834170854271358</v>
      </c>
      <c r="AB240" s="93">
        <f>5*M240/L240 +1 -6</f>
        <v>0.19749877205576727</v>
      </c>
      <c r="AC240" s="93">
        <f>SQRT(5)*LN(M240/L240)</f>
        <v>8.6624361264973457E-2</v>
      </c>
      <c r="AD240" s="92">
        <f>100*(M240-L240)/(M240+L240)</f>
        <v>1.9367373948303264</v>
      </c>
      <c r="AE240" s="92"/>
      <c r="AF240" s="91">
        <f>-(2*H240*I240-(H240-J240)*(H240+2*J240))/(2*H240*I240+(H240-J240)*(H240+2*J240))</f>
        <v>0.38540700345924761</v>
      </c>
      <c r="AG240" s="91">
        <f>(4*J240*I240)/(2*H240*I240+(H240-J240)*(H240+2*J240))</f>
        <v>0.15566614358912115</v>
      </c>
      <c r="AH240" s="91"/>
      <c r="AI240" s="90">
        <f>(H240+J240)/((H240-J240)*(H240+2*J240))</f>
        <v>2.090151880198001E-3</v>
      </c>
      <c r="AJ240" s="90">
        <f>1/I240</f>
        <v>7.5187969924812026E-3</v>
      </c>
      <c r="AK240" s="90">
        <f>-J240/((H240-J240)*(H240+2*J240))</f>
        <v>-4.2241093387235056E-4</v>
      </c>
    </row>
    <row r="241" spans="1:37">
      <c r="H241" s="95"/>
      <c r="I241" s="95"/>
      <c r="J241" s="95"/>
      <c r="U241" s="92"/>
      <c r="V241" s="92"/>
      <c r="W241" s="92"/>
      <c r="X241" s="8"/>
      <c r="Y241" s="8"/>
      <c r="Z241" s="8"/>
      <c r="AA241" s="93"/>
      <c r="AB241" s="93"/>
      <c r="AC241" s="93"/>
      <c r="AD241" s="92"/>
      <c r="AE241" s="92"/>
      <c r="AF241" s="91"/>
      <c r="AG241" s="91"/>
      <c r="AH241" s="91"/>
      <c r="AI241" s="90"/>
      <c r="AJ241" s="90"/>
      <c r="AK241" s="90"/>
    </row>
    <row r="242" spans="1:37">
      <c r="A242" t="s">
        <v>995</v>
      </c>
      <c r="B242" t="s">
        <v>994</v>
      </c>
      <c r="C242" t="s">
        <v>993</v>
      </c>
      <c r="D242" t="s">
        <v>986</v>
      </c>
      <c r="E242" s="57">
        <v>7</v>
      </c>
      <c r="F242" s="57">
        <v>1</v>
      </c>
      <c r="G242" s="92">
        <v>3.48</v>
      </c>
      <c r="H242" s="95">
        <v>809.8</v>
      </c>
      <c r="I242" s="96">
        <v>474.7</v>
      </c>
      <c r="J242" s="95">
        <v>178.1</v>
      </c>
      <c r="K242" s="92">
        <f>(H242+2*J242)/3</f>
        <v>388.66666666666669</v>
      </c>
      <c r="L242" s="92">
        <f>(5*(H242-J242)*I242)/(4*I242 + 3*(H242-J242))</f>
        <v>395.19754078916151</v>
      </c>
      <c r="M242" s="92">
        <f>(H242-J242+3*I242)/5</f>
        <v>411.15999999999997</v>
      </c>
      <c r="N242" s="92">
        <f>0.5*(M242+L242)</f>
        <v>403.17877039458074</v>
      </c>
      <c r="O242" s="92">
        <f>0.5*(H242-J242)+3/(5/(I242-0.5*(H242-J242))-4*(-3*(K242+(H242-J242))/(5*0.5*(H242-J242)*(3*K242+2*(H242-J242)))))</f>
        <v>402.38592667471232</v>
      </c>
      <c r="P242" s="92">
        <f>I242+2/(5/(0.5*(H242-J242)-I242)-6*(-(3*(K242+2*I242))/(5*I242*(3*K242+4*I242))))</f>
        <v>403.69048039763953</v>
      </c>
      <c r="Q242" s="92">
        <f>(O242+P242)/2</f>
        <v>403.03820353617596</v>
      </c>
      <c r="R242" s="92">
        <f>K242/N242</f>
        <v>0.96400578405030746</v>
      </c>
      <c r="S242" s="91">
        <f>(3*K242-2*N242)/(2*(3*K242+N242))</f>
        <v>0.11459575734650169</v>
      </c>
      <c r="T242" s="92">
        <f>9*N242*K242/(N242+3*K242)</f>
        <v>898.76269386795809</v>
      </c>
      <c r="U242" s="92">
        <f>SQRT((K242+4/3*N242)/G242)</f>
        <v>16.314424550901037</v>
      </c>
      <c r="V242" s="92">
        <f>SQRT(K242/G242)</f>
        <v>10.568151387768312</v>
      </c>
      <c r="W242" s="92">
        <f>SQRT(N242/G242)</f>
        <v>10.763641043075985</v>
      </c>
      <c r="X242" s="8">
        <f>SQRT((K242/N242) +4/3)</f>
        <v>1.5156975679150642</v>
      </c>
      <c r="Y242" s="8">
        <f>J242/H242</f>
        <v>0.21993084712274635</v>
      </c>
      <c r="Z242" s="8">
        <f>I242/H242</f>
        <v>0.58619412200543342</v>
      </c>
      <c r="AA242" s="93">
        <f>2*I242/(H242-J242)</f>
        <v>1.5029286053506412</v>
      </c>
      <c r="AB242" s="93">
        <f>5*M242/L242 +1 -6</f>
        <v>0.20195544712858471</v>
      </c>
      <c r="AC242" s="93">
        <f>SQRT(5)*LN(M242/L242)</f>
        <v>8.8540890501311309E-2</v>
      </c>
      <c r="AD242" s="92">
        <f>100*(M242-L242)/(M242+L242)</f>
        <v>1.9795758585225618</v>
      </c>
      <c r="AE242" s="92"/>
      <c r="AF242" s="91">
        <f>-(2*H242*I242-(H242-J242)*(H242+2*J242))/(2*H242*I242+(H242-J242)*(H242+2*J242))</f>
        <v>-2.1430990551315789E-2</v>
      </c>
      <c r="AG242" s="91">
        <f>(4*J242*I242)/(2*H242*I242+(H242-J242)*(H242+2*J242))</f>
        <v>0.2246441830293768</v>
      </c>
      <c r="AH242" s="91"/>
      <c r="AI242" s="90">
        <f>(H242+J242)/((H242-J242)*(H242+2*J242))</f>
        <v>1.3412309238785265E-3</v>
      </c>
      <c r="AJ242" s="90">
        <f>1/I242</f>
        <v>2.1065936380872132E-3</v>
      </c>
      <c r="AK242" s="90">
        <f>-J242/((H242-J242)*(H242+2*J242))</f>
        <v>-2.4179899538694764E-4</v>
      </c>
    </row>
    <row r="243" spans="1:37">
      <c r="G243" s="92"/>
      <c r="H243" s="95"/>
      <c r="I243" s="95"/>
      <c r="J243" s="95"/>
      <c r="S243" s="91"/>
      <c r="U243" s="92"/>
      <c r="V243" s="92"/>
      <c r="W243" s="92"/>
      <c r="X243" s="8"/>
      <c r="Y243" s="8"/>
      <c r="Z243" s="8"/>
      <c r="AA243" s="93"/>
      <c r="AB243" s="93"/>
      <c r="AC243" s="93"/>
      <c r="AD243" s="92"/>
      <c r="AE243" s="92"/>
      <c r="AF243" s="91"/>
      <c r="AG243" s="91"/>
      <c r="AH243" s="91"/>
      <c r="AI243" s="90"/>
      <c r="AJ243" s="90"/>
      <c r="AK243" s="90"/>
    </row>
    <row r="244" spans="1:37">
      <c r="A244" s="64" t="s">
        <v>1798</v>
      </c>
      <c r="B244" t="s">
        <v>947</v>
      </c>
      <c r="C244" t="s">
        <v>991</v>
      </c>
      <c r="D244" t="s">
        <v>990</v>
      </c>
      <c r="E244" s="57">
        <v>7</v>
      </c>
      <c r="F244" s="57">
        <v>1</v>
      </c>
      <c r="G244" s="57" t="s">
        <v>616</v>
      </c>
      <c r="H244" s="98">
        <v>511</v>
      </c>
      <c r="I244" s="98">
        <v>326</v>
      </c>
      <c r="J244" s="98">
        <v>174</v>
      </c>
      <c r="K244" s="92">
        <f>(H244+2*J244)/3</f>
        <v>286.33333333333331</v>
      </c>
      <c r="L244" s="92">
        <f>(5*(H244-J244)*I244)/(4*I244 + 3*(H244-J244))</f>
        <v>237.28293736501081</v>
      </c>
      <c r="M244" s="92">
        <f>(H244-J244+3*I244)/5</f>
        <v>263</v>
      </c>
      <c r="N244" s="92">
        <f>0.5*(M244+L244)</f>
        <v>250.1414686825054</v>
      </c>
      <c r="O244" s="92">
        <f>0.5*(H244-J244)+3/(5/(I244-0.5*(H244-J244))-4*(-3*(K244+(H244-J244))/(5*0.5*(H244-J244)*(3*K244+2*(H244-J244)))))</f>
        <v>248.42005569115474</v>
      </c>
      <c r="P244" s="92">
        <f>I244+2/(5/(0.5*(H244-J244)-I244)-6*(-(3*(K244+2*I244))/(5*I244*(3*K244+4*I244))))</f>
        <v>251.80358458138963</v>
      </c>
      <c r="Q244" s="92">
        <f>(O244+P244)/2</f>
        <v>250.11182013627217</v>
      </c>
      <c r="R244" s="92">
        <f>K244/N244</f>
        <v>1.1446855846871389</v>
      </c>
      <c r="S244" s="91">
        <f>(3*K244-2*N244)/(2*(3*K244+N244))</f>
        <v>0.16170933679952096</v>
      </c>
      <c r="T244" s="92">
        <f>9*N244*K244/(N244+3*K244)</f>
        <v>581.18335937842289</v>
      </c>
      <c r="U244" s="92"/>
      <c r="V244" s="92" t="e">
        <f>SQRT(K244/G244)</f>
        <v>#VALUE!</v>
      </c>
      <c r="W244" s="92" t="e">
        <f>SQRT(N244/G244)</f>
        <v>#VALUE!</v>
      </c>
      <c r="X244" s="8">
        <f>SQRT((K244/N244) +4/3)</f>
        <v>1.5741724549808613</v>
      </c>
      <c r="Y244" s="8">
        <f>J244/H244</f>
        <v>0.3405088062622309</v>
      </c>
      <c r="Z244" s="8">
        <f>I244/H244</f>
        <v>0.63796477495107629</v>
      </c>
      <c r="AA244" s="93">
        <f>2*I244/(H244-J244)</f>
        <v>1.9347181008902077</v>
      </c>
      <c r="AB244" s="93">
        <f>5*M244/L244 +1 -6</f>
        <v>0.54190711984125528</v>
      </c>
      <c r="AC244" s="93">
        <f>SQRT(5)*LN(M244/L244)</f>
        <v>0.23009312681984168</v>
      </c>
      <c r="AD244" s="92">
        <f>100*(M244-L244)/(M244+L244)</f>
        <v>5.1405036458850475</v>
      </c>
      <c r="AE244" s="92"/>
      <c r="AF244" s="91">
        <f>-(2*H244*I244-(H244-J244)*(H244+2*J244))/(2*H244*I244+(H244-J244)*(H244+2*J244))</f>
        <v>-7.0165661562181306E-2</v>
      </c>
      <c r="AG244" s="91">
        <f>(4*J244*I244)/(2*H244*I244+(H244-J244)*(H244+2*J244))</f>
        <v>0.36440083192136896</v>
      </c>
      <c r="AH244" s="91"/>
      <c r="AI244" s="90">
        <f>(H244+J244)/((H244-J244)*(H244+2*J244))</f>
        <v>2.3662874849300305E-3</v>
      </c>
      <c r="AJ244" s="90">
        <f>1/I244</f>
        <v>3.0674846625766872E-3</v>
      </c>
      <c r="AK244" s="90">
        <f>-J244/((H244-J244)*(H244+2*J244))</f>
        <v>-6.0107156551507347E-4</v>
      </c>
    </row>
    <row r="245" spans="1:37">
      <c r="A245" s="64"/>
      <c r="H245" s="98"/>
      <c r="I245" s="98"/>
      <c r="J245" s="98"/>
      <c r="S245" s="91"/>
      <c r="U245" s="92"/>
      <c r="V245" s="92"/>
      <c r="W245" s="92"/>
      <c r="X245" s="8"/>
      <c r="Y245" s="8"/>
      <c r="Z245" s="8"/>
      <c r="AA245" s="93"/>
      <c r="AB245" s="93"/>
      <c r="AC245" s="93"/>
      <c r="AD245" s="92"/>
      <c r="AE245" s="92"/>
      <c r="AF245" s="91"/>
      <c r="AG245" s="91"/>
      <c r="AH245" s="91"/>
      <c r="AI245" s="90"/>
      <c r="AJ245" s="90"/>
      <c r="AK245" s="90"/>
    </row>
    <row r="246" spans="1:37">
      <c r="A246" s="38" t="s">
        <v>989</v>
      </c>
      <c r="B246" s="10"/>
      <c r="C246" s="10"/>
      <c r="U246" s="92"/>
      <c r="V246" s="92"/>
      <c r="W246" s="92"/>
      <c r="X246" s="8"/>
      <c r="Y246" s="8"/>
      <c r="Z246" s="8"/>
      <c r="AA246" s="93"/>
      <c r="AB246" s="93"/>
      <c r="AC246" s="93"/>
      <c r="AD246" s="92"/>
      <c r="AE246" s="92"/>
      <c r="AF246" s="91"/>
      <c r="AG246" s="91"/>
      <c r="AH246" s="91"/>
      <c r="AI246" s="90"/>
      <c r="AJ246" s="90"/>
      <c r="AK246" s="90"/>
    </row>
    <row r="247" spans="1:37">
      <c r="A247" t="s">
        <v>988</v>
      </c>
      <c r="B247" t="s">
        <v>988</v>
      </c>
      <c r="C247" t="s">
        <v>987</v>
      </c>
      <c r="D247" t="s">
        <v>986</v>
      </c>
      <c r="E247" s="57">
        <v>7</v>
      </c>
      <c r="F247" s="57">
        <v>1</v>
      </c>
      <c r="G247" s="69">
        <v>2.9</v>
      </c>
      <c r="H247" s="95">
        <v>315</v>
      </c>
      <c r="I247" s="95">
        <v>160</v>
      </c>
      <c r="J247" s="95">
        <v>100</v>
      </c>
      <c r="K247" s="92">
        <f>(H247+2*J247)/3</f>
        <v>171.66666666666666</v>
      </c>
      <c r="L247" s="92">
        <f>(5*(H247-J247)*I247)/(4*I247 + 3*(H247-J247))</f>
        <v>133.85214007782102</v>
      </c>
      <c r="M247" s="92">
        <f>(H247-J247+3*I247)/5</f>
        <v>139</v>
      </c>
      <c r="N247" s="92">
        <f>0.5*(M247+L247)</f>
        <v>136.4260700389105</v>
      </c>
      <c r="O247" s="92">
        <f>0.5*(H247-J247)+3/(5/(I247-0.5*(H247-J247))-4*(-3*(K247+(H247-J247))/(5*0.5*(H247-J247)*(3*K247+2*(H247-J247)))))</f>
        <v>136.24304442139018</v>
      </c>
      <c r="P247" s="92">
        <f>I247+2/(5/(0.5*(H247-J247)-I247)-6*(-(3*(K247+2*I247))/(5*I247*(3*K247+4*I247))))</f>
        <v>136.65192672141504</v>
      </c>
      <c r="Q247" s="92">
        <f>(O247+P247)/2</f>
        <v>136.44748557140261</v>
      </c>
      <c r="R247" s="92">
        <f>K247/N247</f>
        <v>1.2583127742205362</v>
      </c>
      <c r="S247" s="92">
        <f>(3*K247-2*N247)/(2*(3*K247+N247))</f>
        <v>0.18585981668473542</v>
      </c>
      <c r="T247" s="92">
        <f>9*N247*K247/(N247+3*K247)</f>
        <v>323.56438881472252</v>
      </c>
      <c r="U247" s="92">
        <f>SQRT((K247+4/3*N247)/G247)</f>
        <v>11.041740451658784</v>
      </c>
      <c r="V247" s="92">
        <f>SQRT(K247/G247)</f>
        <v>7.6938548399908466</v>
      </c>
      <c r="W247" s="92">
        <f>SQRT(N247/G247)</f>
        <v>6.8588244202057336</v>
      </c>
      <c r="X247" s="8">
        <f>SQRT((K247/N247) +4/3)</f>
        <v>1.6098590334417078</v>
      </c>
      <c r="Y247" s="8">
        <f>J247/H247</f>
        <v>0.31746031746031744</v>
      </c>
      <c r="Z247" s="8">
        <f>I247/H247</f>
        <v>0.50793650793650791</v>
      </c>
      <c r="AA247" s="93">
        <f>2*I247/(H247-J247)</f>
        <v>1.4883720930232558</v>
      </c>
      <c r="AB247" s="93">
        <f>5*M247/L247 +1 -6</f>
        <v>0.19229651162790695</v>
      </c>
      <c r="AC247" s="93">
        <f>SQRT(5)*LN(M247/L247)</f>
        <v>8.4385123896407246E-2</v>
      </c>
      <c r="AD247" s="92">
        <f>100*(M247-L247)/(M247+L247)</f>
        <v>1.8866848252356547</v>
      </c>
      <c r="AE247" s="92"/>
      <c r="AF247" s="91">
        <f>-(2*H247*I247-(H247-J247)*(H247+2*J247))/(2*H247*I247+(H247-J247)*(H247+2*J247))</f>
        <v>4.69211677106725E-2</v>
      </c>
      <c r="AG247" s="91">
        <f>(4*J247*I247)/(2*H247*I247+(H247-J247)*(H247+2*J247))</f>
        <v>0.30256470866327856</v>
      </c>
      <c r="AH247" s="91"/>
      <c r="AI247" s="90">
        <f>(H247+J247)/((H247-J247)*(H247+2*J247))</f>
        <v>3.748024384736961E-3</v>
      </c>
      <c r="AJ247" s="90">
        <f>1/I247</f>
        <v>6.2500000000000003E-3</v>
      </c>
      <c r="AK247" s="90">
        <f>-J247/((H247-J247)*(H247+2*J247))</f>
        <v>-9.0313840596071345E-4</v>
      </c>
    </row>
    <row r="248" spans="1:37">
      <c r="G248" s="97"/>
      <c r="H248" s="95"/>
      <c r="I248" s="95"/>
      <c r="J248" s="95"/>
    </row>
    <row r="249" spans="1:37">
      <c r="A249" s="38"/>
      <c r="H249" s="95"/>
      <c r="I249" s="95"/>
      <c r="J249" s="95"/>
    </row>
    <row r="250" spans="1:37">
      <c r="G250" s="97"/>
      <c r="H250" s="95"/>
      <c r="I250" s="95"/>
      <c r="J250" s="95"/>
    </row>
    <row r="251" spans="1:37">
      <c r="G251" s="97"/>
      <c r="H251" s="95"/>
      <c r="I251" s="95"/>
      <c r="J251" s="95"/>
    </row>
    <row r="252" spans="1:37">
      <c r="H252" s="96"/>
      <c r="I252" s="95"/>
      <c r="J252" s="95"/>
    </row>
  </sheetData>
  <conditionalFormatting sqref="AD142:AE247 AD127:AE130 AD132:AE139 AD7:AE58 AD60:AE125">
    <cfRule type="cellIs" dxfId="11" priority="12" operator="greaterThan">
      <formula>10</formula>
    </cfRule>
  </conditionalFormatting>
  <conditionalFormatting sqref="AF127:AH130 AF132:AH139 AF60:AH125 AC248:AE1048576 AF142:AH247 AC1:AE2 AF3:AH58">
    <cfRule type="cellIs" dxfId="10" priority="11" operator="lessThan">
      <formula>0</formula>
    </cfRule>
  </conditionalFormatting>
  <conditionalFormatting sqref="AD140:AE140">
    <cfRule type="cellIs" dxfId="9" priority="10" operator="greaterThan">
      <formula>10</formula>
    </cfRule>
  </conditionalFormatting>
  <conditionalFormatting sqref="AF140:AH140">
    <cfRule type="cellIs" dxfId="8" priority="9" operator="lessThan">
      <formula>0</formula>
    </cfRule>
  </conditionalFormatting>
  <conditionalFormatting sqref="AD141:AE141">
    <cfRule type="cellIs" dxfId="7" priority="8" operator="greaterThan">
      <formula>10</formula>
    </cfRule>
  </conditionalFormatting>
  <conditionalFormatting sqref="AF141:AH141">
    <cfRule type="cellIs" dxfId="6" priority="7" operator="lessThan">
      <formula>0</formula>
    </cfRule>
  </conditionalFormatting>
  <conditionalFormatting sqref="AD126:AE126">
    <cfRule type="cellIs" dxfId="5" priority="6" operator="greaterThan">
      <formula>10</formula>
    </cfRule>
  </conditionalFormatting>
  <conditionalFormatting sqref="AF126:AH126">
    <cfRule type="cellIs" dxfId="4" priority="5" operator="lessThan">
      <formula>0</formula>
    </cfRule>
  </conditionalFormatting>
  <conditionalFormatting sqref="AD131:AE131">
    <cfRule type="cellIs" dxfId="3" priority="4" operator="greaterThan">
      <formula>10</formula>
    </cfRule>
  </conditionalFormatting>
  <conditionalFormatting sqref="AF131:AH131">
    <cfRule type="cellIs" dxfId="2" priority="3" operator="lessThan">
      <formula>0</formula>
    </cfRule>
  </conditionalFormatting>
  <conditionalFormatting sqref="AD59:AE59">
    <cfRule type="cellIs" dxfId="1" priority="2" operator="greaterThan">
      <formula>10</formula>
    </cfRule>
  </conditionalFormatting>
  <conditionalFormatting sqref="AF59:AH5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22"/>
  <sheetViews>
    <sheetView topLeftCell="A96" workbookViewId="0">
      <selection activeCell="K2" sqref="K2"/>
    </sheetView>
  </sheetViews>
  <sheetFormatPr defaultColWidth="8.83984375" defaultRowHeight="14.4"/>
  <cols>
    <col min="1" max="1" width="20.26171875" style="53" customWidth="1"/>
    <col min="2" max="2" width="20.26171875" style="136" customWidth="1"/>
    <col min="3" max="3" width="10.47265625" style="136" customWidth="1"/>
    <col min="4" max="4" width="8.578125" customWidth="1"/>
  </cols>
  <sheetData>
    <row r="1" spans="1:12">
      <c r="A1" s="89" t="s">
        <v>242</v>
      </c>
      <c r="B1" s="22" t="s">
        <v>336</v>
      </c>
      <c r="C1" s="22" t="s">
        <v>386</v>
      </c>
      <c r="D1" s="22" t="s">
        <v>698</v>
      </c>
      <c r="E1" s="22" t="s">
        <v>335</v>
      </c>
      <c r="F1" s="24" t="s">
        <v>121</v>
      </c>
      <c r="G1" s="24" t="s">
        <v>122</v>
      </c>
      <c r="H1" s="22" t="s">
        <v>130</v>
      </c>
      <c r="I1" s="22"/>
      <c r="J1" s="135"/>
      <c r="K1" s="135"/>
      <c r="L1" t="s">
        <v>1784</v>
      </c>
    </row>
    <row r="2" spans="1:12" ht="18.3">
      <c r="A2" s="53" t="s">
        <v>310</v>
      </c>
      <c r="B2" s="11" t="s">
        <v>747</v>
      </c>
      <c r="C2" t="s">
        <v>387</v>
      </c>
      <c r="E2" t="s">
        <v>187</v>
      </c>
      <c r="F2" s="57">
        <v>129.19999999999999</v>
      </c>
      <c r="G2" s="57">
        <v>81.2</v>
      </c>
      <c r="J2" s="136"/>
      <c r="K2" s="136"/>
      <c r="L2" s="37" t="s">
        <v>459</v>
      </c>
    </row>
    <row r="3" spans="1:12" ht="15.3">
      <c r="A3" s="53" t="s">
        <v>310</v>
      </c>
      <c r="B3" s="11" t="s">
        <v>746</v>
      </c>
      <c r="C3"/>
      <c r="E3" t="s">
        <v>187</v>
      </c>
      <c r="F3" s="57">
        <v>128.80000000000001</v>
      </c>
      <c r="G3" s="57">
        <v>81.2</v>
      </c>
      <c r="J3" s="136"/>
      <c r="K3" s="136"/>
      <c r="L3" s="37" t="s">
        <v>337</v>
      </c>
    </row>
    <row r="4" spans="1:12" ht="18.3">
      <c r="A4" s="53" t="s">
        <v>310</v>
      </c>
      <c r="B4" s="11" t="s">
        <v>741</v>
      </c>
      <c r="C4" t="s">
        <v>388</v>
      </c>
      <c r="E4" t="s">
        <v>187</v>
      </c>
      <c r="F4" s="57">
        <v>128.9</v>
      </c>
      <c r="G4" s="57">
        <v>81.099999999999994</v>
      </c>
      <c r="J4" s="136"/>
      <c r="K4" s="136"/>
      <c r="L4" s="37" t="s">
        <v>338</v>
      </c>
    </row>
    <row r="5" spans="1:12" ht="15.3">
      <c r="A5" s="53" t="s">
        <v>310</v>
      </c>
      <c r="B5" s="11" t="s">
        <v>748</v>
      </c>
      <c r="C5" t="s">
        <v>388</v>
      </c>
      <c r="E5" t="s">
        <v>187</v>
      </c>
      <c r="F5" s="57">
        <v>129.1</v>
      </c>
      <c r="G5" s="57">
        <v>81.599999999999994</v>
      </c>
      <c r="J5" s="136"/>
      <c r="K5" s="136"/>
      <c r="L5" s="37" t="s">
        <v>340</v>
      </c>
    </row>
    <row r="6" spans="1:12" ht="18.3">
      <c r="A6" s="53" t="s">
        <v>310</v>
      </c>
      <c r="B6" s="11" t="s">
        <v>743</v>
      </c>
      <c r="C6" t="s">
        <v>387</v>
      </c>
      <c r="E6" t="s">
        <v>187</v>
      </c>
      <c r="F6" s="57">
        <v>128.80000000000001</v>
      </c>
      <c r="G6" s="57">
        <v>81.8</v>
      </c>
      <c r="J6" s="136"/>
      <c r="K6" s="136"/>
      <c r="L6" s="37" t="s">
        <v>341</v>
      </c>
    </row>
    <row r="7" spans="1:12" ht="18.3">
      <c r="A7" s="53" t="s">
        <v>310</v>
      </c>
      <c r="B7" s="11" t="s">
        <v>742</v>
      </c>
      <c r="C7" t="s">
        <v>388</v>
      </c>
      <c r="E7" t="s">
        <v>187</v>
      </c>
      <c r="F7" s="57">
        <v>128.69999999999999</v>
      </c>
      <c r="G7" s="57">
        <v>0</v>
      </c>
      <c r="J7" s="136"/>
      <c r="K7" s="136"/>
      <c r="L7" s="37" t="s">
        <v>342</v>
      </c>
    </row>
    <row r="8" spans="1:12" ht="15.3">
      <c r="A8" s="53" t="s">
        <v>310</v>
      </c>
      <c r="B8" s="11" t="s">
        <v>749</v>
      </c>
      <c r="C8" t="s">
        <v>389</v>
      </c>
      <c r="E8" t="s">
        <v>187</v>
      </c>
      <c r="F8" s="57">
        <v>0</v>
      </c>
      <c r="G8" s="57">
        <v>0</v>
      </c>
      <c r="H8" t="s">
        <v>44</v>
      </c>
      <c r="J8" s="136"/>
      <c r="K8" s="136"/>
      <c r="L8" s="37" t="s">
        <v>343</v>
      </c>
    </row>
    <row r="9" spans="1:12" ht="15.3">
      <c r="A9" s="53" t="s">
        <v>310</v>
      </c>
      <c r="B9" s="11" t="s">
        <v>744</v>
      </c>
      <c r="C9" t="s">
        <v>389</v>
      </c>
      <c r="E9" t="s">
        <v>187</v>
      </c>
      <c r="F9" s="57">
        <v>129.4</v>
      </c>
      <c r="G9" s="57">
        <v>78</v>
      </c>
      <c r="J9" s="136"/>
      <c r="K9" s="136"/>
      <c r="L9" s="37" t="s">
        <v>344</v>
      </c>
    </row>
    <row r="10" spans="1:12" ht="18.3">
      <c r="A10" s="53" t="s">
        <v>310</v>
      </c>
      <c r="B10" s="11" t="s">
        <v>349</v>
      </c>
      <c r="C10" t="s">
        <v>387</v>
      </c>
      <c r="E10" t="s">
        <v>187</v>
      </c>
      <c r="F10" s="57">
        <v>129.4</v>
      </c>
      <c r="G10" s="57">
        <v>78</v>
      </c>
      <c r="J10" s="136"/>
      <c r="K10" s="136"/>
      <c r="L10" s="37" t="s">
        <v>345</v>
      </c>
    </row>
    <row r="11" spans="1:12" ht="17.7">
      <c r="A11" s="53" t="s">
        <v>310</v>
      </c>
      <c r="B11" s="11" t="s">
        <v>355</v>
      </c>
      <c r="C11" t="s">
        <v>388</v>
      </c>
      <c r="E11" t="s">
        <v>187</v>
      </c>
      <c r="F11" s="57">
        <v>129.5</v>
      </c>
      <c r="G11" s="57">
        <v>77.5</v>
      </c>
      <c r="J11" s="136"/>
      <c r="K11" s="136"/>
      <c r="L11" s="37" t="s">
        <v>346</v>
      </c>
    </row>
    <row r="12" spans="1:12" ht="15.3">
      <c r="A12" s="53" t="s">
        <v>310</v>
      </c>
      <c r="B12" s="11" t="s">
        <v>351</v>
      </c>
      <c r="C12" t="s">
        <v>387</v>
      </c>
      <c r="E12" t="s">
        <v>187</v>
      </c>
      <c r="F12" s="57">
        <v>128.1</v>
      </c>
      <c r="G12" s="57">
        <v>78.7</v>
      </c>
      <c r="H12" t="s">
        <v>43</v>
      </c>
      <c r="J12" s="136"/>
      <c r="K12" s="136"/>
      <c r="L12" s="37" t="s">
        <v>347</v>
      </c>
    </row>
    <row r="13" spans="1:12" ht="15.3">
      <c r="A13" s="53" t="s">
        <v>310</v>
      </c>
      <c r="B13" s="11" t="s">
        <v>354</v>
      </c>
      <c r="C13"/>
      <c r="E13" t="s">
        <v>187</v>
      </c>
      <c r="F13" s="57">
        <v>131.19999999999999</v>
      </c>
      <c r="G13" s="57">
        <v>80.900000000000006</v>
      </c>
      <c r="J13" s="136"/>
      <c r="K13" s="136"/>
      <c r="L13" s="37" t="s">
        <v>348</v>
      </c>
    </row>
    <row r="14" spans="1:12" ht="15.3">
      <c r="A14" s="53" t="s">
        <v>310</v>
      </c>
      <c r="B14" s="11" t="s">
        <v>349</v>
      </c>
      <c r="C14" t="s">
        <v>387</v>
      </c>
      <c r="E14" t="s">
        <v>187</v>
      </c>
      <c r="F14" s="57">
        <v>131</v>
      </c>
      <c r="G14" s="57">
        <v>78.8</v>
      </c>
      <c r="J14" s="136"/>
      <c r="K14" s="136"/>
      <c r="L14" s="37" t="s">
        <v>350</v>
      </c>
    </row>
    <row r="15" spans="1:12" ht="15.3">
      <c r="A15" s="53" t="s">
        <v>310</v>
      </c>
      <c r="B15" s="11" t="s">
        <v>351</v>
      </c>
      <c r="C15"/>
      <c r="E15" t="s">
        <v>187</v>
      </c>
      <c r="F15" s="57">
        <v>126.7</v>
      </c>
      <c r="G15" s="57">
        <v>79</v>
      </c>
      <c r="H15" t="s">
        <v>43</v>
      </c>
      <c r="J15" s="136"/>
      <c r="K15" s="136"/>
      <c r="L15" s="37" t="s">
        <v>352</v>
      </c>
    </row>
    <row r="16" spans="1:12" ht="15.3">
      <c r="A16" s="53" t="s">
        <v>310</v>
      </c>
      <c r="B16" s="11" t="s">
        <v>745</v>
      </c>
      <c r="C16" t="s">
        <v>388</v>
      </c>
      <c r="E16" t="s">
        <v>187</v>
      </c>
      <c r="F16" s="57">
        <v>129.4</v>
      </c>
      <c r="G16" s="57">
        <v>79.099999999999994</v>
      </c>
      <c r="J16" s="136"/>
      <c r="K16" s="136"/>
      <c r="L16" s="37" t="s">
        <v>353</v>
      </c>
    </row>
    <row r="17" spans="1:12" ht="15.3">
      <c r="A17" s="53" t="s">
        <v>302</v>
      </c>
      <c r="B17" s="11" t="s">
        <v>339</v>
      </c>
      <c r="C17" t="s">
        <v>387</v>
      </c>
      <c r="E17" t="s">
        <v>187</v>
      </c>
      <c r="F17" s="57">
        <v>137.9</v>
      </c>
      <c r="G17" s="57">
        <v>50.9</v>
      </c>
      <c r="J17" s="136"/>
      <c r="K17" s="136"/>
      <c r="L17" s="37" t="s">
        <v>356</v>
      </c>
    </row>
    <row r="18" spans="1:12" ht="15.3">
      <c r="A18" s="53" t="s">
        <v>302</v>
      </c>
      <c r="B18" s="11" t="s">
        <v>750</v>
      </c>
      <c r="C18" t="s">
        <v>387</v>
      </c>
      <c r="E18" t="s">
        <v>187</v>
      </c>
      <c r="F18" s="57">
        <v>134</v>
      </c>
      <c r="G18" s="57">
        <v>50.7</v>
      </c>
      <c r="J18" s="136"/>
      <c r="K18" s="136"/>
      <c r="L18" s="37" t="s">
        <v>357</v>
      </c>
    </row>
    <row r="19" spans="1:12" ht="15.3">
      <c r="A19" s="53" t="s">
        <v>302</v>
      </c>
      <c r="B19" s="11" t="s">
        <v>751</v>
      </c>
      <c r="C19" t="s">
        <v>388</v>
      </c>
      <c r="E19" t="s">
        <v>187</v>
      </c>
      <c r="F19" s="57">
        <v>127.9</v>
      </c>
      <c r="G19" s="57">
        <v>50.3</v>
      </c>
      <c r="J19" s="136"/>
      <c r="K19" s="136"/>
      <c r="L19" s="37" t="s">
        <v>358</v>
      </c>
    </row>
    <row r="20" spans="1:12" ht="18.3">
      <c r="A20" s="53" t="s">
        <v>266</v>
      </c>
      <c r="B20" s="11" t="s">
        <v>339</v>
      </c>
      <c r="C20" t="s">
        <v>387</v>
      </c>
      <c r="E20" t="s">
        <v>187</v>
      </c>
      <c r="F20" s="57">
        <v>106</v>
      </c>
      <c r="G20" s="57">
        <v>55.2</v>
      </c>
      <c r="J20" s="136"/>
      <c r="K20" s="136"/>
      <c r="L20" s="37" t="s">
        <v>360</v>
      </c>
    </row>
    <row r="21" spans="1:12" ht="18.3">
      <c r="A21" s="53" t="s">
        <v>313</v>
      </c>
      <c r="B21" s="11" t="s">
        <v>339</v>
      </c>
      <c r="C21" t="s">
        <v>387</v>
      </c>
      <c r="E21" t="s">
        <v>187</v>
      </c>
      <c r="F21" s="57">
        <v>128.80000000000001</v>
      </c>
      <c r="G21" s="57">
        <v>54.6</v>
      </c>
      <c r="J21" s="136"/>
      <c r="K21" s="136"/>
      <c r="L21" s="37" t="s">
        <v>361</v>
      </c>
    </row>
    <row r="22" spans="1:12" ht="15.3">
      <c r="A22" s="53" t="s">
        <v>285</v>
      </c>
      <c r="B22" s="11" t="s">
        <v>752</v>
      </c>
      <c r="C22" t="s">
        <v>388</v>
      </c>
      <c r="E22" t="s">
        <v>187</v>
      </c>
      <c r="F22" s="57">
        <v>240</v>
      </c>
      <c r="G22" s="57">
        <v>160</v>
      </c>
      <c r="J22" s="136"/>
      <c r="K22" s="136"/>
      <c r="L22" s="37" t="s">
        <v>362</v>
      </c>
    </row>
    <row r="23" spans="1:12" ht="15.3">
      <c r="A23" s="53" t="s">
        <v>656</v>
      </c>
      <c r="B23" s="11" t="s">
        <v>671</v>
      </c>
      <c r="C23" t="s">
        <v>390</v>
      </c>
      <c r="E23" t="s">
        <v>187</v>
      </c>
      <c r="F23" s="57">
        <v>165</v>
      </c>
      <c r="G23" s="57">
        <v>80</v>
      </c>
      <c r="H23" t="s">
        <v>0</v>
      </c>
      <c r="J23" s="136"/>
      <c r="K23" s="136"/>
      <c r="L23" s="37" t="s">
        <v>363</v>
      </c>
    </row>
    <row r="24" spans="1:12" ht="18.3">
      <c r="B24" s="11" t="s">
        <v>339</v>
      </c>
      <c r="C24" t="s">
        <v>387</v>
      </c>
      <c r="E24" t="s">
        <v>187</v>
      </c>
      <c r="F24" s="57">
        <v>148.19999999999999</v>
      </c>
      <c r="G24" s="57">
        <v>62</v>
      </c>
      <c r="J24" s="136"/>
      <c r="K24" s="136"/>
      <c r="L24" s="37" t="s">
        <v>364</v>
      </c>
    </row>
    <row r="25" spans="1:12" ht="15.3">
      <c r="A25" s="53" t="s">
        <v>18</v>
      </c>
      <c r="B25" s="11" t="s">
        <v>753</v>
      </c>
      <c r="C25" t="s">
        <v>390</v>
      </c>
      <c r="E25" t="s">
        <v>187</v>
      </c>
      <c r="F25" s="57">
        <v>120</v>
      </c>
      <c r="G25" s="57">
        <v>72</v>
      </c>
      <c r="J25" s="136"/>
      <c r="K25" s="136"/>
      <c r="L25" s="37" t="s">
        <v>367</v>
      </c>
    </row>
    <row r="26" spans="1:12" ht="18.3">
      <c r="A26" s="53" t="s">
        <v>306</v>
      </c>
      <c r="B26" s="11" t="s">
        <v>754</v>
      </c>
      <c r="C26" t="s">
        <v>390</v>
      </c>
      <c r="E26" t="s">
        <v>187</v>
      </c>
      <c r="F26" s="57">
        <v>174</v>
      </c>
      <c r="G26" s="57">
        <v>114</v>
      </c>
      <c r="J26" s="136"/>
      <c r="K26" s="136"/>
      <c r="L26" s="37" t="s">
        <v>368</v>
      </c>
    </row>
    <row r="27" spans="1:12" ht="15.3">
      <c r="A27" s="53" t="s">
        <v>306</v>
      </c>
      <c r="B27" s="11" t="s">
        <v>755</v>
      </c>
      <c r="C27" t="s">
        <v>390</v>
      </c>
      <c r="E27" t="s">
        <v>187</v>
      </c>
      <c r="F27" s="57">
        <v>170</v>
      </c>
      <c r="G27" s="57">
        <v>115</v>
      </c>
      <c r="J27" s="136"/>
      <c r="K27" s="136"/>
      <c r="L27" s="37" t="s">
        <v>369</v>
      </c>
    </row>
    <row r="28" spans="1:12" ht="15.3">
      <c r="A28" s="53" t="s">
        <v>306</v>
      </c>
      <c r="B28" s="11" t="s">
        <v>756</v>
      </c>
      <c r="C28" t="s">
        <v>390</v>
      </c>
      <c r="E28" t="s">
        <v>187</v>
      </c>
      <c r="F28" s="57">
        <v>170</v>
      </c>
      <c r="G28" s="57">
        <v>108</v>
      </c>
      <c r="J28" s="136"/>
      <c r="K28" s="136"/>
      <c r="L28" s="37" t="s">
        <v>370</v>
      </c>
    </row>
    <row r="29" spans="1:12" ht="18.3">
      <c r="A29" s="53" t="s">
        <v>270</v>
      </c>
      <c r="B29" t="s">
        <v>757</v>
      </c>
      <c r="C29" t="s">
        <v>390</v>
      </c>
      <c r="E29" t="s">
        <v>187</v>
      </c>
      <c r="F29" s="57">
        <v>108</v>
      </c>
      <c r="G29" s="57">
        <v>76</v>
      </c>
      <c r="J29" s="136"/>
      <c r="K29" s="136"/>
      <c r="L29" s="37" t="s">
        <v>371</v>
      </c>
    </row>
    <row r="30" spans="1:12" ht="15.3">
      <c r="A30" s="53" t="s">
        <v>270</v>
      </c>
      <c r="B30" t="s">
        <v>758</v>
      </c>
      <c r="C30" t="s">
        <v>388</v>
      </c>
      <c r="E30" t="s">
        <v>187</v>
      </c>
      <c r="F30" s="57">
        <v>108</v>
      </c>
      <c r="G30" s="57">
        <v>76.8</v>
      </c>
      <c r="J30" s="136"/>
      <c r="K30" s="136"/>
      <c r="L30" s="37" t="s">
        <v>372</v>
      </c>
    </row>
    <row r="31" spans="1:12" ht="15.3">
      <c r="A31" s="53" t="s">
        <v>270</v>
      </c>
      <c r="B31" t="s">
        <v>741</v>
      </c>
      <c r="C31" t="s">
        <v>388</v>
      </c>
      <c r="E31" t="s">
        <v>187</v>
      </c>
      <c r="F31" s="57">
        <v>105</v>
      </c>
      <c r="G31" s="57">
        <v>75.5</v>
      </c>
      <c r="J31" s="136"/>
      <c r="K31" s="136"/>
      <c r="L31" s="37" t="s">
        <v>373</v>
      </c>
    </row>
    <row r="32" spans="1:12" ht="15.3">
      <c r="A32" s="53" t="s">
        <v>270</v>
      </c>
      <c r="B32" t="s">
        <v>759</v>
      </c>
      <c r="C32" t="s">
        <v>388</v>
      </c>
      <c r="E32" t="s">
        <v>187</v>
      </c>
      <c r="F32" s="57">
        <v>112</v>
      </c>
      <c r="G32" s="57">
        <v>63</v>
      </c>
      <c r="J32" s="136"/>
      <c r="K32" s="136"/>
      <c r="L32" s="37" t="s">
        <v>374</v>
      </c>
    </row>
    <row r="33" spans="1:12" ht="15.3">
      <c r="A33" s="53" t="s">
        <v>270</v>
      </c>
      <c r="B33" s="11" t="s">
        <v>760</v>
      </c>
      <c r="C33" t="s">
        <v>388</v>
      </c>
      <c r="E33" t="s">
        <v>187</v>
      </c>
      <c r="F33" s="57">
        <v>103.5</v>
      </c>
      <c r="G33" s="57">
        <v>75.5</v>
      </c>
      <c r="J33" s="136"/>
      <c r="K33" s="136"/>
      <c r="L33" s="37" t="s">
        <v>375</v>
      </c>
    </row>
    <row r="34" spans="1:12" ht="18.3">
      <c r="A34" s="53" t="s">
        <v>270</v>
      </c>
      <c r="B34" t="s">
        <v>761</v>
      </c>
      <c r="C34" t="s">
        <v>390</v>
      </c>
      <c r="E34" t="s">
        <v>187</v>
      </c>
      <c r="F34" s="57">
        <v>102.2</v>
      </c>
      <c r="G34" s="57">
        <v>73.900000000000006</v>
      </c>
      <c r="J34" s="136"/>
      <c r="K34" s="136"/>
      <c r="L34" s="37" t="s">
        <v>376</v>
      </c>
    </row>
    <row r="35" spans="1:12" ht="15.3">
      <c r="A35" s="53" t="s">
        <v>270</v>
      </c>
      <c r="B35" t="s">
        <v>762</v>
      </c>
      <c r="C35" t="s">
        <v>389</v>
      </c>
      <c r="E35" t="s">
        <v>187</v>
      </c>
      <c r="F35" s="58" t="s">
        <v>100</v>
      </c>
      <c r="G35" s="57">
        <v>78.099999999999994</v>
      </c>
      <c r="J35" s="136"/>
      <c r="K35" s="136"/>
      <c r="L35" s="37" t="s">
        <v>377</v>
      </c>
    </row>
    <row r="36" spans="1:12" ht="15.3">
      <c r="A36" s="53" t="s">
        <v>303</v>
      </c>
      <c r="B36" t="s">
        <v>763</v>
      </c>
      <c r="C36" t="s">
        <v>390</v>
      </c>
      <c r="E36" t="s">
        <v>187</v>
      </c>
      <c r="F36" s="57">
        <v>101</v>
      </c>
      <c r="G36" s="57">
        <v>52</v>
      </c>
      <c r="J36" s="136"/>
      <c r="K36" s="136"/>
      <c r="L36" s="37" t="s">
        <v>378</v>
      </c>
    </row>
    <row r="37" spans="1:12" ht="15.3">
      <c r="A37" s="53" t="s">
        <v>274</v>
      </c>
      <c r="B37" t="s">
        <v>764</v>
      </c>
      <c r="C37" t="s">
        <v>390</v>
      </c>
      <c r="E37" t="s">
        <v>187</v>
      </c>
      <c r="F37" s="57">
        <v>112</v>
      </c>
      <c r="G37" s="57">
        <v>63.2</v>
      </c>
      <c r="J37" s="136"/>
      <c r="K37" s="136"/>
      <c r="L37" s="37" t="s">
        <v>380</v>
      </c>
    </row>
    <row r="38" spans="1:12" ht="15.3">
      <c r="A38" s="53" t="s">
        <v>657</v>
      </c>
      <c r="B38" t="s">
        <v>366</v>
      </c>
      <c r="C38" t="s">
        <v>390</v>
      </c>
      <c r="E38" t="s">
        <v>187</v>
      </c>
      <c r="F38" s="57">
        <v>264</v>
      </c>
      <c r="G38" s="57">
        <v>177</v>
      </c>
      <c r="J38" s="136"/>
      <c r="K38" s="136"/>
      <c r="L38" s="37" t="s">
        <v>382</v>
      </c>
    </row>
    <row r="39" spans="1:12" ht="15.3">
      <c r="A39" s="53" t="s">
        <v>657</v>
      </c>
      <c r="B39" t="s">
        <v>977</v>
      </c>
      <c r="C39" t="s">
        <v>390</v>
      </c>
      <c r="E39" t="s">
        <v>628</v>
      </c>
      <c r="F39" s="57"/>
      <c r="G39" s="57"/>
      <c r="J39" s="136"/>
      <c r="K39" s="136"/>
      <c r="L39" s="37" t="s">
        <v>383</v>
      </c>
    </row>
    <row r="40" spans="1:12" ht="15.3">
      <c r="A40" s="53" t="s">
        <v>657</v>
      </c>
      <c r="B40" t="s">
        <v>979</v>
      </c>
      <c r="C40" t="s">
        <v>390</v>
      </c>
      <c r="E40" t="s">
        <v>628</v>
      </c>
      <c r="F40" s="57"/>
      <c r="G40" s="57"/>
      <c r="H40" t="s">
        <v>980</v>
      </c>
      <c r="J40" s="136"/>
      <c r="K40" s="136"/>
      <c r="L40" s="37" t="s">
        <v>385</v>
      </c>
    </row>
    <row r="41" spans="1:12">
      <c r="A41" s="53" t="s">
        <v>322</v>
      </c>
      <c r="B41" t="s">
        <v>765</v>
      </c>
      <c r="C41" t="s">
        <v>390</v>
      </c>
      <c r="F41" s="57"/>
      <c r="G41" s="57"/>
      <c r="J41" s="136"/>
      <c r="K41" s="136"/>
      <c r="L41" t="s">
        <v>391</v>
      </c>
    </row>
    <row r="42" spans="1:12">
      <c r="A42" s="53" t="s">
        <v>268</v>
      </c>
      <c r="B42" t="s">
        <v>766</v>
      </c>
      <c r="C42"/>
      <c r="E42" t="s">
        <v>381</v>
      </c>
      <c r="F42" s="57">
        <v>128.19999999999999</v>
      </c>
      <c r="G42" s="57">
        <v>57.5</v>
      </c>
      <c r="J42" s="136"/>
      <c r="K42" s="136"/>
      <c r="L42" t="s">
        <v>392</v>
      </c>
    </row>
    <row r="43" spans="1:12">
      <c r="A43" s="53" t="s">
        <v>296</v>
      </c>
      <c r="B43" t="s">
        <v>767</v>
      </c>
      <c r="C43" t="s">
        <v>390</v>
      </c>
      <c r="F43" s="57"/>
      <c r="G43" s="57"/>
      <c r="J43" s="136"/>
      <c r="K43" s="136"/>
      <c r="L43" t="s">
        <v>394</v>
      </c>
    </row>
    <row r="44" spans="1:12">
      <c r="A44" s="53" t="s">
        <v>308</v>
      </c>
      <c r="B44" t="s">
        <v>768</v>
      </c>
      <c r="C44" t="s">
        <v>390</v>
      </c>
      <c r="E44" t="s">
        <v>187</v>
      </c>
      <c r="F44" s="57">
        <v>154</v>
      </c>
      <c r="G44" s="57">
        <v>97</v>
      </c>
      <c r="H44" t="s">
        <v>579</v>
      </c>
      <c r="J44" s="136"/>
      <c r="K44" s="136"/>
      <c r="L44" t="s">
        <v>248</v>
      </c>
    </row>
    <row r="45" spans="1:12">
      <c r="A45" s="53" t="s">
        <v>308</v>
      </c>
      <c r="B45" t="s">
        <v>769</v>
      </c>
      <c r="C45" t="s">
        <v>390</v>
      </c>
      <c r="E45" t="s">
        <v>616</v>
      </c>
      <c r="F45" s="57"/>
      <c r="G45" s="57"/>
      <c r="J45" s="136"/>
      <c r="K45" s="136"/>
      <c r="L45" t="s">
        <v>396</v>
      </c>
    </row>
    <row r="46" spans="1:12">
      <c r="A46" s="53" t="s">
        <v>926</v>
      </c>
      <c r="B46" t="s">
        <v>773</v>
      </c>
      <c r="C46" t="s">
        <v>388</v>
      </c>
      <c r="F46" s="57"/>
      <c r="G46" s="57"/>
      <c r="J46" s="136"/>
      <c r="K46" s="136"/>
      <c r="L46" t="s">
        <v>249</v>
      </c>
    </row>
    <row r="47" spans="1:12">
      <c r="A47" s="78" t="s">
        <v>925</v>
      </c>
      <c r="B47" t="s">
        <v>927</v>
      </c>
      <c r="C47" t="s">
        <v>118</v>
      </c>
      <c r="F47" s="57"/>
      <c r="G47" s="57"/>
      <c r="H47" t="s">
        <v>597</v>
      </c>
      <c r="J47" s="137"/>
      <c r="K47" s="137"/>
      <c r="L47" t="s">
        <v>257</v>
      </c>
    </row>
    <row r="48" spans="1:12">
      <c r="A48" s="53" t="s">
        <v>283</v>
      </c>
      <c r="B48" s="10" t="s">
        <v>393</v>
      </c>
      <c r="C48"/>
      <c r="E48" t="s">
        <v>379</v>
      </c>
      <c r="F48" s="57">
        <v>167.4</v>
      </c>
      <c r="G48" s="57">
        <v>114.8</v>
      </c>
      <c r="J48" s="136"/>
      <c r="K48" s="136"/>
      <c r="L48" t="s">
        <v>401</v>
      </c>
    </row>
    <row r="49" spans="1:12">
      <c r="A49" s="53" t="s">
        <v>287</v>
      </c>
      <c r="B49" t="s">
        <v>770</v>
      </c>
      <c r="C49" t="s">
        <v>390</v>
      </c>
      <c r="E49" t="s">
        <v>187</v>
      </c>
      <c r="F49" s="57">
        <v>162</v>
      </c>
      <c r="G49" s="57">
        <v>99.1</v>
      </c>
      <c r="J49" s="136"/>
      <c r="K49" s="136"/>
      <c r="L49" t="s">
        <v>402</v>
      </c>
    </row>
    <row r="50" spans="1:12">
      <c r="A50" s="53" t="s">
        <v>288</v>
      </c>
      <c r="B50" t="s">
        <v>770</v>
      </c>
      <c r="C50" t="s">
        <v>390</v>
      </c>
      <c r="E50" t="s">
        <v>187</v>
      </c>
      <c r="F50" s="57">
        <v>170.8</v>
      </c>
      <c r="G50" s="57">
        <v>91.5</v>
      </c>
      <c r="H50" t="s">
        <v>145</v>
      </c>
      <c r="J50" s="136"/>
      <c r="K50" s="136"/>
      <c r="L50" t="s">
        <v>403</v>
      </c>
    </row>
    <row r="51" spans="1:12">
      <c r="A51" s="53" t="s">
        <v>587</v>
      </c>
      <c r="B51" t="s">
        <v>771</v>
      </c>
      <c r="C51" t="s">
        <v>589</v>
      </c>
      <c r="F51" s="57"/>
      <c r="G51" s="57"/>
      <c r="J51" s="136"/>
      <c r="K51" s="136"/>
      <c r="L51" t="s">
        <v>405</v>
      </c>
    </row>
    <row r="52" spans="1:12">
      <c r="A52" s="56" t="s">
        <v>292</v>
      </c>
      <c r="B52" s="10" t="s">
        <v>398</v>
      </c>
      <c r="C52"/>
      <c r="E52" t="s">
        <v>381</v>
      </c>
      <c r="F52" s="57">
        <v>91.7</v>
      </c>
      <c r="G52" s="57">
        <v>64.2</v>
      </c>
      <c r="J52" s="138"/>
      <c r="K52" s="138"/>
      <c r="L52" t="s">
        <v>406</v>
      </c>
    </row>
    <row r="53" spans="1:12">
      <c r="A53" s="56" t="s">
        <v>298</v>
      </c>
      <c r="B53" s="10" t="s">
        <v>397</v>
      </c>
      <c r="C53"/>
      <c r="E53" t="s">
        <v>381</v>
      </c>
      <c r="F53" s="57">
        <v>80.400000000000006</v>
      </c>
      <c r="G53" s="57">
        <v>53.6</v>
      </c>
      <c r="H53" t="s">
        <v>395</v>
      </c>
      <c r="J53" s="138"/>
      <c r="K53" s="138"/>
    </row>
    <row r="54" spans="1:12">
      <c r="A54" s="53" t="s">
        <v>658</v>
      </c>
      <c r="B54" t="s">
        <v>772</v>
      </c>
      <c r="C54" t="s">
        <v>390</v>
      </c>
      <c r="E54" t="s">
        <v>187</v>
      </c>
      <c r="F54" s="57">
        <v>129</v>
      </c>
      <c r="G54" s="57">
        <v>54</v>
      </c>
      <c r="H54" t="s">
        <v>54</v>
      </c>
      <c r="J54" s="136"/>
      <c r="K54" s="136"/>
    </row>
    <row r="55" spans="1:12">
      <c r="A55" s="72" t="s">
        <v>658</v>
      </c>
      <c r="B55" t="s">
        <v>716</v>
      </c>
      <c r="C55" t="s">
        <v>593</v>
      </c>
      <c r="E55" t="s">
        <v>628</v>
      </c>
      <c r="F55" s="57"/>
      <c r="G55" s="57"/>
      <c r="H55" t="s">
        <v>724</v>
      </c>
      <c r="J55" s="139"/>
      <c r="K55" s="139"/>
    </row>
    <row r="56" spans="1:12">
      <c r="A56" s="53" t="s">
        <v>315</v>
      </c>
      <c r="B56" s="10" t="s">
        <v>399</v>
      </c>
      <c r="C56"/>
      <c r="E56" t="s">
        <v>381</v>
      </c>
      <c r="F56" s="57">
        <v>48.9</v>
      </c>
      <c r="G56" s="57">
        <v>27.4</v>
      </c>
      <c r="J56" s="136"/>
      <c r="K56" s="136"/>
    </row>
    <row r="57" spans="1:12">
      <c r="A57" s="53" t="s">
        <v>315</v>
      </c>
      <c r="B57" t="s">
        <v>677</v>
      </c>
      <c r="C57" t="s">
        <v>390</v>
      </c>
      <c r="E57" t="s">
        <v>628</v>
      </c>
      <c r="F57" s="57"/>
      <c r="G57" s="57"/>
      <c r="J57" s="136"/>
      <c r="K57" s="136"/>
    </row>
    <row r="58" spans="1:12">
      <c r="B58" t="s">
        <v>775</v>
      </c>
      <c r="C58" t="s">
        <v>857</v>
      </c>
      <c r="E58" t="s">
        <v>628</v>
      </c>
      <c r="F58" s="57"/>
      <c r="G58" s="57"/>
      <c r="I58" t="s">
        <v>938</v>
      </c>
      <c r="J58" s="136"/>
      <c r="K58" s="136"/>
    </row>
    <row r="59" spans="1:12">
      <c r="B59" t="s">
        <v>775</v>
      </c>
      <c r="C59" t="s">
        <v>857</v>
      </c>
      <c r="E59" t="s">
        <v>628</v>
      </c>
      <c r="F59" s="57"/>
      <c r="G59" s="57"/>
      <c r="I59" t="s">
        <v>938</v>
      </c>
      <c r="J59" s="136"/>
      <c r="K59" s="136"/>
    </row>
    <row r="60" spans="1:12">
      <c r="B60" t="s">
        <v>359</v>
      </c>
      <c r="C60" t="s">
        <v>390</v>
      </c>
      <c r="E60" t="s">
        <v>187</v>
      </c>
      <c r="F60" s="57">
        <v>203</v>
      </c>
      <c r="G60" s="57">
        <v>120</v>
      </c>
      <c r="J60" s="136"/>
      <c r="K60" s="136"/>
    </row>
    <row r="61" spans="1:12">
      <c r="B61" t="s">
        <v>359</v>
      </c>
      <c r="C61" t="s">
        <v>390</v>
      </c>
      <c r="E61" t="s">
        <v>187</v>
      </c>
      <c r="F61" s="57">
        <v>249</v>
      </c>
      <c r="G61" s="57">
        <v>140</v>
      </c>
      <c r="J61" s="136"/>
      <c r="K61" s="136"/>
    </row>
    <row r="62" spans="1:12">
      <c r="B62" t="s">
        <v>359</v>
      </c>
      <c r="C62" t="s">
        <v>390</v>
      </c>
      <c r="E62" t="s">
        <v>187</v>
      </c>
      <c r="F62" s="57">
        <v>197</v>
      </c>
      <c r="G62" s="57">
        <v>122</v>
      </c>
      <c r="J62" s="136"/>
      <c r="K62" s="136"/>
    </row>
    <row r="63" spans="1:12">
      <c r="A63" s="53" t="s">
        <v>702</v>
      </c>
      <c r="B63" t="s">
        <v>774</v>
      </c>
      <c r="C63" t="s">
        <v>390</v>
      </c>
      <c r="E63" t="s">
        <v>187</v>
      </c>
      <c r="F63" s="57">
        <v>75.7</v>
      </c>
      <c r="G63" s="57">
        <v>46.7</v>
      </c>
      <c r="J63" s="136"/>
      <c r="K63" s="136"/>
    </row>
    <row r="64" spans="1:12">
      <c r="A64" s="53" t="s">
        <v>400</v>
      </c>
      <c r="B64"/>
      <c r="C64"/>
      <c r="E64" t="s">
        <v>244</v>
      </c>
      <c r="F64" s="57">
        <v>58.2</v>
      </c>
      <c r="G64" s="57">
        <v>23.2</v>
      </c>
      <c r="J64" s="136"/>
      <c r="K64" s="136"/>
    </row>
    <row r="65" spans="1:11">
      <c r="A65" s="53" t="s">
        <v>400</v>
      </c>
      <c r="B65" s="10" t="s">
        <v>404</v>
      </c>
      <c r="C65"/>
      <c r="E65" t="s">
        <v>381</v>
      </c>
      <c r="F65" s="57">
        <v>55</v>
      </c>
      <c r="G65" s="57">
        <v>22.8</v>
      </c>
      <c r="J65" s="136"/>
      <c r="K65" s="136"/>
    </row>
    <row r="66" spans="1:11">
      <c r="A66" s="53" t="s">
        <v>294</v>
      </c>
      <c r="B66" t="s">
        <v>776</v>
      </c>
      <c r="C66"/>
      <c r="E66" t="s">
        <v>381</v>
      </c>
      <c r="F66" s="57">
        <v>54.9</v>
      </c>
      <c r="G66" s="57">
        <v>29.3</v>
      </c>
      <c r="J66" s="136"/>
      <c r="K66" s="136"/>
    </row>
    <row r="67" spans="1:11">
      <c r="A67" s="53" t="s">
        <v>384</v>
      </c>
      <c r="B67" s="10" t="s">
        <v>407</v>
      </c>
      <c r="C67"/>
      <c r="E67" t="s">
        <v>381</v>
      </c>
      <c r="F67" s="57">
        <v>54.9</v>
      </c>
      <c r="G67" s="57">
        <v>29.3</v>
      </c>
      <c r="J67" s="136"/>
      <c r="K67" s="136"/>
    </row>
    <row r="68" spans="1:11">
      <c r="A68" s="53" t="s">
        <v>317</v>
      </c>
      <c r="B68" t="s">
        <v>777</v>
      </c>
      <c r="C68" t="s">
        <v>719</v>
      </c>
      <c r="E68" t="s">
        <v>628</v>
      </c>
      <c r="F68" s="57"/>
      <c r="G68" s="57"/>
      <c r="H68" t="s">
        <v>822</v>
      </c>
      <c r="J68" s="136"/>
      <c r="K68" s="136"/>
    </row>
    <row r="69" spans="1:11">
      <c r="A69" s="53" t="s">
        <v>300</v>
      </c>
      <c r="B69" s="10" t="s">
        <v>962</v>
      </c>
      <c r="C69"/>
      <c r="E69" t="s">
        <v>381</v>
      </c>
      <c r="F69" s="57">
        <v>46.9</v>
      </c>
      <c r="G69" s="57">
        <v>38.5</v>
      </c>
      <c r="J69" s="136"/>
      <c r="K69" s="136"/>
    </row>
    <row r="70" spans="1:11">
      <c r="A70" s="53" t="s">
        <v>300</v>
      </c>
      <c r="B70" s="10"/>
      <c r="C70"/>
      <c r="F70" s="57"/>
      <c r="G70" s="57"/>
      <c r="H70" t="s">
        <v>963</v>
      </c>
      <c r="J70" s="136"/>
      <c r="K70" s="136"/>
    </row>
    <row r="71" spans="1:11">
      <c r="A71" s="53" t="s">
        <v>956</v>
      </c>
      <c r="B71" t="s">
        <v>960</v>
      </c>
      <c r="C71" t="s">
        <v>959</v>
      </c>
      <c r="F71" s="57"/>
      <c r="G71" s="57"/>
      <c r="H71" t="s">
        <v>961</v>
      </c>
      <c r="J71" s="136"/>
      <c r="K71" s="136"/>
    </row>
    <row r="72" spans="1:11">
      <c r="B72"/>
      <c r="C72"/>
      <c r="F72" s="57"/>
      <c r="G72" s="57"/>
      <c r="J72" s="136"/>
      <c r="K72" s="136"/>
    </row>
    <row r="73" spans="1:11">
      <c r="A73" s="53" t="s">
        <v>720</v>
      </c>
      <c r="B73" t="s">
        <v>723</v>
      </c>
      <c r="C73" t="s">
        <v>593</v>
      </c>
      <c r="E73" t="s">
        <v>628</v>
      </c>
      <c r="F73" s="57"/>
      <c r="G73" s="57"/>
      <c r="J73" s="136"/>
      <c r="K73" s="136"/>
    </row>
    <row r="74" spans="1:11">
      <c r="B74"/>
      <c r="C74"/>
      <c r="F74" s="57"/>
      <c r="G74" s="57"/>
      <c r="J74" s="136"/>
      <c r="K74" s="136"/>
    </row>
    <row r="75" spans="1:11">
      <c r="A75" s="77" t="s">
        <v>332</v>
      </c>
      <c r="B75" t="s">
        <v>778</v>
      </c>
      <c r="C75" t="s">
        <v>118</v>
      </c>
      <c r="F75" s="57"/>
      <c r="G75" s="57"/>
      <c r="J75" s="140"/>
      <c r="K75" s="140"/>
    </row>
    <row r="76" spans="1:11">
      <c r="A76" s="77" t="s">
        <v>786</v>
      </c>
      <c r="B76" s="11" t="s">
        <v>785</v>
      </c>
      <c r="C76"/>
      <c r="F76" s="57"/>
      <c r="G76" s="57"/>
      <c r="J76" s="140"/>
      <c r="K76" s="140"/>
    </row>
    <row r="77" spans="1:11">
      <c r="A77" s="77" t="s">
        <v>333</v>
      </c>
      <c r="B77" t="s">
        <v>779</v>
      </c>
      <c r="C77" t="s">
        <v>118</v>
      </c>
      <c r="F77" s="57"/>
      <c r="G77" s="57"/>
      <c r="H77" t="s">
        <v>59</v>
      </c>
      <c r="J77" s="140"/>
      <c r="K77" s="140"/>
    </row>
    <row r="78" spans="1:11">
      <c r="A78" s="77" t="s">
        <v>334</v>
      </c>
      <c r="B78" t="s">
        <v>780</v>
      </c>
      <c r="C78" t="s">
        <v>118</v>
      </c>
      <c r="F78" s="57"/>
      <c r="G78" s="57"/>
      <c r="H78" t="s">
        <v>58</v>
      </c>
      <c r="J78" s="140"/>
      <c r="K78" s="140"/>
    </row>
    <row r="79" spans="1:11">
      <c r="A79" s="77" t="s">
        <v>708</v>
      </c>
      <c r="B79" t="s">
        <v>781</v>
      </c>
      <c r="C79" t="s">
        <v>118</v>
      </c>
      <c r="F79" s="57"/>
      <c r="G79" s="57"/>
      <c r="H79" t="s">
        <v>57</v>
      </c>
      <c r="J79" s="140"/>
      <c r="K79" s="140"/>
    </row>
    <row r="80" spans="1:11">
      <c r="A80" s="77" t="s">
        <v>468</v>
      </c>
      <c r="B80" t="s">
        <v>779</v>
      </c>
      <c r="C80"/>
      <c r="F80" s="57"/>
      <c r="G80" s="57"/>
      <c r="H80" t="s">
        <v>470</v>
      </c>
      <c r="J80" s="140"/>
      <c r="K80" s="140"/>
    </row>
    <row r="81" spans="1:11">
      <c r="A81" s="77" t="s">
        <v>469</v>
      </c>
      <c r="B81" t="s">
        <v>779</v>
      </c>
      <c r="C81"/>
      <c r="F81" s="57"/>
      <c r="G81" s="57"/>
      <c r="H81" t="s">
        <v>470</v>
      </c>
      <c r="J81" s="140"/>
      <c r="K81" s="140"/>
    </row>
    <row r="82" spans="1:11">
      <c r="A82" s="77" t="s">
        <v>924</v>
      </c>
      <c r="B82" t="s">
        <v>928</v>
      </c>
      <c r="C82"/>
      <c r="D82" t="s">
        <v>968</v>
      </c>
      <c r="F82" s="57"/>
      <c r="G82" s="57"/>
      <c r="J82" s="140"/>
      <c r="K82" s="140"/>
    </row>
    <row r="83" spans="1:11">
      <c r="A83" s="77" t="s">
        <v>924</v>
      </c>
      <c r="B83" t="s">
        <v>933</v>
      </c>
      <c r="C83"/>
      <c r="F83" s="57"/>
      <c r="G83" s="57"/>
      <c r="J83" s="140"/>
      <c r="K83" s="140"/>
    </row>
    <row r="84" spans="1:11">
      <c r="A84" s="77" t="s">
        <v>924</v>
      </c>
      <c r="B84" t="s">
        <v>934</v>
      </c>
      <c r="C84"/>
      <c r="F84" s="57"/>
      <c r="G84" s="57"/>
      <c r="J84" s="140"/>
      <c r="K84" s="140"/>
    </row>
    <row r="85" spans="1:11">
      <c r="A85" s="77"/>
      <c r="B85"/>
      <c r="C85"/>
      <c r="F85" s="57"/>
      <c r="G85" s="57"/>
      <c r="J85" s="140"/>
      <c r="K85" s="140"/>
    </row>
    <row r="86" spans="1:11">
      <c r="A86" s="77" t="s">
        <v>460</v>
      </c>
      <c r="B86" t="s">
        <v>782</v>
      </c>
      <c r="C86"/>
      <c r="F86" s="57"/>
      <c r="G86" s="57"/>
      <c r="H86" t="s">
        <v>465</v>
      </c>
      <c r="J86" s="140"/>
      <c r="K86" s="140"/>
    </row>
    <row r="87" spans="1:11">
      <c r="A87" s="77" t="s">
        <v>460</v>
      </c>
      <c r="B87" t="s">
        <v>782</v>
      </c>
      <c r="C87"/>
      <c r="F87" s="57"/>
      <c r="G87" s="57"/>
      <c r="H87" t="s">
        <v>466</v>
      </c>
      <c r="J87" s="140"/>
      <c r="K87" s="140"/>
    </row>
    <row r="88" spans="1:11">
      <c r="A88" s="77" t="s">
        <v>460</v>
      </c>
      <c r="B88" t="s">
        <v>782</v>
      </c>
      <c r="C88"/>
      <c r="F88" s="57"/>
      <c r="G88" s="57"/>
      <c r="H88" t="s">
        <v>467</v>
      </c>
      <c r="J88" s="140"/>
      <c r="K88" s="140"/>
    </row>
    <row r="89" spans="1:11">
      <c r="B89"/>
      <c r="C89"/>
      <c r="F89" s="57"/>
      <c r="G89" s="57"/>
      <c r="J89" s="136"/>
      <c r="K89" s="136"/>
    </row>
    <row r="90" spans="1:11">
      <c r="A90" s="53" t="s">
        <v>308</v>
      </c>
      <c r="B90" s="11" t="s">
        <v>783</v>
      </c>
      <c r="C90" t="s">
        <v>390</v>
      </c>
      <c r="E90" t="s">
        <v>616</v>
      </c>
      <c r="F90" s="57"/>
      <c r="G90" s="57"/>
      <c r="J90" s="136"/>
      <c r="K90" s="136"/>
    </row>
    <row r="91" spans="1:11">
      <c r="A91" s="53" t="s">
        <v>617</v>
      </c>
      <c r="B91" t="s">
        <v>783</v>
      </c>
      <c r="C91"/>
      <c r="F91" s="57"/>
      <c r="G91" s="57"/>
      <c r="J91" s="136"/>
      <c r="K91" s="136"/>
    </row>
    <row r="92" spans="1:11">
      <c r="A92" s="53" t="s">
        <v>618</v>
      </c>
      <c r="B92" s="11" t="s">
        <v>783</v>
      </c>
      <c r="C92"/>
      <c r="F92" s="57"/>
      <c r="G92" s="57"/>
      <c r="J92" s="136"/>
      <c r="K92" s="136"/>
    </row>
    <row r="93" spans="1:11">
      <c r="A93" s="53" t="s">
        <v>474</v>
      </c>
      <c r="B93" t="s">
        <v>783</v>
      </c>
      <c r="C93"/>
      <c r="F93" s="57"/>
      <c r="G93" s="57"/>
      <c r="J93" s="136"/>
      <c r="K93" s="136"/>
    </row>
    <row r="94" spans="1:11">
      <c r="A94" s="53" t="s">
        <v>619</v>
      </c>
      <c r="B94" s="11" t="s">
        <v>783</v>
      </c>
      <c r="C94"/>
      <c r="F94" s="57"/>
      <c r="G94" s="57"/>
      <c r="J94" s="136"/>
      <c r="K94" s="136"/>
    </row>
    <row r="95" spans="1:11">
      <c r="A95" s="53" t="s">
        <v>620</v>
      </c>
      <c r="B95" t="s">
        <v>783</v>
      </c>
      <c r="C95"/>
      <c r="F95" s="57"/>
      <c r="G95" s="57"/>
      <c r="J95" s="136"/>
      <c r="K95" s="136"/>
    </row>
    <row r="96" spans="1:11">
      <c r="A96" s="53" t="s">
        <v>632</v>
      </c>
      <c r="B96"/>
      <c r="C96"/>
      <c r="F96" s="57"/>
      <c r="G96" s="57"/>
      <c r="J96" s="136"/>
      <c r="K96" s="136"/>
    </row>
    <row r="97" spans="1:11">
      <c r="A97" s="53" t="s">
        <v>633</v>
      </c>
      <c r="B97" t="s">
        <v>784</v>
      </c>
      <c r="C97"/>
      <c r="F97" s="57"/>
      <c r="G97" s="57"/>
      <c r="J97" s="136"/>
      <c r="K97" s="136"/>
    </row>
    <row r="98" spans="1:11">
      <c r="A98" s="53" t="s">
        <v>634</v>
      </c>
      <c r="B98" t="s">
        <v>784</v>
      </c>
      <c r="C98"/>
      <c r="F98" s="59"/>
      <c r="G98" s="59"/>
      <c r="J98" s="136"/>
      <c r="K98" s="136"/>
    </row>
    <row r="99" spans="1:11">
      <c r="A99" s="53" t="s">
        <v>635</v>
      </c>
      <c r="B99" t="s">
        <v>784</v>
      </c>
      <c r="C99"/>
      <c r="F99" s="57"/>
      <c r="G99" s="57"/>
      <c r="J99" s="136"/>
      <c r="K99" s="136"/>
    </row>
    <row r="100" spans="1:11">
      <c r="A100" s="53" t="s">
        <v>636</v>
      </c>
      <c r="B100" t="s">
        <v>784</v>
      </c>
      <c r="C100"/>
      <c r="F100" s="57"/>
      <c r="G100" s="57"/>
      <c r="J100" s="136"/>
      <c r="K100" s="136"/>
    </row>
    <row r="101" spans="1:11">
      <c r="A101" s="53" t="s">
        <v>637</v>
      </c>
      <c r="B101" t="s">
        <v>784</v>
      </c>
      <c r="C101"/>
      <c r="F101" s="57"/>
      <c r="G101" s="57"/>
      <c r="J101" s="136"/>
      <c r="K101" s="136"/>
    </row>
    <row r="102" spans="1:11">
      <c r="A102" s="53" t="s">
        <v>638</v>
      </c>
      <c r="B102" t="s">
        <v>784</v>
      </c>
      <c r="C102"/>
      <c r="F102" s="57"/>
      <c r="G102" s="57"/>
      <c r="J102" s="136"/>
      <c r="K102" s="136"/>
    </row>
    <row r="103" spans="1:11">
      <c r="A103" s="62" t="s">
        <v>639</v>
      </c>
      <c r="B103" t="s">
        <v>784</v>
      </c>
      <c r="C103"/>
      <c r="F103" s="57"/>
      <c r="G103" s="57"/>
      <c r="J103" s="141"/>
      <c r="K103" s="141"/>
    </row>
    <row r="104" spans="1:11">
      <c r="A104" s="53" t="s">
        <v>640</v>
      </c>
      <c r="B104" t="s">
        <v>784</v>
      </c>
      <c r="C104"/>
      <c r="F104" s="57"/>
      <c r="G104" s="57"/>
      <c r="J104" s="136"/>
      <c r="K104" s="136"/>
    </row>
    <row r="105" spans="1:11">
      <c r="A105" s="53" t="s">
        <v>641</v>
      </c>
      <c r="B105" t="s">
        <v>784</v>
      </c>
      <c r="C105"/>
      <c r="F105" s="57"/>
      <c r="G105" s="57"/>
      <c r="J105" s="136"/>
      <c r="K105" s="136"/>
    </row>
    <row r="106" spans="1:11">
      <c r="A106" s="53" t="s">
        <v>642</v>
      </c>
      <c r="B106" t="s">
        <v>784</v>
      </c>
      <c r="C106"/>
      <c r="F106" s="57"/>
      <c r="G106" s="57"/>
      <c r="J106" s="136"/>
      <c r="K106" s="136"/>
    </row>
    <row r="107" spans="1:11">
      <c r="A107" s="53" t="s">
        <v>643</v>
      </c>
      <c r="B107" t="s">
        <v>784</v>
      </c>
      <c r="C107"/>
      <c r="F107" s="57"/>
      <c r="G107" s="57"/>
      <c r="J107" s="136"/>
      <c r="K107" s="136"/>
    </row>
    <row r="108" spans="1:11">
      <c r="A108" s="53" t="s">
        <v>644</v>
      </c>
      <c r="B108" t="s">
        <v>784</v>
      </c>
      <c r="C108"/>
      <c r="F108" s="57"/>
      <c r="G108" s="57"/>
      <c r="J108" s="136"/>
      <c r="K108" s="136"/>
    </row>
    <row r="109" spans="1:11">
      <c r="A109" s="53" t="s">
        <v>645</v>
      </c>
      <c r="B109" t="s">
        <v>784</v>
      </c>
      <c r="C109"/>
      <c r="F109" s="57"/>
      <c r="G109" s="57"/>
      <c r="J109" s="136"/>
      <c r="K109" s="136"/>
    </row>
    <row r="110" spans="1:11">
      <c r="A110" s="53" t="s">
        <v>646</v>
      </c>
      <c r="B110" t="s">
        <v>784</v>
      </c>
      <c r="C110"/>
      <c r="F110" s="57"/>
      <c r="G110" s="57"/>
      <c r="J110" s="136"/>
      <c r="K110" s="136"/>
    </row>
    <row r="111" spans="1:11">
      <c r="A111" s="53" t="s">
        <v>647</v>
      </c>
      <c r="B111" t="s">
        <v>784</v>
      </c>
      <c r="C111"/>
      <c r="F111" s="57"/>
      <c r="G111" s="57"/>
      <c r="J111" s="136"/>
      <c r="K111" s="136"/>
    </row>
    <row r="112" spans="1:11">
      <c r="A112" s="53" t="s">
        <v>648</v>
      </c>
      <c r="B112" t="s">
        <v>784</v>
      </c>
      <c r="C112"/>
      <c r="F112" s="57"/>
      <c r="G112" s="57"/>
      <c r="J112" s="136"/>
      <c r="K112" s="136"/>
    </row>
    <row r="113" spans="1:11">
      <c r="A113" s="53" t="s">
        <v>649</v>
      </c>
      <c r="B113" t="s">
        <v>784</v>
      </c>
      <c r="C113"/>
      <c r="F113" s="57"/>
      <c r="G113" s="57"/>
      <c r="J113" s="136"/>
      <c r="K113" s="136"/>
    </row>
    <row r="114" spans="1:11">
      <c r="A114" s="53" t="s">
        <v>650</v>
      </c>
      <c r="B114" t="s">
        <v>784</v>
      </c>
      <c r="C114"/>
      <c r="F114" s="57"/>
      <c r="G114" s="57"/>
      <c r="J114" s="136"/>
      <c r="K114" s="136"/>
    </row>
    <row r="115" spans="1:11">
      <c r="A115" s="53" t="s">
        <v>651</v>
      </c>
      <c r="B115" t="s">
        <v>784</v>
      </c>
      <c r="C115"/>
      <c r="F115" s="57"/>
      <c r="G115" s="57"/>
      <c r="J115" s="136"/>
      <c r="K115" s="136"/>
    </row>
    <row r="116" spans="1:11">
      <c r="A116" s="53" t="s">
        <v>652</v>
      </c>
      <c r="B116" t="s">
        <v>784</v>
      </c>
      <c r="C116"/>
      <c r="F116" s="57"/>
      <c r="G116" s="57"/>
      <c r="J116" s="136"/>
      <c r="K116" s="136"/>
    </row>
    <row r="117" spans="1:11">
      <c r="A117" s="53" t="s">
        <v>653</v>
      </c>
      <c r="B117" t="s">
        <v>784</v>
      </c>
      <c r="C117"/>
      <c r="F117" s="57"/>
      <c r="G117" s="57"/>
      <c r="J117" s="136"/>
      <c r="K117" s="136"/>
    </row>
    <row r="118" spans="1:11">
      <c r="A118" s="53" t="s">
        <v>654</v>
      </c>
      <c r="B118" t="s">
        <v>784</v>
      </c>
      <c r="C118"/>
      <c r="F118" s="57"/>
      <c r="G118" s="57"/>
      <c r="J118" s="136"/>
      <c r="K118" s="136"/>
    </row>
    <row r="119" spans="1:11">
      <c r="A119" s="53" t="s">
        <v>655</v>
      </c>
      <c r="B119" t="s">
        <v>784</v>
      </c>
      <c r="C119"/>
      <c r="F119" s="57"/>
      <c r="G119" s="57"/>
      <c r="J119" s="136"/>
      <c r="K119" s="136"/>
    </row>
    <row r="120" spans="1:11">
      <c r="B120"/>
      <c r="C120"/>
      <c r="F120" s="57"/>
      <c r="G120" s="57"/>
      <c r="J120" s="136"/>
      <c r="K120" s="136"/>
    </row>
    <row r="121" spans="1:11">
      <c r="A121" s="82" t="s">
        <v>981</v>
      </c>
      <c r="B121"/>
      <c r="C121"/>
      <c r="F121" s="57"/>
      <c r="G121" s="57"/>
      <c r="J121" s="142"/>
      <c r="K121" s="142"/>
    </row>
    <row r="122" spans="1:11">
      <c r="A122" s="53" t="s">
        <v>657</v>
      </c>
      <c r="B122" t="s">
        <v>976</v>
      </c>
      <c r="C122" t="s">
        <v>390</v>
      </c>
      <c r="F122" s="57">
        <v>246</v>
      </c>
      <c r="G122" s="57">
        <v>184</v>
      </c>
      <c r="J122" s="136"/>
      <c r="K122" s="136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6" sqref="AM6"/>
    </sheetView>
  </sheetViews>
  <sheetFormatPr defaultColWidth="8.83984375" defaultRowHeight="14.4" outlineLevelCol="1"/>
  <cols>
    <col min="1" max="1" width="15.26171875" customWidth="1"/>
    <col min="2" max="2" width="19.41796875" customWidth="1" outlineLevel="1"/>
    <col min="3" max="3" width="16.68359375" customWidth="1" outlineLevel="1"/>
    <col min="4" max="4" width="13.26171875" customWidth="1" outlineLevel="1"/>
    <col min="5" max="5" width="3.26171875" style="57" customWidth="1" outlineLevel="1"/>
    <col min="6" max="6" width="2.26171875" style="57" customWidth="1" outlineLevel="1"/>
    <col min="7" max="7" width="3.68359375" style="57" customWidth="1" outlineLevel="1"/>
    <col min="8" max="8" width="5.83984375" customWidth="1"/>
    <col min="9" max="21" width="8.83984375" customWidth="1" outlineLevel="1"/>
    <col min="22" max="29" width="8.26171875" customWidth="1" outlineLevel="1"/>
    <col min="30" max="31" width="8.26171875" style="7" customWidth="1"/>
    <col min="32" max="32" width="6.83984375" customWidth="1"/>
    <col min="33" max="34" width="8.26171875" style="7" customWidth="1"/>
    <col min="35" max="35" width="6" customWidth="1"/>
    <col min="36" max="38" width="6.26171875" customWidth="1"/>
    <col min="39" max="39" width="6.26171875" customWidth="1" outlineLevel="1"/>
    <col min="40" max="40" width="5.83984375" customWidth="1" outlineLevel="1"/>
    <col min="41" max="42" width="6.26171875" customWidth="1" outlineLevel="1"/>
    <col min="43" max="43" width="6.26171875" style="4" customWidth="1"/>
    <col min="44" max="46" width="8.26171875" style="8" customWidth="1"/>
    <col min="47" max="48" width="6.26171875" style="7" customWidth="1"/>
    <col min="49" max="49" width="8.83984375" hidden="1" customWidth="1" outlineLevel="1" collapsed="1"/>
    <col min="50" max="50" width="8.83984375" hidden="1" customWidth="1" outlineLevel="1"/>
    <col min="51" max="52" width="5.83984375" style="7" hidden="1" customWidth="1" outlineLevel="1"/>
    <col min="53" max="53" width="6.41796875" style="7" hidden="1" customWidth="1" outlineLevel="1"/>
    <col min="54" max="54" width="5.83984375" style="7" hidden="1" customWidth="1" outlineLevel="1"/>
    <col min="55" max="56" width="6.41796875" style="7" hidden="1" customWidth="1" outlineLevel="1"/>
    <col min="57" max="57" width="3" customWidth="1" collapsed="1"/>
    <col min="58" max="58" width="30.26171875" customWidth="1"/>
    <col min="59" max="59" width="11.83984375" customWidth="1"/>
    <col min="60" max="60" width="7.15625" customWidth="1"/>
    <col min="61" max="61" width="12.41796875" customWidth="1"/>
    <col min="62" max="63" width="8.26171875" customWidth="1"/>
    <col min="64" max="64" width="82" customWidth="1"/>
  </cols>
  <sheetData>
    <row r="1" spans="1:56" s="22" customFormat="1" ht="16.8">
      <c r="A1" s="22" t="s">
        <v>242</v>
      </c>
      <c r="B1" s="22" t="s">
        <v>412</v>
      </c>
      <c r="C1" s="22" t="s">
        <v>241</v>
      </c>
      <c r="D1" s="22" t="s">
        <v>610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>
        <v>15</v>
      </c>
      <c r="S1" s="22">
        <v>25</v>
      </c>
      <c r="T1" s="22">
        <v>35</v>
      </c>
      <c r="U1" s="22">
        <v>46</v>
      </c>
      <c r="V1" s="22" t="s">
        <v>147</v>
      </c>
      <c r="W1" s="22" t="s">
        <v>148</v>
      </c>
      <c r="X1" s="22" t="s">
        <v>149</v>
      </c>
      <c r="Y1" s="22" t="s">
        <v>150</v>
      </c>
      <c r="Z1" s="22" t="s">
        <v>151</v>
      </c>
      <c r="AA1" s="22" t="s">
        <v>152</v>
      </c>
      <c r="AB1" s="22" t="s">
        <v>153</v>
      </c>
      <c r="AC1" s="22" t="s">
        <v>154</v>
      </c>
      <c r="AD1" s="25" t="s">
        <v>135</v>
      </c>
      <c r="AE1" s="25" t="s">
        <v>134</v>
      </c>
      <c r="AF1" s="22" t="s">
        <v>155</v>
      </c>
      <c r="AG1" s="25" t="s">
        <v>137</v>
      </c>
      <c r="AH1" s="25" t="s">
        <v>136</v>
      </c>
      <c r="AI1" s="22" t="s">
        <v>157</v>
      </c>
      <c r="AJ1" s="22" t="s">
        <v>208</v>
      </c>
      <c r="AK1" s="143" t="s">
        <v>1385</v>
      </c>
      <c r="AL1" s="143" t="s">
        <v>1384</v>
      </c>
      <c r="AM1" s="22" t="s">
        <v>166</v>
      </c>
      <c r="AN1" s="22" t="s">
        <v>167</v>
      </c>
      <c r="AO1" s="22" t="s">
        <v>168</v>
      </c>
      <c r="AP1" s="22" t="s">
        <v>169</v>
      </c>
      <c r="AQ1" s="27" t="s">
        <v>146</v>
      </c>
      <c r="AR1" s="26" t="s">
        <v>985</v>
      </c>
      <c r="AS1" s="26" t="s">
        <v>120</v>
      </c>
      <c r="AT1" s="26" t="s">
        <v>119</v>
      </c>
      <c r="AU1" s="25" t="s">
        <v>621</v>
      </c>
      <c r="AV1" s="25" t="s">
        <v>622</v>
      </c>
      <c r="AW1" s="22" t="s">
        <v>132</v>
      </c>
      <c r="AX1" s="22" t="s">
        <v>133</v>
      </c>
      <c r="AY1" s="25" t="s">
        <v>161</v>
      </c>
      <c r="AZ1" s="25" t="s">
        <v>162</v>
      </c>
      <c r="BA1" s="25" t="s">
        <v>163</v>
      </c>
      <c r="BB1" s="25" t="s">
        <v>161</v>
      </c>
      <c r="BC1" s="25" t="s">
        <v>162</v>
      </c>
      <c r="BD1" s="25" t="s">
        <v>163</v>
      </c>
    </row>
    <row r="2" spans="1:56">
      <c r="A2" t="s">
        <v>174</v>
      </c>
      <c r="B2" t="s">
        <v>173</v>
      </c>
      <c r="C2" t="s">
        <v>235</v>
      </c>
      <c r="D2" t="s">
        <v>201</v>
      </c>
      <c r="E2" s="57" t="s">
        <v>25</v>
      </c>
      <c r="F2" s="57">
        <v>2</v>
      </c>
      <c r="G2" s="57">
        <v>9</v>
      </c>
      <c r="H2">
        <v>3.657</v>
      </c>
      <c r="I2">
        <v>222</v>
      </c>
      <c r="J2">
        <v>176</v>
      </c>
      <c r="K2">
        <v>249</v>
      </c>
      <c r="L2">
        <v>55</v>
      </c>
      <c r="M2">
        <v>63</v>
      </c>
      <c r="N2">
        <v>60</v>
      </c>
      <c r="O2">
        <v>69</v>
      </c>
      <c r="P2">
        <v>79</v>
      </c>
      <c r="Q2">
        <v>86</v>
      </c>
      <c r="R2">
        <v>12</v>
      </c>
      <c r="S2">
        <v>13</v>
      </c>
      <c r="T2">
        <v>26</v>
      </c>
      <c r="U2">
        <v>-10</v>
      </c>
      <c r="V2">
        <f t="shared" ref="V2:V16" si="0">K2*M2-T2*T2</f>
        <v>15011</v>
      </c>
      <c r="W2">
        <f t="shared" ref="W2:W16" si="1">Q2*M2-S2*T2</f>
        <v>5080</v>
      </c>
      <c r="X2">
        <f t="shared" ref="X2:X16" si="2">P2*T2-R2*K2</f>
        <v>-934</v>
      </c>
      <c r="Y2">
        <f t="shared" ref="Y2:Y16" si="3">P2*M2-R2*T2</f>
        <v>4665</v>
      </c>
      <c r="Z2">
        <f t="shared" ref="Z2:Z16" si="4">P2*S2-R2*Q2</f>
        <v>-5</v>
      </c>
      <c r="AA2">
        <f t="shared" ref="AA2:AA16" si="5">I2*(J2*M2-S2*S2)-O2*(O2*M2-R2*S2)+R2*(O2*S2-R2*J2)+S2*(Q2*T2-S2*K2)</f>
        <v>2107246</v>
      </c>
      <c r="AB2">
        <f t="shared" ref="AB2:AB16" si="6">I2*J2*K2-I2*Q2*Q2-J2*P2*P2-K2*O2*O2+2*O2*P2*Q2</f>
        <v>6740683</v>
      </c>
      <c r="AC2">
        <f t="shared" ref="AC2:AC16" si="7">2*(R2*S2*(K2*O2-P2*Q2)+R2*T2*(J2*P2-O2*Q2)+S2*T2*(I2*Q2-O2*P2))-(R2*R2*(J2*K2-Q2*Q2)+S2*S2*(I2*K2-P2*P2)+T2*T2*(I2*J2-O2*O2))+M2*AB2</f>
        <v>405371248</v>
      </c>
      <c r="AD2" s="7">
        <f t="shared" ref="AD2:AD16" si="8">AC2/(V2*(I2+J2-2*O2)+W2*(2*O2-2*I2-Q2)+X2*(R2-2*S2)+Y2*(2*O2+2*Q2-P2-2*J2)+2*Z2*(S2-R2)+AA2)</f>
        <v>116.9110700486568</v>
      </c>
      <c r="AE2" s="7">
        <f t="shared" ref="AE2:AE16" si="9">(I2+J2+K2+2*(O2+P2+Q2))/9</f>
        <v>123.88888888888889</v>
      </c>
      <c r="AF2" s="7">
        <f t="shared" ref="AF2:AF16" si="10">0.5*(AD2+AE2)</f>
        <v>120.39997946877284</v>
      </c>
      <c r="AG2" s="7">
        <f t="shared" ref="AG2:AG16" si="11">15/(4*(V2*(I2+J2+O2)+W2*(I2-O2-Q2)+X2*(R2+S2)+Y2*(J2-O2-P2-Q2)+Z2*(R2-S2)+AA2)/AC2 +3*(AB2/AC2 +(L2+N2)/(L2*N2-U2*U2)))</f>
        <v>60.454177187759619</v>
      </c>
      <c r="AH2" s="7">
        <f t="shared" ref="AH2:AH16" si="12">(I2+J2+K2+3*(L2+M2+N2)-(O2+P2+Q2))/15</f>
        <v>63.133333333333333</v>
      </c>
      <c r="AI2" s="7">
        <f t="shared" ref="AI2:AI16" si="13">0.5*(AG2+AH2)</f>
        <v>61.793755260546476</v>
      </c>
      <c r="AJ2" s="4">
        <f t="shared" ref="AJ2:AJ16" si="14">AF2/AI2</f>
        <v>1.9484166152569908</v>
      </c>
      <c r="AK2" s="4">
        <f t="shared" ref="AK2:AK16" si="15">(3*AF2-2*AI2)/(2*(3*AF2+AI2))</f>
        <v>0.28086994137595911</v>
      </c>
      <c r="AL2" s="4">
        <f t="shared" ref="AL2:AL16" si="16">9*AI2*AF2/(AI2+3*AF2)</f>
        <v>158.29952735595305</v>
      </c>
      <c r="AM2" s="4">
        <f t="shared" ref="AM2:AM16" si="17">SQRT((AF2+4/3*AI2)/H2)</f>
        <v>7.4466777015809349</v>
      </c>
      <c r="AN2" s="4">
        <f t="shared" ref="AN2:AN16" si="18">SQRT(AF2/H2)</f>
        <v>5.7378702884216732</v>
      </c>
      <c r="AO2" s="4">
        <f t="shared" ref="AO2:AO16" si="19">SQRT(AI2/H2)</f>
        <v>4.1106435029509525</v>
      </c>
      <c r="AP2" s="4">
        <f t="shared" ref="AP2:AP16" si="20">AM2/AN2</f>
        <v>1.2978121371282003</v>
      </c>
      <c r="AQ2" s="4">
        <f t="shared" ref="AQ2:AQ16" si="21">5*AH2/AG2 +AE2/AD2 - 6</f>
        <v>0.28127053550921843</v>
      </c>
      <c r="AR2" s="8">
        <f t="shared" ref="AR2:AR33" si="22">SQRT((LN(AE2/AD2))^2+5*(LN(AH2/AG2))^2)</f>
        <v>0.1129714237360074</v>
      </c>
      <c r="AS2" s="8">
        <f t="shared" ref="AS2:AS16" si="23">(AH2-AG2)/(AH2+AG2)</f>
        <v>2.1678211125682124E-2</v>
      </c>
      <c r="AT2" s="8">
        <f t="shared" ref="AT2:AT16" si="24">(AE2-AD2)/(AE2+AD2)</f>
        <v>2.8977657932416297E-2</v>
      </c>
      <c r="AW2" s="4">
        <v>0.10929999999999999</v>
      </c>
      <c r="AX2" s="4">
        <v>0.48170000000000002</v>
      </c>
      <c r="AY2" s="7">
        <v>-7</v>
      </c>
      <c r="AZ2" s="7">
        <v>25</v>
      </c>
      <c r="BA2" s="7">
        <v>30</v>
      </c>
      <c r="BB2" s="7">
        <v>33</v>
      </c>
      <c r="BC2" s="7">
        <v>20</v>
      </c>
      <c r="BD2" s="7">
        <v>-9</v>
      </c>
    </row>
    <row r="3" spans="1:56">
      <c r="A3" t="s">
        <v>230</v>
      </c>
      <c r="B3" t="s">
        <v>205</v>
      </c>
      <c r="C3" t="s">
        <v>235</v>
      </c>
      <c r="D3" t="s">
        <v>201</v>
      </c>
      <c r="E3" s="57" t="s">
        <v>25</v>
      </c>
      <c r="F3" s="57">
        <v>2</v>
      </c>
      <c r="G3" s="57">
        <v>9</v>
      </c>
      <c r="H3">
        <v>3.327</v>
      </c>
      <c r="I3">
        <v>237.8</v>
      </c>
      <c r="J3">
        <v>183.6</v>
      </c>
      <c r="K3">
        <v>229.5</v>
      </c>
      <c r="L3">
        <v>76.5</v>
      </c>
      <c r="M3" s="7">
        <v>73</v>
      </c>
      <c r="N3">
        <v>81.599999999999994</v>
      </c>
      <c r="O3">
        <v>83.5</v>
      </c>
      <c r="P3" s="7">
        <v>80</v>
      </c>
      <c r="Q3">
        <v>59.9</v>
      </c>
      <c r="R3" s="7">
        <v>9</v>
      </c>
      <c r="S3">
        <v>9.5</v>
      </c>
      <c r="T3">
        <v>48.1</v>
      </c>
      <c r="U3">
        <v>8.4</v>
      </c>
      <c r="V3">
        <f t="shared" si="0"/>
        <v>14439.89</v>
      </c>
      <c r="W3">
        <f t="shared" si="1"/>
        <v>3915.75</v>
      </c>
      <c r="X3">
        <f t="shared" si="2"/>
        <v>1782.5</v>
      </c>
      <c r="Y3">
        <f t="shared" si="3"/>
        <v>5407.1</v>
      </c>
      <c r="Z3">
        <f t="shared" si="4"/>
        <v>220.89999999999998</v>
      </c>
      <c r="AA3">
        <f t="shared" si="5"/>
        <v>2662815.9700000002</v>
      </c>
      <c r="AB3">
        <f t="shared" si="6"/>
        <v>7191852.2070000004</v>
      </c>
      <c r="AC3">
        <f t="shared" si="7"/>
        <v>450410540.81770003</v>
      </c>
      <c r="AD3" s="7">
        <f t="shared" si="8"/>
        <v>112.3647822480071</v>
      </c>
      <c r="AE3" s="7">
        <f t="shared" si="9"/>
        <v>121.96666666666667</v>
      </c>
      <c r="AF3" s="7">
        <f t="shared" si="10"/>
        <v>117.16572445733689</v>
      </c>
      <c r="AG3" s="7">
        <f t="shared" si="11"/>
        <v>69.829300488685632</v>
      </c>
      <c r="AH3" s="7">
        <f t="shared" si="12"/>
        <v>74.719999999999985</v>
      </c>
      <c r="AI3" s="7">
        <f t="shared" si="13"/>
        <v>72.274650244342808</v>
      </c>
      <c r="AJ3" s="4">
        <f t="shared" si="14"/>
        <v>1.6211178340016645</v>
      </c>
      <c r="AK3" s="4">
        <f t="shared" si="15"/>
        <v>0.24417370545932976</v>
      </c>
      <c r="AL3" s="4">
        <f t="shared" si="16"/>
        <v>179.84443881056208</v>
      </c>
      <c r="AM3" s="4">
        <f t="shared" si="17"/>
        <v>8.0113371123277641</v>
      </c>
      <c r="AN3" s="4">
        <f t="shared" si="18"/>
        <v>5.9343600271783474</v>
      </c>
      <c r="AO3" s="4">
        <f t="shared" si="19"/>
        <v>4.6608658043748683</v>
      </c>
      <c r="AP3" s="4">
        <f t="shared" si="20"/>
        <v>1.3499917557474133</v>
      </c>
      <c r="AQ3" s="4">
        <f t="shared" si="21"/>
        <v>0.43564243185655371</v>
      </c>
      <c r="AR3" s="8">
        <f t="shared" si="22"/>
        <v>0.17215108550995742</v>
      </c>
      <c r="AS3" s="8">
        <f t="shared" si="23"/>
        <v>3.3834127835832485E-2</v>
      </c>
      <c r="AT3" s="8">
        <f t="shared" si="24"/>
        <v>4.097565419892002E-2</v>
      </c>
      <c r="AW3" s="4">
        <v>7.0010000000000003E-2</v>
      </c>
      <c r="AX3" s="4">
        <v>0.54049999999999998</v>
      </c>
      <c r="AY3" s="7">
        <v>-6</v>
      </c>
      <c r="AZ3" s="7">
        <v>-14</v>
      </c>
      <c r="BA3" s="7">
        <v>13</v>
      </c>
      <c r="BB3" s="7">
        <v>11</v>
      </c>
      <c r="BC3" s="7">
        <v>-29</v>
      </c>
      <c r="BD3" s="7">
        <v>-26</v>
      </c>
    </row>
    <row r="4" spans="1:56">
      <c r="A4" t="s">
        <v>60</v>
      </c>
      <c r="B4" t="s">
        <v>180</v>
      </c>
      <c r="C4" t="s">
        <v>235</v>
      </c>
      <c r="D4" t="s">
        <v>201</v>
      </c>
      <c r="E4" s="57" t="s">
        <v>23</v>
      </c>
      <c r="F4" s="57">
        <v>2</v>
      </c>
      <c r="G4" s="57">
        <v>9</v>
      </c>
      <c r="H4">
        <v>3.2639999999999998</v>
      </c>
      <c r="I4" s="7">
        <v>229</v>
      </c>
      <c r="J4" s="7">
        <v>179</v>
      </c>
      <c r="K4">
        <v>242.5</v>
      </c>
      <c r="L4">
        <v>78.900000000000006</v>
      </c>
      <c r="M4">
        <v>68.099999999999994</v>
      </c>
      <c r="N4">
        <v>78.2</v>
      </c>
      <c r="O4" s="7">
        <v>78</v>
      </c>
      <c r="P4">
        <v>69.8</v>
      </c>
      <c r="Q4" s="7">
        <v>58</v>
      </c>
      <c r="R4">
        <v>9.9</v>
      </c>
      <c r="S4" s="7">
        <v>6.1</v>
      </c>
      <c r="T4">
        <v>40.9</v>
      </c>
      <c r="U4" s="7">
        <v>6.6</v>
      </c>
      <c r="V4">
        <f t="shared" si="0"/>
        <v>14841.44</v>
      </c>
      <c r="W4">
        <f t="shared" si="1"/>
        <v>3700.31</v>
      </c>
      <c r="X4">
        <f t="shared" si="2"/>
        <v>454.06999999999971</v>
      </c>
      <c r="Y4">
        <f t="shared" si="3"/>
        <v>4348.4699999999993</v>
      </c>
      <c r="Z4">
        <f t="shared" si="4"/>
        <v>-148.42000000000007</v>
      </c>
      <c r="AA4">
        <f t="shared" si="5"/>
        <v>2365969.6550000003</v>
      </c>
      <c r="AB4">
        <f t="shared" si="6"/>
        <v>7454046.7400000002</v>
      </c>
      <c r="AC4">
        <f t="shared" si="7"/>
        <v>455578886.13239998</v>
      </c>
      <c r="AD4" s="7">
        <f t="shared" si="8"/>
        <v>111.21193001064952</v>
      </c>
      <c r="AE4" s="7">
        <f t="shared" si="9"/>
        <v>118.01111111111111</v>
      </c>
      <c r="AF4" s="7">
        <f t="shared" si="10"/>
        <v>114.61152056088031</v>
      </c>
      <c r="AG4" s="7">
        <f t="shared" si="11"/>
        <v>70.696529343450536</v>
      </c>
      <c r="AH4" s="7">
        <f t="shared" si="12"/>
        <v>74.686666666666667</v>
      </c>
      <c r="AI4" s="7">
        <f t="shared" si="13"/>
        <v>72.691598005058609</v>
      </c>
      <c r="AJ4" s="4">
        <f t="shared" si="14"/>
        <v>1.5766818133906548</v>
      </c>
      <c r="AK4" s="4">
        <f t="shared" si="15"/>
        <v>0.23822197124583649</v>
      </c>
      <c r="AL4" s="4">
        <f t="shared" si="16"/>
        <v>180.01666754966718</v>
      </c>
      <c r="AM4" s="4">
        <f t="shared" si="17"/>
        <v>8.050348062790496</v>
      </c>
      <c r="AN4" s="4">
        <f t="shared" si="18"/>
        <v>5.9256918331322375</v>
      </c>
      <c r="AO4" s="4">
        <f t="shared" si="19"/>
        <v>4.7191853293887966</v>
      </c>
      <c r="AP4" s="4">
        <f t="shared" si="20"/>
        <v>1.3585499026086201</v>
      </c>
      <c r="AQ4" s="4">
        <f t="shared" si="21"/>
        <v>0.34333893864302567</v>
      </c>
      <c r="AR4" s="8">
        <f t="shared" si="22"/>
        <v>0.13636062561456497</v>
      </c>
      <c r="AS4" s="8">
        <f t="shared" si="23"/>
        <v>2.7445656944688836E-2</v>
      </c>
      <c r="AT4" s="8">
        <f t="shared" si="24"/>
        <v>2.966185714659433E-2</v>
      </c>
      <c r="AW4" s="4"/>
      <c r="AX4" s="4"/>
    </row>
    <row r="5" spans="1:56">
      <c r="A5" t="s">
        <v>60</v>
      </c>
      <c r="B5" t="s">
        <v>180</v>
      </c>
      <c r="C5" t="s">
        <v>235</v>
      </c>
      <c r="D5" t="s">
        <v>202</v>
      </c>
      <c r="E5" s="57" t="s">
        <v>23</v>
      </c>
      <c r="F5" s="57">
        <v>2</v>
      </c>
      <c r="G5" s="57">
        <v>9</v>
      </c>
      <c r="H5" s="8">
        <v>3.27</v>
      </c>
      <c r="I5">
        <v>226.1</v>
      </c>
      <c r="J5">
        <v>179.5</v>
      </c>
      <c r="K5">
        <v>239.2</v>
      </c>
      <c r="L5">
        <v>78.099999999999994</v>
      </c>
      <c r="M5">
        <v>69.2</v>
      </c>
      <c r="N5">
        <v>76.400000000000006</v>
      </c>
      <c r="O5">
        <v>77.400000000000006</v>
      </c>
      <c r="P5">
        <v>70.2</v>
      </c>
      <c r="Q5">
        <v>56.7</v>
      </c>
      <c r="R5">
        <v>9.9</v>
      </c>
      <c r="S5">
        <v>5.9</v>
      </c>
      <c r="T5">
        <v>41</v>
      </c>
      <c r="U5">
        <v>6.8</v>
      </c>
      <c r="V5">
        <f t="shared" si="0"/>
        <v>14871.64</v>
      </c>
      <c r="W5">
        <f t="shared" si="1"/>
        <v>3681.7400000000002</v>
      </c>
      <c r="X5">
        <f t="shared" si="2"/>
        <v>510.12000000000035</v>
      </c>
      <c r="Y5">
        <f t="shared" si="3"/>
        <v>4451.9400000000005</v>
      </c>
      <c r="Z5">
        <f t="shared" si="4"/>
        <v>-147.14999999999998</v>
      </c>
      <c r="AA5">
        <f t="shared" si="5"/>
        <v>2382885.6579999994</v>
      </c>
      <c r="AB5">
        <f t="shared" si="6"/>
        <v>7279617.0709999986</v>
      </c>
      <c r="AC5">
        <f t="shared" si="7"/>
        <v>451930602.75809991</v>
      </c>
      <c r="AD5" s="7">
        <f t="shared" si="8"/>
        <v>110.43074881024582</v>
      </c>
      <c r="AE5" s="7">
        <f t="shared" si="9"/>
        <v>117.04444444444445</v>
      </c>
      <c r="AF5" s="7">
        <f t="shared" si="10"/>
        <v>113.73759662734514</v>
      </c>
      <c r="AG5" s="7">
        <f t="shared" si="11"/>
        <v>70.302651814088705</v>
      </c>
      <c r="AH5" s="7">
        <f t="shared" si="12"/>
        <v>74.106666666666669</v>
      </c>
      <c r="AI5" s="7">
        <f t="shared" si="13"/>
        <v>72.20465924037768</v>
      </c>
      <c r="AJ5" s="4">
        <f t="shared" si="14"/>
        <v>1.575211320486944</v>
      </c>
      <c r="AK5" s="4">
        <f t="shared" si="15"/>
        <v>0.23802027686427726</v>
      </c>
      <c r="AL5" s="4">
        <f t="shared" si="16"/>
        <v>178.78166444732636</v>
      </c>
      <c r="AM5" s="4">
        <f t="shared" si="17"/>
        <v>8.0139495280465862</v>
      </c>
      <c r="AN5" s="4">
        <f t="shared" si="18"/>
        <v>5.8976384800519908</v>
      </c>
      <c r="AO5" s="4">
        <f t="shared" si="19"/>
        <v>4.6990355976004388</v>
      </c>
      <c r="AP5" s="4">
        <f t="shared" si="20"/>
        <v>1.358840416406117</v>
      </c>
      <c r="AQ5" s="4">
        <f t="shared" si="21"/>
        <v>0.33043559899014863</v>
      </c>
      <c r="AR5" s="8">
        <f t="shared" si="22"/>
        <v>0.13140589959764057</v>
      </c>
      <c r="AS5" s="8">
        <f t="shared" si="23"/>
        <v>2.6341893255904428E-2</v>
      </c>
      <c r="AT5" s="8">
        <f t="shared" si="24"/>
        <v>2.907435988764576E-2</v>
      </c>
      <c r="AW5" s="4"/>
      <c r="AX5" s="4"/>
    </row>
    <row r="6" spans="1:56">
      <c r="A6" t="s">
        <v>60</v>
      </c>
      <c r="B6" t="s">
        <v>207</v>
      </c>
      <c r="C6" t="s">
        <v>235</v>
      </c>
      <c r="D6" t="s">
        <v>201</v>
      </c>
      <c r="E6" s="57" t="s">
        <v>23</v>
      </c>
      <c r="F6" s="57">
        <v>2</v>
      </c>
      <c r="G6" s="57">
        <v>9</v>
      </c>
      <c r="H6">
        <v>3.286</v>
      </c>
      <c r="I6">
        <v>228.1</v>
      </c>
      <c r="J6">
        <v>181.1</v>
      </c>
      <c r="K6">
        <v>245.4</v>
      </c>
      <c r="L6">
        <v>78.900000000000006</v>
      </c>
      <c r="M6">
        <v>68.2</v>
      </c>
      <c r="N6">
        <v>78.099999999999994</v>
      </c>
      <c r="O6">
        <v>78.8</v>
      </c>
      <c r="P6">
        <v>70.2</v>
      </c>
      <c r="Q6">
        <v>61.1</v>
      </c>
      <c r="R6">
        <v>7.9</v>
      </c>
      <c r="S6">
        <v>5.9</v>
      </c>
      <c r="T6">
        <v>39.700000000000003</v>
      </c>
      <c r="U6">
        <v>6.4</v>
      </c>
      <c r="V6">
        <f t="shared" si="0"/>
        <v>15160.190000000002</v>
      </c>
      <c r="W6">
        <f t="shared" si="1"/>
        <v>3932.7900000000004</v>
      </c>
      <c r="X6">
        <f t="shared" si="2"/>
        <v>848.28000000000043</v>
      </c>
      <c r="Y6">
        <f t="shared" si="3"/>
        <v>4474.01</v>
      </c>
      <c r="Z6">
        <f t="shared" si="4"/>
        <v>-68.509999999999991</v>
      </c>
      <c r="AA6">
        <f t="shared" si="5"/>
        <v>2387656.057</v>
      </c>
      <c r="AB6">
        <f t="shared" si="6"/>
        <v>7545377.7649999997</v>
      </c>
      <c r="AC6">
        <f t="shared" si="7"/>
        <v>465251954.91980004</v>
      </c>
      <c r="AD6" s="7">
        <f t="shared" si="8"/>
        <v>113.43272980981962</v>
      </c>
      <c r="AE6" s="7">
        <f t="shared" si="9"/>
        <v>119.42222222222222</v>
      </c>
      <c r="AF6" s="7">
        <f t="shared" si="10"/>
        <v>116.42747601602092</v>
      </c>
      <c r="AG6" s="7">
        <f t="shared" si="11"/>
        <v>70.855030240288869</v>
      </c>
      <c r="AH6" s="7">
        <f t="shared" si="12"/>
        <v>74.673333333333346</v>
      </c>
      <c r="AI6" s="7">
        <f t="shared" si="13"/>
        <v>72.764181786811108</v>
      </c>
      <c r="AJ6" s="4">
        <f t="shared" si="14"/>
        <v>1.6000657625359846</v>
      </c>
      <c r="AK6" s="4">
        <f t="shared" si="15"/>
        <v>0.2413881070554737</v>
      </c>
      <c r="AL6" s="4">
        <f t="shared" si="16"/>
        <v>180.65717977953966</v>
      </c>
      <c r="AM6" s="4">
        <f t="shared" si="17"/>
        <v>8.0595468177319471</v>
      </c>
      <c r="AN6" s="4">
        <f t="shared" si="18"/>
        <v>5.9524254076573841</v>
      </c>
      <c r="AO6" s="4">
        <f t="shared" si="19"/>
        <v>4.7057087675626486</v>
      </c>
      <c r="AP6" s="4">
        <f t="shared" si="20"/>
        <v>1.3539937530949815</v>
      </c>
      <c r="AQ6" s="4">
        <f t="shared" si="21"/>
        <v>0.32224689724141431</v>
      </c>
      <c r="AR6" s="8">
        <f t="shared" si="22"/>
        <v>0.12814881979763404</v>
      </c>
      <c r="AS6" s="8">
        <f t="shared" si="23"/>
        <v>2.6237518235493751E-2</v>
      </c>
      <c r="AT6" s="8">
        <f t="shared" si="24"/>
        <v>2.5721988560408273E-2</v>
      </c>
      <c r="AW6" s="4"/>
      <c r="AX6" s="4"/>
    </row>
    <row r="7" spans="1:56">
      <c r="A7" t="s">
        <v>60</v>
      </c>
      <c r="B7" t="s">
        <v>180</v>
      </c>
      <c r="C7" t="s">
        <v>235</v>
      </c>
      <c r="D7" t="s">
        <v>201</v>
      </c>
      <c r="E7" s="57" t="s">
        <v>25</v>
      </c>
      <c r="F7" s="57">
        <v>2</v>
      </c>
      <c r="G7" s="57">
        <v>9</v>
      </c>
      <c r="H7">
        <v>3.2890000000000001</v>
      </c>
      <c r="I7">
        <v>223</v>
      </c>
      <c r="J7">
        <v>171</v>
      </c>
      <c r="K7">
        <v>235</v>
      </c>
      <c r="L7">
        <v>74</v>
      </c>
      <c r="M7">
        <v>67</v>
      </c>
      <c r="N7">
        <v>66</v>
      </c>
      <c r="O7">
        <v>77</v>
      </c>
      <c r="P7">
        <v>81</v>
      </c>
      <c r="Q7">
        <v>57</v>
      </c>
      <c r="R7">
        <v>17</v>
      </c>
      <c r="S7">
        <v>7</v>
      </c>
      <c r="T7">
        <v>43</v>
      </c>
      <c r="U7">
        <v>7.3</v>
      </c>
      <c r="V7">
        <f t="shared" si="0"/>
        <v>13896</v>
      </c>
      <c r="W7">
        <f t="shared" si="1"/>
        <v>3518</v>
      </c>
      <c r="X7">
        <f t="shared" si="2"/>
        <v>-512</v>
      </c>
      <c r="Y7">
        <f t="shared" si="3"/>
        <v>4696</v>
      </c>
      <c r="Z7">
        <f t="shared" si="4"/>
        <v>-402</v>
      </c>
      <c r="AA7">
        <f t="shared" si="5"/>
        <v>2121290</v>
      </c>
      <c r="AB7">
        <f t="shared" si="6"/>
        <v>6432500</v>
      </c>
      <c r="AC7">
        <f t="shared" si="7"/>
        <v>379450000</v>
      </c>
      <c r="AD7" s="7">
        <f t="shared" si="8"/>
        <v>108.19258365429468</v>
      </c>
      <c r="AE7" s="7">
        <f t="shared" si="9"/>
        <v>117.66666666666667</v>
      </c>
      <c r="AF7" s="7">
        <f t="shared" si="10"/>
        <v>112.92962516048067</v>
      </c>
      <c r="AG7" s="7">
        <f t="shared" si="11"/>
        <v>65.186986425365546</v>
      </c>
      <c r="AH7" s="7">
        <f t="shared" si="12"/>
        <v>69</v>
      </c>
      <c r="AI7" s="7">
        <f t="shared" si="13"/>
        <v>67.093493212682773</v>
      </c>
      <c r="AJ7" s="4">
        <f t="shared" si="14"/>
        <v>1.683168065232493</v>
      </c>
      <c r="AK7" s="4">
        <f t="shared" si="15"/>
        <v>0.2520457955766312</v>
      </c>
      <c r="AL7" s="4">
        <f t="shared" si="16"/>
        <v>168.0082521749774</v>
      </c>
      <c r="AM7" s="4">
        <f t="shared" si="17"/>
        <v>7.8444054136643482</v>
      </c>
      <c r="AN7" s="4">
        <f t="shared" si="18"/>
        <v>5.8596544580750765</v>
      </c>
      <c r="AO7" s="4">
        <f t="shared" si="19"/>
        <v>4.5165650050027573</v>
      </c>
      <c r="AP7" s="4">
        <f t="shared" si="20"/>
        <v>1.3387146750358505</v>
      </c>
      <c r="AQ7" s="4">
        <f t="shared" si="21"/>
        <v>0.38003423463983665</v>
      </c>
      <c r="AR7" s="8">
        <f t="shared" si="22"/>
        <v>0.15232900780820108</v>
      </c>
      <c r="AS7" s="8">
        <f t="shared" si="23"/>
        <v>2.8415673354101605E-2</v>
      </c>
      <c r="AT7" s="8">
        <f t="shared" si="24"/>
        <v>4.1946845209610305E-2</v>
      </c>
      <c r="AU7" s="7">
        <v>29.5</v>
      </c>
      <c r="AV7" s="7">
        <v>20</v>
      </c>
      <c r="AW7" s="4">
        <v>0.1017</v>
      </c>
      <c r="AX7" s="4">
        <v>0.48149999999999998</v>
      </c>
      <c r="AY7" s="7">
        <v>11</v>
      </c>
      <c r="AZ7" s="7">
        <v>-29</v>
      </c>
      <c r="BA7" s="7">
        <v>-25</v>
      </c>
      <c r="BB7" s="7">
        <v>1</v>
      </c>
      <c r="BC7" s="7">
        <v>4</v>
      </c>
      <c r="BD7" s="7">
        <v>-4</v>
      </c>
    </row>
    <row r="8" spans="1:56">
      <c r="A8" s="10" t="s">
        <v>60</v>
      </c>
      <c r="B8" t="s">
        <v>180</v>
      </c>
      <c r="C8" t="s">
        <v>235</v>
      </c>
      <c r="D8" t="s">
        <v>201</v>
      </c>
      <c r="E8" s="57" t="s">
        <v>25</v>
      </c>
      <c r="F8" s="57">
        <v>2</v>
      </c>
      <c r="G8" s="57">
        <v>9</v>
      </c>
      <c r="H8">
        <v>3.31</v>
      </c>
      <c r="I8">
        <v>204</v>
      </c>
      <c r="J8">
        <v>175</v>
      </c>
      <c r="K8">
        <v>238</v>
      </c>
      <c r="L8">
        <v>67.5</v>
      </c>
      <c r="M8">
        <v>58.8</v>
      </c>
      <c r="N8">
        <v>70.5</v>
      </c>
      <c r="O8">
        <v>84.4</v>
      </c>
      <c r="P8">
        <v>88.3</v>
      </c>
      <c r="Q8">
        <v>48.2</v>
      </c>
      <c r="R8">
        <v>-19.3</v>
      </c>
      <c r="S8">
        <v>-19.600000000000001</v>
      </c>
      <c r="T8">
        <v>-33.6</v>
      </c>
      <c r="U8">
        <v>-11.3</v>
      </c>
      <c r="V8">
        <f t="shared" si="0"/>
        <v>12865.439999999999</v>
      </c>
      <c r="W8">
        <f t="shared" si="1"/>
        <v>2175.6</v>
      </c>
      <c r="X8">
        <f t="shared" si="2"/>
        <v>1626.5200000000004</v>
      </c>
      <c r="Y8">
        <f t="shared" si="3"/>
        <v>4543.5599999999995</v>
      </c>
      <c r="Z8">
        <f t="shared" si="4"/>
        <v>-800.42</v>
      </c>
      <c r="AA8">
        <f t="shared" si="5"/>
        <v>1540918.2180000001</v>
      </c>
      <c r="AB8">
        <f t="shared" si="6"/>
        <v>5681266.5379999997</v>
      </c>
      <c r="AC8">
        <f t="shared" si="7"/>
        <v>301368740.08519995</v>
      </c>
      <c r="AD8" s="7">
        <f t="shared" si="8"/>
        <v>105.1411972027461</v>
      </c>
      <c r="AE8" s="7">
        <f t="shared" si="9"/>
        <v>117.64444444444445</v>
      </c>
      <c r="AF8" s="7">
        <f t="shared" si="10"/>
        <v>111.39282082359527</v>
      </c>
      <c r="AG8" s="7">
        <f t="shared" si="11"/>
        <v>61.479372249351236</v>
      </c>
      <c r="AH8" s="7">
        <f t="shared" si="12"/>
        <v>65.76666666666668</v>
      </c>
      <c r="AI8" s="7">
        <f t="shared" si="13"/>
        <v>63.623019458008955</v>
      </c>
      <c r="AJ8" s="4">
        <f t="shared" si="14"/>
        <v>1.7508257510021867</v>
      </c>
      <c r="AK8" s="4">
        <f t="shared" si="15"/>
        <v>0.26009508882599908</v>
      </c>
      <c r="AL8" s="4">
        <f t="shared" si="16"/>
        <v>160.34210871063613</v>
      </c>
      <c r="AM8" s="4">
        <f t="shared" si="17"/>
        <v>7.6994823350584616</v>
      </c>
      <c r="AN8" s="4">
        <f t="shared" si="18"/>
        <v>5.8011567974325056</v>
      </c>
      <c r="AO8" s="4">
        <f t="shared" si="19"/>
        <v>4.3842280996328142</v>
      </c>
      <c r="AP8" s="4">
        <f t="shared" si="20"/>
        <v>1.327232240725871</v>
      </c>
      <c r="AQ8" s="4">
        <f t="shared" si="21"/>
        <v>0.46759610292814635</v>
      </c>
      <c r="AR8" s="8">
        <f t="shared" si="22"/>
        <v>0.18800764375133386</v>
      </c>
      <c r="AS8" s="8">
        <f t="shared" si="23"/>
        <v>3.3692949924712771E-2</v>
      </c>
      <c r="AT8" s="8">
        <f t="shared" si="24"/>
        <v>5.612232076203022E-2</v>
      </c>
      <c r="AU8" s="7">
        <v>26.9</v>
      </c>
      <c r="AV8" s="7">
        <v>22.6</v>
      </c>
      <c r="AW8" s="4">
        <v>1.059E-2</v>
      </c>
      <c r="AX8" s="4">
        <v>0.48730000000000001</v>
      </c>
      <c r="AY8" s="7">
        <v>0</v>
      </c>
      <c r="AZ8" s="7">
        <v>1</v>
      </c>
      <c r="BA8" s="7">
        <v>0</v>
      </c>
      <c r="BB8" s="7">
        <v>10</v>
      </c>
      <c r="BC8" s="7">
        <v>0</v>
      </c>
      <c r="BD8" s="7">
        <v>39</v>
      </c>
    </row>
    <row r="9" spans="1:56">
      <c r="A9" s="10" t="s">
        <v>184</v>
      </c>
      <c r="C9" t="s">
        <v>235</v>
      </c>
      <c r="D9" t="s">
        <v>201</v>
      </c>
      <c r="E9" s="57" t="s">
        <v>25</v>
      </c>
      <c r="F9" s="57">
        <v>2</v>
      </c>
      <c r="G9" s="57">
        <v>9</v>
      </c>
      <c r="H9">
        <v>3.32</v>
      </c>
      <c r="I9">
        <v>181.6</v>
      </c>
      <c r="J9">
        <v>150.69999999999999</v>
      </c>
      <c r="K9">
        <v>217.8</v>
      </c>
      <c r="L9">
        <v>69.7</v>
      </c>
      <c r="M9">
        <v>51.1</v>
      </c>
      <c r="N9">
        <v>55.8</v>
      </c>
      <c r="O9">
        <v>73.400000000000006</v>
      </c>
      <c r="P9">
        <v>72.400000000000006</v>
      </c>
      <c r="Q9">
        <v>33.9</v>
      </c>
      <c r="R9">
        <v>19.899999999999999</v>
      </c>
      <c r="S9">
        <v>16.600000000000001</v>
      </c>
      <c r="T9">
        <v>24.6</v>
      </c>
      <c r="U9">
        <v>4.3</v>
      </c>
      <c r="V9">
        <f t="shared" si="0"/>
        <v>10524.420000000002</v>
      </c>
      <c r="W9">
        <f t="shared" si="1"/>
        <v>1323.9299999999998</v>
      </c>
      <c r="X9">
        <f t="shared" si="2"/>
        <v>-2553.1800000000003</v>
      </c>
      <c r="Y9">
        <f t="shared" si="3"/>
        <v>3210.1000000000004</v>
      </c>
      <c r="Z9">
        <f t="shared" si="4"/>
        <v>527.23000000000025</v>
      </c>
      <c r="AA9">
        <f t="shared" si="5"/>
        <v>1015755.4609999997</v>
      </c>
      <c r="AB9">
        <f t="shared" si="6"/>
        <v>4148818.4479999994</v>
      </c>
      <c r="AC9">
        <f t="shared" si="7"/>
        <v>194580280.44749999</v>
      </c>
      <c r="AD9" s="7">
        <f t="shared" si="8"/>
        <v>90.24702135654978</v>
      </c>
      <c r="AE9" s="7">
        <f t="shared" si="9"/>
        <v>101.05555555555556</v>
      </c>
      <c r="AF9" s="7">
        <f t="shared" si="10"/>
        <v>95.651288456052669</v>
      </c>
      <c r="AG9" s="7">
        <f t="shared" si="11"/>
        <v>55.945884101359056</v>
      </c>
      <c r="AH9" s="7">
        <f t="shared" si="12"/>
        <v>60.013333333333335</v>
      </c>
      <c r="AI9" s="7">
        <f t="shared" si="13"/>
        <v>57.979608717346196</v>
      </c>
      <c r="AJ9" s="4">
        <f t="shared" si="14"/>
        <v>1.6497401512721135</v>
      </c>
      <c r="AK9" s="4">
        <f t="shared" si="15"/>
        <v>0.24786612605055319</v>
      </c>
      <c r="AL9" s="4">
        <f t="shared" si="16"/>
        <v>144.70157944008338</v>
      </c>
      <c r="AM9" s="4">
        <f t="shared" si="17"/>
        <v>7.2177290385306705</v>
      </c>
      <c r="AN9" s="4">
        <f t="shared" si="18"/>
        <v>5.3675533581910404</v>
      </c>
      <c r="AO9" s="4">
        <f t="shared" si="19"/>
        <v>4.1789636951600482</v>
      </c>
      <c r="AP9" s="4">
        <f t="shared" si="20"/>
        <v>1.3446962809445031</v>
      </c>
      <c r="AQ9" s="4">
        <f t="shared" si="21"/>
        <v>0.48328250059868694</v>
      </c>
      <c r="AR9" s="8">
        <f t="shared" si="22"/>
        <v>0.19345176423081217</v>
      </c>
      <c r="AS9" s="8">
        <f t="shared" si="23"/>
        <v>3.5076549514186268E-2</v>
      </c>
      <c r="AT9" s="8">
        <f t="shared" si="24"/>
        <v>5.6499679060631774E-2</v>
      </c>
      <c r="AW9" s="5">
        <v>-3.7969999999999997E-2</v>
      </c>
      <c r="AX9" s="4">
        <v>0.52270000000000005</v>
      </c>
      <c r="AY9" s="12">
        <v>1</v>
      </c>
      <c r="AZ9" s="12">
        <v>0</v>
      </c>
      <c r="BA9" s="12">
        <v>40</v>
      </c>
      <c r="BB9" s="12">
        <v>-40</v>
      </c>
      <c r="BC9" s="12">
        <v>0</v>
      </c>
      <c r="BD9" s="12">
        <v>1</v>
      </c>
    </row>
    <row r="10" spans="1:56">
      <c r="A10" s="10" t="s">
        <v>457</v>
      </c>
      <c r="B10" t="s">
        <v>203</v>
      </c>
      <c r="C10" t="s">
        <v>235</v>
      </c>
      <c r="D10" t="s">
        <v>201</v>
      </c>
      <c r="E10" s="57" t="s">
        <v>25</v>
      </c>
      <c r="F10" s="57">
        <v>2</v>
      </c>
      <c r="G10" s="57">
        <v>9</v>
      </c>
      <c r="H10">
        <v>3.3</v>
      </c>
      <c r="I10">
        <v>153.9</v>
      </c>
      <c r="J10">
        <v>149.6</v>
      </c>
      <c r="K10">
        <v>210.8</v>
      </c>
      <c r="L10">
        <v>63.9</v>
      </c>
      <c r="M10">
        <v>62.2</v>
      </c>
      <c r="N10">
        <v>52.3</v>
      </c>
      <c r="O10">
        <v>56.9</v>
      </c>
      <c r="P10">
        <v>37.4</v>
      </c>
      <c r="Q10">
        <v>30.5</v>
      </c>
      <c r="R10">
        <v>14.6</v>
      </c>
      <c r="S10">
        <v>14.2</v>
      </c>
      <c r="T10">
        <v>11.9</v>
      </c>
      <c r="U10">
        <v>-8.6</v>
      </c>
      <c r="V10">
        <f t="shared" si="0"/>
        <v>12970.150000000001</v>
      </c>
      <c r="W10">
        <f t="shared" si="1"/>
        <v>1728.1200000000001</v>
      </c>
      <c r="X10">
        <f t="shared" si="2"/>
        <v>-2632.6200000000003</v>
      </c>
      <c r="Y10">
        <f t="shared" si="3"/>
        <v>2152.54</v>
      </c>
      <c r="Z10">
        <f t="shared" si="4"/>
        <v>85.779999999999916</v>
      </c>
      <c r="AA10">
        <f t="shared" si="5"/>
        <v>1153998.6880000003</v>
      </c>
      <c r="AB10">
        <f t="shared" si="6"/>
        <v>3948244.6529999999</v>
      </c>
      <c r="AC10">
        <f t="shared" si="7"/>
        <v>236704235.90350002</v>
      </c>
      <c r="AD10" s="7">
        <f t="shared" si="8"/>
        <v>81.21735843215022</v>
      </c>
      <c r="AE10" s="7">
        <f t="shared" si="9"/>
        <v>84.87777777777778</v>
      </c>
      <c r="AF10" s="7">
        <f t="shared" si="10"/>
        <v>83.047568104964</v>
      </c>
      <c r="AG10" s="7">
        <f t="shared" si="11"/>
        <v>58.418652792544322</v>
      </c>
      <c r="AH10" s="7">
        <f t="shared" si="12"/>
        <v>61.646666666666668</v>
      </c>
      <c r="AI10" s="7">
        <f t="shared" si="13"/>
        <v>60.032659729605498</v>
      </c>
      <c r="AJ10" s="4">
        <f t="shared" si="14"/>
        <v>1.3833731252125174</v>
      </c>
      <c r="AK10" s="4">
        <f t="shared" si="15"/>
        <v>0.20874461530043478</v>
      </c>
      <c r="AL10" s="4">
        <f t="shared" si="16"/>
        <v>145.12830838064781</v>
      </c>
      <c r="AM10" s="4">
        <f t="shared" si="17"/>
        <v>7.0300462175967855</v>
      </c>
      <c r="AN10" s="4">
        <f t="shared" si="18"/>
        <v>5.0165655311953188</v>
      </c>
      <c r="AO10" s="4">
        <f t="shared" si="19"/>
        <v>4.2651746821879906</v>
      </c>
      <c r="AP10" s="4">
        <f t="shared" si="20"/>
        <v>1.4013663678627768</v>
      </c>
      <c r="AQ10" s="4">
        <f t="shared" si="21"/>
        <v>0.32135222824971965</v>
      </c>
      <c r="AR10" s="8">
        <f t="shared" si="22"/>
        <v>0.12808938601983624</v>
      </c>
      <c r="AS10" s="8">
        <f t="shared" si="23"/>
        <v>2.6885481075315663E-2</v>
      </c>
      <c r="AT10" s="8">
        <f t="shared" si="24"/>
        <v>2.203808870719217E-2</v>
      </c>
      <c r="AW10" s="4">
        <v>3.5270000000000003E-2</v>
      </c>
      <c r="AX10" s="4">
        <v>0.39839999999999998</v>
      </c>
      <c r="AY10" s="7">
        <v>11</v>
      </c>
      <c r="AZ10" s="7">
        <v>-16</v>
      </c>
      <c r="BA10" s="7">
        <v>-5</v>
      </c>
      <c r="BB10" s="7">
        <v>-10</v>
      </c>
      <c r="BC10" s="7">
        <v>-18</v>
      </c>
      <c r="BD10" s="7">
        <v>35</v>
      </c>
    </row>
    <row r="11" spans="1:56" s="11" customFormat="1">
      <c r="A11" s="11" t="s">
        <v>185</v>
      </c>
      <c r="B11" s="11" t="s">
        <v>183</v>
      </c>
      <c r="C11" s="11" t="s">
        <v>235</v>
      </c>
      <c r="D11" s="11" t="s">
        <v>201</v>
      </c>
      <c r="E11" s="69" t="s">
        <v>23</v>
      </c>
      <c r="F11" s="69">
        <v>2</v>
      </c>
      <c r="G11" s="69">
        <v>9</v>
      </c>
      <c r="H11" s="11">
        <v>3.1819999999999999</v>
      </c>
      <c r="I11" s="11">
        <v>280.5</v>
      </c>
      <c r="J11" s="11">
        <v>230.7</v>
      </c>
      <c r="K11" s="32">
        <v>303</v>
      </c>
      <c r="L11" s="11">
        <v>97.83</v>
      </c>
      <c r="M11" s="11">
        <v>66.760000000000005</v>
      </c>
      <c r="N11" s="11">
        <v>87.05</v>
      </c>
      <c r="O11" s="11">
        <v>94.3</v>
      </c>
      <c r="P11" s="11">
        <v>64.599999999999994</v>
      </c>
      <c r="Q11" s="11">
        <v>91.6</v>
      </c>
      <c r="R11" s="11">
        <v>27.1</v>
      </c>
      <c r="S11" s="11">
        <v>1.4</v>
      </c>
      <c r="T11" s="11">
        <v>4</v>
      </c>
      <c r="U11" s="11">
        <v>10.4</v>
      </c>
      <c r="V11" s="11">
        <f t="shared" si="0"/>
        <v>20212.280000000002</v>
      </c>
      <c r="W11" s="11">
        <f t="shared" si="1"/>
        <v>6109.616</v>
      </c>
      <c r="X11" s="11">
        <f t="shared" si="2"/>
        <v>-7952.9000000000015</v>
      </c>
      <c r="Y11" s="11">
        <f t="shared" si="3"/>
        <v>4204.2960000000003</v>
      </c>
      <c r="Z11" s="11">
        <f t="shared" si="4"/>
        <v>-2391.92</v>
      </c>
      <c r="AA11" s="11">
        <f t="shared" si="5"/>
        <v>3563563.4906000006</v>
      </c>
      <c r="AB11" s="11">
        <f t="shared" si="6"/>
        <v>14712828.584000001</v>
      </c>
      <c r="AC11" s="11">
        <f t="shared" si="7"/>
        <v>939299211.1812402</v>
      </c>
      <c r="AD11" s="32">
        <f t="shared" si="8"/>
        <v>143.83112279364164</v>
      </c>
      <c r="AE11" s="32">
        <f t="shared" si="9"/>
        <v>146.13333333333333</v>
      </c>
      <c r="AF11" s="32">
        <f t="shared" si="10"/>
        <v>144.98222806348747</v>
      </c>
      <c r="AG11" s="32">
        <f t="shared" si="11"/>
        <v>82.813449208682229</v>
      </c>
      <c r="AH11" s="32">
        <f t="shared" si="12"/>
        <v>87.907999999999987</v>
      </c>
      <c r="AI11" s="32">
        <f t="shared" si="13"/>
        <v>85.360724604341101</v>
      </c>
      <c r="AJ11" s="4">
        <f t="shared" si="14"/>
        <v>1.6984652922699564</v>
      </c>
      <c r="AK11" s="31">
        <f t="shared" si="15"/>
        <v>0.25391262022753958</v>
      </c>
      <c r="AL11" s="4">
        <f t="shared" si="16"/>
        <v>214.06977970630155</v>
      </c>
      <c r="AM11" s="4">
        <f t="shared" si="17"/>
        <v>9.0183925398319182</v>
      </c>
      <c r="AN11" s="4">
        <f t="shared" si="18"/>
        <v>6.7500547769616093</v>
      </c>
      <c r="AO11" s="4">
        <f t="shared" si="19"/>
        <v>5.1793941134929407</v>
      </c>
      <c r="AP11" s="4">
        <f t="shared" si="20"/>
        <v>1.3360473118843863</v>
      </c>
      <c r="AQ11" s="31">
        <f t="shared" si="21"/>
        <v>0.32359833857972209</v>
      </c>
      <c r="AR11" s="8">
        <f t="shared" si="22"/>
        <v>0.13443515680518756</v>
      </c>
      <c r="AS11" s="33">
        <f t="shared" si="23"/>
        <v>2.9841304738986892E-2</v>
      </c>
      <c r="AT11" s="33">
        <f t="shared" si="24"/>
        <v>7.9396301548199117E-3</v>
      </c>
      <c r="AU11" s="32"/>
      <c r="AV11" s="32"/>
      <c r="AW11" s="31"/>
      <c r="AX11" s="31"/>
      <c r="AY11" s="32"/>
      <c r="AZ11" s="32"/>
      <c r="BA11" s="32"/>
      <c r="BB11" s="32"/>
      <c r="BC11" s="32"/>
      <c r="BD11" s="32"/>
    </row>
    <row r="12" spans="1:56">
      <c r="A12" s="10" t="s">
        <v>185</v>
      </c>
      <c r="B12" t="s">
        <v>183</v>
      </c>
      <c r="C12" t="s">
        <v>235</v>
      </c>
      <c r="D12" t="s">
        <v>202</v>
      </c>
      <c r="E12" s="57" t="s">
        <v>25</v>
      </c>
      <c r="F12" s="57">
        <v>2</v>
      </c>
      <c r="G12" s="57">
        <v>9</v>
      </c>
      <c r="H12">
        <v>3.1070000000000002</v>
      </c>
      <c r="I12">
        <v>244.6</v>
      </c>
      <c r="J12">
        <v>198.9</v>
      </c>
      <c r="K12">
        <v>287.10000000000002</v>
      </c>
      <c r="L12">
        <v>70.099999999999994</v>
      </c>
      <c r="M12">
        <v>62.8</v>
      </c>
      <c r="N12">
        <v>70.7</v>
      </c>
      <c r="O12">
        <v>88.2</v>
      </c>
      <c r="P12">
        <v>63.9</v>
      </c>
      <c r="Q12">
        <v>69.400000000000006</v>
      </c>
      <c r="R12">
        <v>-39.9</v>
      </c>
      <c r="S12">
        <v>-26.7</v>
      </c>
      <c r="T12">
        <v>-14.2</v>
      </c>
      <c r="U12">
        <v>-7.1</v>
      </c>
      <c r="V12">
        <f t="shared" si="0"/>
        <v>17828.240000000002</v>
      </c>
      <c r="W12">
        <f t="shared" si="1"/>
        <v>3979.18</v>
      </c>
      <c r="X12">
        <f t="shared" si="2"/>
        <v>10547.910000000002</v>
      </c>
      <c r="Y12">
        <f t="shared" si="3"/>
        <v>3446.3399999999997</v>
      </c>
      <c r="Z12">
        <f t="shared" si="4"/>
        <v>1062.93</v>
      </c>
      <c r="AA12">
        <f t="shared" si="5"/>
        <v>2085284.8859999999</v>
      </c>
      <c r="AB12">
        <f t="shared" si="6"/>
        <v>10526306.969000002</v>
      </c>
      <c r="AC12">
        <f t="shared" si="7"/>
        <v>582984976.16960013</v>
      </c>
      <c r="AD12" s="7">
        <f t="shared" si="8"/>
        <v>116.7853812419027</v>
      </c>
      <c r="AE12" s="7">
        <f t="shared" si="9"/>
        <v>130.39999999999998</v>
      </c>
      <c r="AF12" s="7">
        <f t="shared" si="10"/>
        <v>123.59269062095134</v>
      </c>
      <c r="AG12" s="7">
        <f t="shared" si="11"/>
        <v>69.2699410538102</v>
      </c>
      <c r="AH12" s="7">
        <f t="shared" si="12"/>
        <v>74.660000000000011</v>
      </c>
      <c r="AI12" s="7">
        <f t="shared" si="13"/>
        <v>71.964970526905105</v>
      </c>
      <c r="AJ12" s="4">
        <f t="shared" si="14"/>
        <v>1.7174006980902534</v>
      </c>
      <c r="AK12" s="4">
        <f t="shared" si="15"/>
        <v>0.25618486242562233</v>
      </c>
      <c r="AL12" s="4">
        <f t="shared" si="16"/>
        <v>180.80261320160847</v>
      </c>
      <c r="AM12" s="4">
        <f t="shared" si="17"/>
        <v>8.4060529760170457</v>
      </c>
      <c r="AN12" s="4">
        <f t="shared" si="18"/>
        <v>6.3070426358741436</v>
      </c>
      <c r="AO12" s="4">
        <f t="shared" si="19"/>
        <v>4.812712838789893</v>
      </c>
      <c r="AP12" s="4">
        <f t="shared" si="20"/>
        <v>1.3328042097264154</v>
      </c>
      <c r="AQ12" s="4">
        <f t="shared" si="21"/>
        <v>0.50564000560906575</v>
      </c>
      <c r="AR12" s="8">
        <f t="shared" si="22"/>
        <v>0.20058484031213836</v>
      </c>
      <c r="AS12" s="8">
        <f t="shared" si="23"/>
        <v>3.7449184698649059E-2</v>
      </c>
      <c r="AT12" s="8">
        <f t="shared" si="24"/>
        <v>5.5078575802885464E-2</v>
      </c>
      <c r="AW12" s="4">
        <v>9.4329999999999997E-2</v>
      </c>
      <c r="AX12" s="4">
        <v>0.5151</v>
      </c>
      <c r="AY12" s="7">
        <v>-8</v>
      </c>
      <c r="AZ12" s="7">
        <v>0</v>
      </c>
      <c r="BA12" s="7">
        <v>1</v>
      </c>
      <c r="BB12" s="7">
        <v>1</v>
      </c>
      <c r="BC12" s="7">
        <v>0</v>
      </c>
      <c r="BD12" s="7">
        <v>8</v>
      </c>
    </row>
    <row r="13" spans="1:56">
      <c r="A13" s="10" t="s">
        <v>246</v>
      </c>
      <c r="B13" t="s">
        <v>186</v>
      </c>
      <c r="C13" t="s">
        <v>235</v>
      </c>
      <c r="D13" t="s">
        <v>201</v>
      </c>
      <c r="E13" s="57" t="s">
        <v>25</v>
      </c>
      <c r="F13" s="57">
        <v>2</v>
      </c>
      <c r="G13" s="57">
        <v>9</v>
      </c>
      <c r="H13">
        <v>3.5</v>
      </c>
      <c r="I13">
        <v>185</v>
      </c>
      <c r="J13">
        <v>184</v>
      </c>
      <c r="K13">
        <v>234</v>
      </c>
      <c r="L13">
        <v>62</v>
      </c>
      <c r="M13">
        <v>51</v>
      </c>
      <c r="N13">
        <v>47</v>
      </c>
      <c r="O13">
        <v>68</v>
      </c>
      <c r="P13">
        <v>62</v>
      </c>
      <c r="Q13">
        <v>70</v>
      </c>
      <c r="R13">
        <v>9</v>
      </c>
      <c r="S13">
        <v>9</v>
      </c>
      <c r="T13">
        <v>21</v>
      </c>
      <c r="U13">
        <v>7</v>
      </c>
      <c r="V13">
        <f t="shared" si="0"/>
        <v>11493</v>
      </c>
      <c r="W13">
        <f t="shared" si="1"/>
        <v>3381</v>
      </c>
      <c r="X13">
        <f t="shared" si="2"/>
        <v>-804</v>
      </c>
      <c r="Y13">
        <f t="shared" si="3"/>
        <v>2973</v>
      </c>
      <c r="Z13">
        <f t="shared" si="4"/>
        <v>-72</v>
      </c>
      <c r="AA13">
        <f t="shared" si="5"/>
        <v>1475619</v>
      </c>
      <c r="AB13">
        <f t="shared" si="6"/>
        <v>5859788</v>
      </c>
      <c r="AC13">
        <f t="shared" si="7"/>
        <v>287280030</v>
      </c>
      <c r="AD13" s="7">
        <f t="shared" si="8"/>
        <v>107.3920752372472</v>
      </c>
      <c r="AE13" s="7">
        <f t="shared" si="9"/>
        <v>111.44444444444444</v>
      </c>
      <c r="AF13" s="7">
        <f t="shared" si="10"/>
        <v>109.41825984084582</v>
      </c>
      <c r="AG13" s="7">
        <f t="shared" si="11"/>
        <v>56.147322996226571</v>
      </c>
      <c r="AH13" s="7">
        <f t="shared" si="12"/>
        <v>58.866666666666667</v>
      </c>
      <c r="AI13" s="7">
        <f t="shared" si="13"/>
        <v>57.506994831446619</v>
      </c>
      <c r="AJ13" s="4">
        <f t="shared" si="14"/>
        <v>1.9026947967208416</v>
      </c>
      <c r="AK13" s="4">
        <f t="shared" si="15"/>
        <v>0.27638921743444889</v>
      </c>
      <c r="AL13" s="4">
        <f t="shared" si="16"/>
        <v>146.80261625983411</v>
      </c>
      <c r="AM13" s="4">
        <f t="shared" si="17"/>
        <v>7.291761553766225</v>
      </c>
      <c r="AN13" s="4">
        <f t="shared" si="18"/>
        <v>5.5912753423997446</v>
      </c>
      <c r="AO13" s="4">
        <f t="shared" si="19"/>
        <v>4.0534639448059595</v>
      </c>
      <c r="AP13" s="4">
        <f t="shared" si="20"/>
        <v>1.3041320820799787</v>
      </c>
      <c r="AQ13" s="4">
        <f t="shared" si="21"/>
        <v>0.27989581258623986</v>
      </c>
      <c r="AR13" s="8">
        <f t="shared" si="22"/>
        <v>0.11205580780972191</v>
      </c>
      <c r="AS13" s="8">
        <f t="shared" si="23"/>
        <v>2.3643590474606704E-2</v>
      </c>
      <c r="AT13" s="8">
        <f t="shared" si="24"/>
        <v>1.8517792245515571E-2</v>
      </c>
      <c r="AW13" s="4">
        <v>0.14949999999999999</v>
      </c>
      <c r="AX13" s="4">
        <v>0.42370000000000002</v>
      </c>
      <c r="AY13" s="7">
        <v>-18</v>
      </c>
      <c r="AZ13" s="7">
        <v>-9</v>
      </c>
      <c r="BA13" s="7">
        <v>1</v>
      </c>
      <c r="BB13" s="7">
        <v>-5</v>
      </c>
      <c r="BC13" s="7">
        <v>6</v>
      </c>
      <c r="BD13" s="7">
        <v>-39</v>
      </c>
    </row>
    <row r="14" spans="1:56">
      <c r="A14" t="s">
        <v>193</v>
      </c>
      <c r="B14" t="s">
        <v>191</v>
      </c>
      <c r="C14" t="s">
        <v>235</v>
      </c>
      <c r="D14" t="s">
        <v>202</v>
      </c>
      <c r="E14" s="57" t="s">
        <v>25</v>
      </c>
      <c r="F14" s="57">
        <v>2</v>
      </c>
      <c r="G14" s="57">
        <v>9</v>
      </c>
      <c r="H14">
        <v>3.33</v>
      </c>
      <c r="I14">
        <v>274</v>
      </c>
      <c r="J14">
        <v>253</v>
      </c>
      <c r="K14">
        <v>282</v>
      </c>
      <c r="L14">
        <v>88</v>
      </c>
      <c r="M14">
        <v>65</v>
      </c>
      <c r="N14">
        <v>94</v>
      </c>
      <c r="O14">
        <v>94</v>
      </c>
      <c r="P14">
        <v>71</v>
      </c>
      <c r="Q14">
        <v>82</v>
      </c>
      <c r="R14">
        <v>4</v>
      </c>
      <c r="S14">
        <v>14</v>
      </c>
      <c r="T14">
        <v>28</v>
      </c>
      <c r="U14">
        <v>13</v>
      </c>
      <c r="V14">
        <f t="shared" si="0"/>
        <v>17546</v>
      </c>
      <c r="W14">
        <f t="shared" si="1"/>
        <v>4938</v>
      </c>
      <c r="X14">
        <f t="shared" si="2"/>
        <v>860</v>
      </c>
      <c r="Y14">
        <f t="shared" si="3"/>
        <v>4503</v>
      </c>
      <c r="Z14">
        <f t="shared" si="4"/>
        <v>666</v>
      </c>
      <c r="AA14">
        <f t="shared" si="5"/>
        <v>3861238</v>
      </c>
      <c r="AB14">
        <f t="shared" si="6"/>
        <v>15033839</v>
      </c>
      <c r="AC14">
        <f t="shared" si="7"/>
        <v>931584515</v>
      </c>
      <c r="AD14" s="7">
        <f t="shared" si="8"/>
        <v>141.01582352203016</v>
      </c>
      <c r="AE14" s="7">
        <f t="shared" si="9"/>
        <v>144.77777777777777</v>
      </c>
      <c r="AF14" s="7">
        <f t="shared" si="10"/>
        <v>142.89680064990398</v>
      </c>
      <c r="AG14" s="7">
        <f t="shared" si="11"/>
        <v>82.693711743711674</v>
      </c>
      <c r="AH14" s="7">
        <f t="shared" si="12"/>
        <v>86.86666666666666</v>
      </c>
      <c r="AI14" s="7">
        <f t="shared" si="13"/>
        <v>84.780189205189174</v>
      </c>
      <c r="AJ14" s="4">
        <f t="shared" si="14"/>
        <v>1.6854975435836566</v>
      </c>
      <c r="AK14" s="4">
        <f t="shared" si="15"/>
        <v>0.25233190371866948</v>
      </c>
      <c r="AL14" s="4">
        <f t="shared" si="16"/>
        <v>212.34587148992711</v>
      </c>
      <c r="AM14" s="4">
        <f t="shared" si="17"/>
        <v>8.7668679613016742</v>
      </c>
      <c r="AN14" s="4">
        <f t="shared" si="18"/>
        <v>6.5507214982105832</v>
      </c>
      <c r="AO14" s="4">
        <f t="shared" si="19"/>
        <v>5.045742391148659</v>
      </c>
      <c r="AP14" s="4">
        <f t="shared" si="20"/>
        <v>1.3383057062792947</v>
      </c>
      <c r="AQ14" s="4">
        <f t="shared" si="21"/>
        <v>0.27899145333743203</v>
      </c>
      <c r="AR14" s="8">
        <f t="shared" si="22"/>
        <v>0.11318799875321899</v>
      </c>
      <c r="AS14" s="8">
        <f t="shared" si="23"/>
        <v>2.4610436483312133E-2</v>
      </c>
      <c r="AT14" s="8">
        <f t="shared" si="24"/>
        <v>1.316318573487299E-2</v>
      </c>
      <c r="AW14" s="4">
        <v>0.13469999999999999</v>
      </c>
      <c r="AX14" s="4">
        <v>0.45229999999999998</v>
      </c>
      <c r="AY14" s="7">
        <v>-20</v>
      </c>
      <c r="AZ14" s="7">
        <v>0</v>
      </c>
      <c r="BA14" s="7">
        <v>3</v>
      </c>
      <c r="BB14" s="7">
        <v>3</v>
      </c>
      <c r="BC14" s="7">
        <v>0</v>
      </c>
      <c r="BD14" s="7">
        <v>20</v>
      </c>
    </row>
    <row r="15" spans="1:56">
      <c r="A15" t="s">
        <v>192</v>
      </c>
      <c r="B15" t="s">
        <v>206</v>
      </c>
      <c r="C15" t="s">
        <v>235</v>
      </c>
      <c r="D15" t="s">
        <v>201</v>
      </c>
      <c r="E15" s="57" t="s">
        <v>25</v>
      </c>
      <c r="F15" s="57">
        <v>2</v>
      </c>
      <c r="G15" s="57">
        <v>9</v>
      </c>
      <c r="H15">
        <v>3.327</v>
      </c>
      <c r="I15">
        <v>257</v>
      </c>
      <c r="J15">
        <v>216.2</v>
      </c>
      <c r="K15">
        <v>260.2</v>
      </c>
      <c r="L15">
        <v>80.2</v>
      </c>
      <c r="M15">
        <v>70.599999999999994</v>
      </c>
      <c r="N15">
        <v>85.8</v>
      </c>
      <c r="O15">
        <v>86</v>
      </c>
      <c r="P15">
        <v>76</v>
      </c>
      <c r="Q15">
        <v>72</v>
      </c>
      <c r="R15">
        <v>7.1</v>
      </c>
      <c r="S15">
        <v>13</v>
      </c>
      <c r="T15">
        <v>33.700000000000003</v>
      </c>
      <c r="U15">
        <v>10.199999999999999</v>
      </c>
      <c r="V15">
        <f t="shared" si="0"/>
        <v>17234.43</v>
      </c>
      <c r="W15">
        <f t="shared" si="1"/>
        <v>4645.0999999999995</v>
      </c>
      <c r="X15">
        <f t="shared" si="2"/>
        <v>713.78000000000043</v>
      </c>
      <c r="Y15">
        <f t="shared" si="3"/>
        <v>5126.329999999999</v>
      </c>
      <c r="Z15">
        <f t="shared" si="4"/>
        <v>476.8</v>
      </c>
      <c r="AA15">
        <f t="shared" si="5"/>
        <v>3349731.7979999995</v>
      </c>
      <c r="AB15">
        <f t="shared" si="6"/>
        <v>10893282.279999999</v>
      </c>
      <c r="AC15">
        <f t="shared" si="7"/>
        <v>719969798.94159997</v>
      </c>
      <c r="AD15" s="7">
        <f t="shared" si="8"/>
        <v>128.02875781342047</v>
      </c>
      <c r="AE15" s="7">
        <f t="shared" si="9"/>
        <v>133.48888888888891</v>
      </c>
      <c r="AF15" s="7">
        <f t="shared" si="10"/>
        <v>130.75882335115469</v>
      </c>
      <c r="AG15" s="7">
        <f t="shared" si="11"/>
        <v>77.664099267238029</v>
      </c>
      <c r="AH15" s="7">
        <f t="shared" si="12"/>
        <v>80.61333333333333</v>
      </c>
      <c r="AI15" s="7">
        <f t="shared" si="13"/>
        <v>79.138716300285679</v>
      </c>
      <c r="AJ15" s="4">
        <f t="shared" si="14"/>
        <v>1.6522737474664175</v>
      </c>
      <c r="AK15" s="4">
        <f t="shared" si="15"/>
        <v>0.24818784399247157</v>
      </c>
      <c r="AL15" s="4">
        <f t="shared" si="16"/>
        <v>197.55996735037087</v>
      </c>
      <c r="AM15" s="4">
        <f t="shared" si="17"/>
        <v>8.4272218348862751</v>
      </c>
      <c r="AN15" s="4">
        <f t="shared" si="18"/>
        <v>6.2691563560049186</v>
      </c>
      <c r="AO15" s="4">
        <f t="shared" si="19"/>
        <v>4.8771723189528942</v>
      </c>
      <c r="AP15" s="4">
        <f t="shared" si="20"/>
        <v>1.3442353893142658</v>
      </c>
      <c r="AQ15" s="4">
        <f t="shared" si="21"/>
        <v>0.2325188228952868</v>
      </c>
      <c r="AR15" s="8">
        <f t="shared" si="22"/>
        <v>9.3219077062751371E-2</v>
      </c>
      <c r="AS15" s="8">
        <f t="shared" si="23"/>
        <v>1.8633320099006041E-2</v>
      </c>
      <c r="AT15" s="8">
        <f t="shared" si="24"/>
        <v>2.0878633408948546E-2</v>
      </c>
      <c r="AW15" s="4">
        <v>0.14729999999999999</v>
      </c>
      <c r="AX15" s="4">
        <v>0.42599999999999999</v>
      </c>
      <c r="AY15" s="7">
        <v>17</v>
      </c>
      <c r="AZ15" s="7">
        <v>23</v>
      </c>
      <c r="BA15" s="7">
        <v>-28</v>
      </c>
      <c r="BB15" s="7">
        <v>-12</v>
      </c>
      <c r="BC15" s="7">
        <v>33</v>
      </c>
      <c r="BD15" s="7">
        <v>19</v>
      </c>
    </row>
    <row r="16" spans="1:56">
      <c r="A16" s="10" t="s">
        <v>233</v>
      </c>
      <c r="C16" t="s">
        <v>235</v>
      </c>
      <c r="D16" t="s">
        <v>201</v>
      </c>
      <c r="E16" s="57" t="s">
        <v>25</v>
      </c>
      <c r="F16" s="57">
        <v>2</v>
      </c>
      <c r="G16" s="57">
        <v>9</v>
      </c>
      <c r="H16">
        <v>3.42</v>
      </c>
      <c r="I16">
        <v>155.6</v>
      </c>
      <c r="J16">
        <v>151.80000000000001</v>
      </c>
      <c r="K16">
        <v>216.1</v>
      </c>
      <c r="L16">
        <v>40</v>
      </c>
      <c r="M16">
        <v>46.5</v>
      </c>
      <c r="N16">
        <v>49.2</v>
      </c>
      <c r="O16">
        <v>81.099999999999994</v>
      </c>
      <c r="P16" s="7">
        <v>66</v>
      </c>
      <c r="Q16">
        <v>68.400000000000006</v>
      </c>
      <c r="R16">
        <v>25.3</v>
      </c>
      <c r="S16" s="7">
        <v>26</v>
      </c>
      <c r="T16">
        <v>19.2</v>
      </c>
      <c r="U16">
        <v>4.0999999999999996</v>
      </c>
      <c r="V16">
        <f t="shared" si="0"/>
        <v>9680.01</v>
      </c>
      <c r="W16">
        <f t="shared" si="1"/>
        <v>2681.4000000000005</v>
      </c>
      <c r="X16">
        <f t="shared" si="2"/>
        <v>-4200.13</v>
      </c>
      <c r="Y16">
        <f t="shared" si="3"/>
        <v>2583.2399999999998</v>
      </c>
      <c r="Z16">
        <f t="shared" si="4"/>
        <v>-14.520000000000209</v>
      </c>
      <c r="AA16">
        <f t="shared" si="5"/>
        <v>584899.03300000017</v>
      </c>
      <c r="AB16">
        <f t="shared" si="6"/>
        <v>3025975.1510000015</v>
      </c>
      <c r="AC16">
        <f t="shared" si="7"/>
        <v>123380273.38010007</v>
      </c>
      <c r="AD16" s="7">
        <f t="shared" si="8"/>
        <v>92.264418838078129</v>
      </c>
      <c r="AE16" s="7">
        <f t="shared" si="9"/>
        <v>106.05555555555556</v>
      </c>
      <c r="AF16" s="7">
        <f t="shared" si="10"/>
        <v>99.159987196816843</v>
      </c>
      <c r="AG16" s="7">
        <f t="shared" si="11"/>
        <v>44.141219298342449</v>
      </c>
      <c r="AH16" s="7">
        <f t="shared" si="12"/>
        <v>47.673333333333325</v>
      </c>
      <c r="AI16" s="7">
        <f t="shared" si="13"/>
        <v>45.90727631583789</v>
      </c>
      <c r="AJ16" s="4">
        <f t="shared" si="14"/>
        <v>2.1600058891450047</v>
      </c>
      <c r="AK16" s="4">
        <f t="shared" si="15"/>
        <v>0.29946571429498142</v>
      </c>
      <c r="AL16" s="4">
        <f t="shared" si="16"/>
        <v>119.30986321819472</v>
      </c>
      <c r="AM16" s="4">
        <f t="shared" si="17"/>
        <v>6.8477530559721016</v>
      </c>
      <c r="AN16" s="4">
        <f t="shared" si="18"/>
        <v>5.3846214633122376</v>
      </c>
      <c r="AO16" s="4">
        <f t="shared" si="19"/>
        <v>3.6637658507755821</v>
      </c>
      <c r="AP16" s="4">
        <f t="shared" si="20"/>
        <v>1.2717241318872301</v>
      </c>
      <c r="AQ16" s="4">
        <f t="shared" si="21"/>
        <v>0.54956654017763906</v>
      </c>
      <c r="AR16" s="8">
        <f t="shared" si="22"/>
        <v>0.22143607128781845</v>
      </c>
      <c r="AS16" s="8">
        <f t="shared" si="23"/>
        <v>3.8470089258729405E-2</v>
      </c>
      <c r="AT16" s="8">
        <f t="shared" si="24"/>
        <v>6.9539827037816221E-2</v>
      </c>
      <c r="AW16" s="4">
        <v>0.1081</v>
      </c>
      <c r="AX16" s="4">
        <v>0.56779999999999997</v>
      </c>
      <c r="AY16" s="7">
        <v>0</v>
      </c>
      <c r="AZ16" s="7">
        <v>1</v>
      </c>
      <c r="BA16" s="7">
        <v>0</v>
      </c>
      <c r="BB16" s="7">
        <v>16</v>
      </c>
      <c r="BC16" s="7">
        <v>0</v>
      </c>
      <c r="BD16" s="7">
        <v>-37</v>
      </c>
    </row>
    <row r="17" spans="1:56">
      <c r="A17" s="10"/>
      <c r="AF17" s="7"/>
      <c r="AI17" s="7"/>
      <c r="AJ17" s="4"/>
      <c r="AK17" s="4"/>
      <c r="AL17" s="4"/>
      <c r="AM17" s="4"/>
      <c r="AN17" s="4"/>
      <c r="AO17" s="4"/>
      <c r="AP17" s="4"/>
      <c r="AR17" s="8" t="e">
        <f t="shared" si="22"/>
        <v>#DIV/0!</v>
      </c>
      <c r="AW17" s="4"/>
      <c r="AX17" s="4"/>
    </row>
    <row r="18" spans="1:56">
      <c r="A18" s="34" t="s">
        <v>711</v>
      </c>
      <c r="H18">
        <v>2.5550000000000002</v>
      </c>
      <c r="I18">
        <v>67.8</v>
      </c>
      <c r="J18">
        <v>181.2</v>
      </c>
      <c r="K18">
        <v>158.4</v>
      </c>
      <c r="L18">
        <v>21.1</v>
      </c>
      <c r="M18">
        <v>19.399999999999999</v>
      </c>
      <c r="N18">
        <v>33.1</v>
      </c>
      <c r="O18">
        <v>40.4</v>
      </c>
      <c r="P18" s="7">
        <v>25</v>
      </c>
      <c r="Q18">
        <v>20.6</v>
      </c>
      <c r="R18">
        <v>-1.1000000000000001</v>
      </c>
      <c r="S18">
        <v>-12.9</v>
      </c>
      <c r="T18">
        <v>10.6</v>
      </c>
      <c r="U18">
        <v>-11.6</v>
      </c>
      <c r="V18">
        <f>K18*M18-T18*T18</f>
        <v>2960.6</v>
      </c>
      <c r="W18">
        <f>Q18*M18-S18*T18</f>
        <v>536.38</v>
      </c>
      <c r="X18">
        <f>P18*T18-R18*K18</f>
        <v>439.24</v>
      </c>
      <c r="Y18">
        <f>P18*M18-R18*T18</f>
        <v>496.65999999999997</v>
      </c>
      <c r="Z18">
        <f>P18*S18-R18*Q18</f>
        <v>-299.83999999999997</v>
      </c>
      <c r="AA18">
        <f>I18*(J18*M18-S18*S18)-O18*(O18*M18-R18*S18)+R18*(O18*S18-R18*J18)+S18*(Q18*T18-S18*K18)</f>
        <v>167140.59399999998</v>
      </c>
      <c r="AB18">
        <f>I18*J18*K18-I18*Q18*Q18-J18*P18*P18-K18*O18*O18+2*O18*P18*Q18</f>
        <v>1587057.2719999999</v>
      </c>
      <c r="AC18">
        <f>2*(R18*S18*(K18*O18-P18*Q18)+R18*T18*(J18*P18-O18*Q18)+S18*T18*(I18*Q18-O18*P18))-(R18*R18*(J18*K18-Q18*Q18)+S18*S18*(I18*K18-P18*P18)+T18*T18*(I18*J18-O18*O18))+M18*AB18</f>
        <v>27849561.337599996</v>
      </c>
      <c r="AD18" s="7">
        <f>AC18/(V18*(I18+J18-2*O18)+W18*(2*O18-2*I18-Q18)+X18*(R18-2*S18)+Y18*(2*O18+2*Q18-P18-2*J18)+2*Z18*(S18-R18)+AA18)</f>
        <v>54.523343137443973</v>
      </c>
      <c r="AE18" s="7">
        <f>(I18+J18+K18+2*(O18+P18+Q18))/9</f>
        <v>64.37777777777778</v>
      </c>
      <c r="AF18" s="7">
        <f>0.5*(AD18+AE18)</f>
        <v>59.450560457610877</v>
      </c>
      <c r="AG18" s="7">
        <f>15/(4*(V18*(I18+J18+O18)+W18*(I18-O18-Q18)+X18*(R18+S18)+Y18*(J18-O18-P18-Q18)+Z18*(R18-S18)+AA18)/AC18 +3*(AB18/AC18 +(L18+N18)/(L18*N18-U18*U18)))</f>
        <v>24.49677332078889</v>
      </c>
      <c r="AH18" s="7">
        <f>(I18+J18+K18+3*(L18+M18+N18)-(O18+P18+Q18))/15</f>
        <v>36.146666666666661</v>
      </c>
      <c r="AI18" s="7">
        <f>0.5*(AG18+AH18)</f>
        <v>30.321719993727775</v>
      </c>
      <c r="AJ18" s="4">
        <f>AF18/AI18</f>
        <v>1.9606592393145432</v>
      </c>
      <c r="AK18" s="4">
        <f>(3*AF18-2*AI18)/(2*(3*AF18+AI18))</f>
        <v>0.28203939892322</v>
      </c>
      <c r="AL18" s="4">
        <f>9*AI18*AF18/(AI18+3*AF18)</f>
        <v>77.747279350153875</v>
      </c>
      <c r="AM18" s="4">
        <f>SQRT((AF18+4/3*AI18)/H18)</f>
        <v>6.2523426669958946</v>
      </c>
      <c r="AN18" s="4">
        <f>SQRT(AF18/H18)</f>
        <v>4.8237248178600218</v>
      </c>
      <c r="AO18" s="4">
        <f>SQRT(AI18/H18)</f>
        <v>3.4449384291049356</v>
      </c>
      <c r="AP18" s="4">
        <f>AM18/AN18</f>
        <v>1.2961648732212836</v>
      </c>
      <c r="AQ18" s="4">
        <f>5*AH18/AG18 +AE18/AD18 - 6</f>
        <v>2.5585803207892042</v>
      </c>
      <c r="AR18" s="8">
        <f t="shared" si="22"/>
        <v>0.88564999724395943</v>
      </c>
      <c r="AS18" s="8">
        <f>(AH18-AG18)/(AH18+AG18)</f>
        <v>0.19210475771637658</v>
      </c>
      <c r="AT18" s="8">
        <f>(AE18-AD18)/(AE18+AD18)</f>
        <v>8.2879240872423432E-2</v>
      </c>
      <c r="AW18" s="4"/>
      <c r="AX18" s="4"/>
    </row>
    <row r="19" spans="1:56">
      <c r="A19" s="34" t="s">
        <v>712</v>
      </c>
      <c r="H19">
        <v>2.56</v>
      </c>
      <c r="I19">
        <v>68.599999999999994</v>
      </c>
      <c r="J19">
        <v>176.8</v>
      </c>
      <c r="K19">
        <v>159.9</v>
      </c>
      <c r="L19">
        <v>19.3</v>
      </c>
      <c r="M19" s="7">
        <v>18</v>
      </c>
      <c r="N19">
        <v>33.5</v>
      </c>
      <c r="O19">
        <v>43.6</v>
      </c>
      <c r="P19" s="7">
        <v>26</v>
      </c>
      <c r="Q19" s="7">
        <v>21</v>
      </c>
      <c r="R19">
        <v>-0.7</v>
      </c>
      <c r="S19">
        <v>-12.6</v>
      </c>
      <c r="T19">
        <v>6.9</v>
      </c>
      <c r="U19">
        <v>-10.8</v>
      </c>
      <c r="V19">
        <f>K19*M19-T19*T19</f>
        <v>2830.59</v>
      </c>
      <c r="W19">
        <f>Q19*M19-S19*T19</f>
        <v>464.94</v>
      </c>
      <c r="X19">
        <f>P19*T19-R19*K19</f>
        <v>291.33</v>
      </c>
      <c r="Y19">
        <f>P19*M19-R19*T19</f>
        <v>472.83</v>
      </c>
      <c r="Z19">
        <f>P19*S19-R19*Q19</f>
        <v>-312.89999999999998</v>
      </c>
      <c r="AA19">
        <f>I19*(J19*M19-S19*S19)-O19*(O19*M19-R19*S19)+R19*(O19*S19-R19*J19)+S19*(Q19*T19-S19*K19)</f>
        <v>146675.432</v>
      </c>
      <c r="AB19">
        <f>I19*J19*K19-I19*Q19*Q19-J19*P19*P19-K19*O19*O19+2*O19*P19*Q19</f>
        <v>1533222.2479999999</v>
      </c>
      <c r="AC19">
        <f>2*(R19*S19*(K19*O19-P19*Q19)+R19*T19*(J19*P19-O19*Q19)+S19*T19*(I19*Q19-O19*P19))-(R19*R19*(J19*K19-Q19*Q19)+S19*S19*(I19*K19-P19*P19)+T19*T19*(I19*J19-O19*O19))+M19*AB19</f>
        <v>25487699.701199997</v>
      </c>
      <c r="AD19" s="7">
        <f>AC19/(V19*(I19+J19-2*O19)+W19*(2*O19-2*I19-Q19)+X19*(R19-2*S19)+Y19*(2*O19+2*Q19-P19-2*J19)+2*Z19*(S19-R19)+AA19)</f>
        <v>55.692315414601161</v>
      </c>
      <c r="AE19" s="7">
        <f>(I19+J19+K19+2*(O19+P19+Q19))/9</f>
        <v>65.166666666666671</v>
      </c>
      <c r="AF19" s="7">
        <f>0.5*(AD19+AE19)</f>
        <v>60.42949104063392</v>
      </c>
      <c r="AG19" s="7">
        <f>15/(4*(V19*(I19+J19+O19)+W19*(I19-O19-Q19)+X19*(R19+S19)+Y19*(J19-O19-P19-Q19)+Z19*(R19-S19)+AA19)/AC19 +3*(AB19/AC19 +(L19+N19)/(L19*N19-U19*U19)))</f>
        <v>23.574462054053743</v>
      </c>
      <c r="AH19" s="7">
        <f>(I19+J19+K19+3*(L19+M19+N19)-(O19+P19+Q19))/15</f>
        <v>35.14</v>
      </c>
      <c r="AI19" s="7">
        <f>0.5*(AG19+AH19)</f>
        <v>29.35723102702687</v>
      </c>
      <c r="AJ19" s="4">
        <f>AF19/AI19</f>
        <v>2.05841930340778</v>
      </c>
      <c r="AK19" s="4">
        <f>(3*AF19-2*AI19)/(2*(3*AF19+AI19))</f>
        <v>0.29094828105582193</v>
      </c>
      <c r="AL19" s="4">
        <f>9*AI19*AF19/(AI19+3*AF19)</f>
        <v>75.797333861797952</v>
      </c>
      <c r="AM19" s="4">
        <f>SQRT((AF19+4/3*AI19)/H19)</f>
        <v>6.2366252437508853</v>
      </c>
      <c r="AN19" s="4">
        <f>SQRT(AF19/H19)</f>
        <v>4.8585254900790247</v>
      </c>
      <c r="AO19" s="4">
        <f>SQRT(AI19/H19)</f>
        <v>3.3863945974933829</v>
      </c>
      <c r="AP19" s="4">
        <f>AM19/AN19</f>
        <v>1.2836456773739076</v>
      </c>
      <c r="AQ19" s="4">
        <f>5*AH19/AG19 +AE19/AD19 - 6</f>
        <v>2.6230997891369654</v>
      </c>
      <c r="AR19" s="8">
        <f t="shared" si="22"/>
        <v>0.9063056633697345</v>
      </c>
      <c r="AS19" s="8">
        <f>(AH19-AG19)/(AH19+AG19)</f>
        <v>0.1969793734173837</v>
      </c>
      <c r="AT19" s="8">
        <f>(AE19-AD19)/(AE19+AD19)</f>
        <v>7.8391784283726465E-2</v>
      </c>
      <c r="AW19" s="4"/>
      <c r="AX19" s="4"/>
    </row>
    <row r="20" spans="1:56">
      <c r="A20" s="34" t="s">
        <v>964</v>
      </c>
      <c r="H20">
        <v>2.5670000000000002</v>
      </c>
      <c r="I20">
        <v>69.3</v>
      </c>
      <c r="J20">
        <v>176.2</v>
      </c>
      <c r="K20">
        <v>160.80000000000001</v>
      </c>
      <c r="L20">
        <v>19.2</v>
      </c>
      <c r="M20">
        <v>19.399999999999999</v>
      </c>
      <c r="N20">
        <v>33.4</v>
      </c>
      <c r="O20">
        <v>41.6</v>
      </c>
      <c r="P20" s="7">
        <v>24</v>
      </c>
      <c r="Q20">
        <v>14.3</v>
      </c>
      <c r="R20">
        <v>0.3</v>
      </c>
      <c r="S20">
        <v>-9.4</v>
      </c>
      <c r="T20">
        <v>7.1</v>
      </c>
      <c r="U20">
        <v>-11.5</v>
      </c>
      <c r="V20">
        <f>K20*M20-T20*T20</f>
        <v>3069.11</v>
      </c>
      <c r="W20">
        <f>Q20*M20-S20*T20</f>
        <v>344.16</v>
      </c>
      <c r="X20">
        <f>P20*T20-R20*K20</f>
        <v>122.15999999999997</v>
      </c>
      <c r="Y20">
        <f>P20*M20-R20*T20</f>
        <v>463.46999999999997</v>
      </c>
      <c r="Z20">
        <f>P20*S20-R20*Q20</f>
        <v>-229.89000000000001</v>
      </c>
      <c r="AA20">
        <f>I20*(J20*M20-S20*S20)-O20*(O20*M20-R20*S20)+R20*(O20*S20-R20*J20)+S20*(Q20*T20-S20*K20)</f>
        <v>181777.43999999994</v>
      </c>
      <c r="AB20">
        <f>I20*J20*K20-I20*Q20*Q20-J20*P20*P20-K20*O20*O20+2*O20*P20*Q20</f>
        <v>1598091.963</v>
      </c>
      <c r="AC20">
        <f>2*(R20*S20*(K20*O20-P20*Q20)+R20*T20*(J20*P20-O20*Q20)+S20*T20*(I20*Q20-O20*P20))-(R20*R20*(J20*K20-Q20*Q20)+S20*S20*(I20*K20-P20*P20)+T20*T20*(I20*J20-O20*O20))+M20*AB20</f>
        <v>29519089.375299998</v>
      </c>
      <c r="AD20" s="7">
        <f>AC20/(V20*(I20+J20-2*O20)+W20*(2*O20-2*I20-Q20)+X20*(R20-2*S20)+Y20*(2*O20+2*Q20-P20-2*J20)+2*Z20*(S20-R20)+AA20)</f>
        <v>54.658400971441587</v>
      </c>
      <c r="AE20" s="7">
        <f>(I20+J20+K20+2*(O20+P20+Q20))/9</f>
        <v>62.900000000000006</v>
      </c>
      <c r="AF20" s="7">
        <f>0.5*(AD20+AE20)</f>
        <v>58.779200485720793</v>
      </c>
      <c r="AG20" s="7">
        <f>15/(4*(V20*(I20+J20+O20)+W20*(I20-O20-Q20)+X20*(R20+S20)+Y20*(J20-O20-P20-Q20)+Z20*(R20-S20)+AA20)/AC20 +3*(AB20/AC20 +(L20+N20)/(L20*N20-U20*U20)))</f>
        <v>24.089980121368413</v>
      </c>
      <c r="AH20" s="7">
        <f>(I20+J20+K20+3*(L20+M20+N20)-(O20+P20+Q20))/15</f>
        <v>36.159999999999997</v>
      </c>
      <c r="AI20" s="7">
        <f>0.5*(AG20+AH20)</f>
        <v>30.124990060684205</v>
      </c>
      <c r="AJ20" s="4">
        <f>AF20/AI20</f>
        <v>1.9511774233722614</v>
      </c>
      <c r="AK20" s="4">
        <f>(3*AF20-2*AI20)/(2*(3*AF20+AI20))</f>
        <v>0.2811347578327752</v>
      </c>
      <c r="AL20" s="4">
        <f>9*AI20*AF20/(AI20+3*AF20)</f>
        <v>77.188343692218822</v>
      </c>
      <c r="AM20" s="4">
        <f>SQRT((AF20+4/3*AI20)/H20)</f>
        <v>6.2084882863464408</v>
      </c>
      <c r="AN20" s="4">
        <f>SQRT(AF20/H20)</f>
        <v>4.7851868755828546</v>
      </c>
      <c r="AO20" s="4">
        <f>SQRT(AI20/H20)</f>
        <v>3.4257094193156439</v>
      </c>
      <c r="AP20" s="4">
        <f>AM20/AN20</f>
        <v>1.2974390442359103</v>
      </c>
      <c r="AQ20" s="4">
        <f>5*AH20/AG20 +AE20/AD20 - 6</f>
        <v>2.6559788248090292</v>
      </c>
      <c r="AR20" s="8">
        <f t="shared" si="22"/>
        <v>0.91899078128435707</v>
      </c>
      <c r="AS20" s="8">
        <f>(AH20-AG20)/(AH20+AG20)</f>
        <v>0.20033234624007454</v>
      </c>
      <c r="AT20" s="8">
        <f>(AE20-AD20)/(AE20+AD20)</f>
        <v>7.0106423364507536E-2</v>
      </c>
      <c r="AW20" s="4"/>
      <c r="AX20" s="4"/>
    </row>
    <row r="21" spans="1:56">
      <c r="A21" s="10"/>
      <c r="AF21" s="7"/>
      <c r="AI21" s="7"/>
      <c r="AJ21" s="4"/>
      <c r="AK21" s="4"/>
      <c r="AL21" s="4"/>
      <c r="AM21" s="4"/>
      <c r="AN21" s="4"/>
      <c r="AO21" s="4"/>
      <c r="AP21" s="4"/>
      <c r="AR21" s="8" t="e">
        <f t="shared" si="22"/>
        <v>#DIV/0!</v>
      </c>
      <c r="AW21" s="4"/>
      <c r="AX21" s="4"/>
    </row>
    <row r="22" spans="1:56">
      <c r="A22" s="10" t="s">
        <v>209</v>
      </c>
      <c r="B22" s="34" t="s">
        <v>234</v>
      </c>
      <c r="C22" s="34" t="s">
        <v>236</v>
      </c>
      <c r="D22" s="34"/>
      <c r="E22" s="57" t="s">
        <v>25</v>
      </c>
      <c r="F22" s="57">
        <v>2</v>
      </c>
      <c r="G22" s="57">
        <v>9</v>
      </c>
      <c r="H22">
        <v>0</v>
      </c>
      <c r="I22">
        <v>67.400000000000006</v>
      </c>
      <c r="J22">
        <v>161</v>
      </c>
      <c r="K22">
        <v>124</v>
      </c>
      <c r="L22">
        <v>13.6</v>
      </c>
      <c r="M22">
        <v>25.3</v>
      </c>
      <c r="N22">
        <v>35.4</v>
      </c>
      <c r="O22">
        <v>42.9</v>
      </c>
      <c r="P22">
        <v>45.1</v>
      </c>
      <c r="Q22">
        <v>25.6</v>
      </c>
      <c r="R22">
        <v>-12.8</v>
      </c>
      <c r="S22">
        <v>-7.6</v>
      </c>
      <c r="T22">
        <v>-15.8</v>
      </c>
      <c r="U22">
        <v>-1.7</v>
      </c>
      <c r="V22">
        <f t="shared" ref="V22:V38" si="25">K22*M22-T22*T22</f>
        <v>2887.5600000000004</v>
      </c>
      <c r="W22">
        <f t="shared" ref="W22:W38" si="26">Q22*M22-S22*T22</f>
        <v>527.6</v>
      </c>
      <c r="X22">
        <f t="shared" ref="X22:X38" si="27">P22*T22-R22*K22</f>
        <v>874.62</v>
      </c>
      <c r="Y22">
        <f t="shared" ref="Y22:Y38" si="28">P22*M22-R22*T22</f>
        <v>938.79</v>
      </c>
      <c r="Z22">
        <f t="shared" ref="Z22:Z38" si="29">P22*S22-R22*Q22</f>
        <v>-15.079999999999927</v>
      </c>
      <c r="AA22">
        <f t="shared" ref="AA22:AA38" si="30">I22*(J22*M22-S22*S22)-O22*(O22*M22-R22*S22)+R22*(O22*S22-R22*J22)+S22*(Q22*T22-S22*K22)</f>
        <v>201965.215</v>
      </c>
      <c r="AB22">
        <f t="shared" ref="AB22:AB38" si="31">I22*J22*K22-I22*Q22*Q22-J22*P22*P22-K22*O22*O22+2*O22*P22*Q22</f>
        <v>844777.13400000008</v>
      </c>
      <c r="AC22">
        <f t="shared" ref="AC22:AC38" si="32">2*(R22*S22*(K22*O22-P22*Q22)+R22*T22*(J22*P22-O22*Q22)+S22*T22*(I22*Q22-O22*P22))-(R22*R22*(J22*K22-Q22*Q22)+S22*S22*(I22*K22-P22*P22)+T22*T22*(I22*J22-O22*O22))+M22*AB22</f>
        <v>18847406.109800003</v>
      </c>
      <c r="AD22" s="7">
        <f t="shared" ref="AD22:AD38" si="33">AC22/(V22*(I22+J22-2*O22)+W22*(2*O22-2*I22-Q22)+X22*(R22-2*S22)+Y22*(2*O22+2*Q22-P22-2*J22)+2*Z22*(S22-R22)+AA22)</f>
        <v>52.310460860356343</v>
      </c>
      <c r="AE22" s="7">
        <f t="shared" ref="AE22:AE38" si="34">(I22+J22+K22+2*(O22+P22+Q22))/9</f>
        <v>64.399999999999991</v>
      </c>
      <c r="AF22" s="7">
        <f t="shared" ref="AF22:AF38" si="35">0.5*(AD22+AE22)</f>
        <v>58.355230430178167</v>
      </c>
      <c r="AG22" s="7">
        <f t="shared" ref="AG22:AG38" si="36">15/(4*(V22*(I22+J22+O22)+W22*(I22-O22-Q22)+X22*(R22+S22)+Y22*(J22-O22-P22-Q22)+Z22*(R22-S22)+AA22)/AC22 +3*(AB22/AC22 +(L22+N22)/(L22*N22-U22*U22)))</f>
        <v>22.854764386189924</v>
      </c>
      <c r="AH22" s="7">
        <f t="shared" ref="AH22:AH38" si="37">(I22+J22+K22+3*(L22+M22+N22)-(O22+P22+Q22))/15</f>
        <v>30.779999999999994</v>
      </c>
      <c r="AI22" s="7">
        <f t="shared" ref="AI22:AI38" si="38">0.5*(AG22+AH22)</f>
        <v>26.817382193094957</v>
      </c>
      <c r="AJ22" s="4">
        <f t="shared" ref="AJ22:AJ38" si="39">AF22/AI22</f>
        <v>2.1760226262951088</v>
      </c>
      <c r="AK22" s="4">
        <f t="shared" ref="AK22:AK38" si="40">(3*AF22-2*AI22)/(2*(3*AF22+AI22))</f>
        <v>0.30074568612655717</v>
      </c>
      <c r="AL22" s="4">
        <f t="shared" ref="AL22:AL38" si="41">9*AI22*AF22/(AI22+3*AF22)</f>
        <v>69.765188401750819</v>
      </c>
      <c r="AM22" s="4" t="e">
        <f t="shared" ref="AM22:AM38" si="42">SQRT((AF22+4/3*AI22)/H22)</f>
        <v>#DIV/0!</v>
      </c>
      <c r="AN22" s="4" t="e">
        <f t="shared" ref="AN22:AN38" si="43">SQRT(AF22/H22)</f>
        <v>#DIV/0!</v>
      </c>
      <c r="AO22" s="4" t="e">
        <f t="shared" ref="AO22:AO38" si="44">SQRT(AI22/H22)</f>
        <v>#DIV/0!</v>
      </c>
      <c r="AP22" s="4" t="e">
        <f t="shared" ref="AP22:AP38" si="45">AM22/AN22</f>
        <v>#DIV/0!</v>
      </c>
      <c r="AQ22" s="4">
        <f t="shared" ref="AQ22:AQ38" si="46">5*AH22/AG22 +AE22/AD22 - 6</f>
        <v>1.9649370192042088</v>
      </c>
      <c r="AR22" s="8">
        <f t="shared" si="22"/>
        <v>0.69740410784792983</v>
      </c>
      <c r="AS22" s="8">
        <f t="shared" ref="AS22:AS38" si="47">(AH22-AG22)/(AH22+AG22)</f>
        <v>0.14776303586877862</v>
      </c>
      <c r="AT22" s="8">
        <f t="shared" ref="AT22:AT38" si="48">(AE22-AD22)/(AE22+AD22)</f>
        <v>0.10358573730686181</v>
      </c>
      <c r="AW22" s="5">
        <v>-3.2070000000000001E-2</v>
      </c>
      <c r="AX22" s="4">
        <v>0.7429</v>
      </c>
      <c r="AY22" s="12">
        <v>0</v>
      </c>
      <c r="AZ22" s="12">
        <v>1</v>
      </c>
      <c r="BA22" s="12">
        <v>0</v>
      </c>
      <c r="BB22" s="12">
        <v>1</v>
      </c>
      <c r="BC22" s="12">
        <v>0</v>
      </c>
      <c r="BD22" s="12">
        <v>-40</v>
      </c>
    </row>
    <row r="23" spans="1:56">
      <c r="A23" s="10" t="s">
        <v>211</v>
      </c>
      <c r="B23" s="35" t="s">
        <v>210</v>
      </c>
      <c r="C23" s="35" t="s">
        <v>236</v>
      </c>
      <c r="D23" s="35"/>
      <c r="E23" s="57" t="s">
        <v>25</v>
      </c>
      <c r="F23" s="57">
        <v>2</v>
      </c>
      <c r="G23" s="57">
        <v>9</v>
      </c>
      <c r="H23">
        <v>0</v>
      </c>
      <c r="I23">
        <v>124</v>
      </c>
      <c r="J23">
        <v>205</v>
      </c>
      <c r="K23">
        <v>156</v>
      </c>
      <c r="L23">
        <v>23.5</v>
      </c>
      <c r="M23">
        <v>40.4</v>
      </c>
      <c r="N23">
        <v>24.2</v>
      </c>
      <c r="O23">
        <v>-3</v>
      </c>
      <c r="P23">
        <v>-24</v>
      </c>
      <c r="Q23">
        <v>-0.7</v>
      </c>
      <c r="R23">
        <v>-3.6</v>
      </c>
      <c r="S23">
        <v>-0.7</v>
      </c>
      <c r="T23">
        <v>2.2000000000000002</v>
      </c>
      <c r="U23">
        <v>1.2</v>
      </c>
      <c r="V23">
        <f t="shared" si="25"/>
        <v>6297.5599999999995</v>
      </c>
      <c r="W23">
        <f t="shared" si="26"/>
        <v>-26.74</v>
      </c>
      <c r="X23">
        <f t="shared" si="27"/>
        <v>508.8</v>
      </c>
      <c r="Y23">
        <f t="shared" si="28"/>
        <v>-961.68</v>
      </c>
      <c r="Z23">
        <f t="shared" si="29"/>
        <v>14.279999999999998</v>
      </c>
      <c r="AA23">
        <f t="shared" si="30"/>
        <v>1023796.358</v>
      </c>
      <c r="AB23">
        <f t="shared" si="31"/>
        <v>3845874.4400000004</v>
      </c>
      <c r="AC23">
        <f t="shared" si="32"/>
        <v>154902699.14240003</v>
      </c>
      <c r="AD23" s="7">
        <f t="shared" si="33"/>
        <v>44.037217423814027</v>
      </c>
      <c r="AE23" s="7">
        <f t="shared" si="34"/>
        <v>47.733333333333334</v>
      </c>
      <c r="AF23" s="7">
        <f t="shared" si="35"/>
        <v>45.885275378573681</v>
      </c>
      <c r="AG23" s="7">
        <f t="shared" si="36"/>
        <v>37.474228258215376</v>
      </c>
      <c r="AH23" s="7">
        <f t="shared" si="37"/>
        <v>51.8</v>
      </c>
      <c r="AI23" s="7">
        <f t="shared" si="38"/>
        <v>44.637114129107687</v>
      </c>
      <c r="AJ23" s="4">
        <f t="shared" si="39"/>
        <v>1.0279624091704458</v>
      </c>
      <c r="AK23" s="5">
        <f t="shared" si="40"/>
        <v>0.13270288417976744</v>
      </c>
      <c r="AL23" s="4">
        <f t="shared" si="41"/>
        <v>101.12117583100344</v>
      </c>
      <c r="AM23" s="4" t="e">
        <f t="shared" si="42"/>
        <v>#DIV/0!</v>
      </c>
      <c r="AN23" s="4" t="e">
        <f t="shared" si="43"/>
        <v>#DIV/0!</v>
      </c>
      <c r="AO23" s="4" t="e">
        <f t="shared" si="44"/>
        <v>#DIV/0!</v>
      </c>
      <c r="AP23" s="4" t="e">
        <f t="shared" si="45"/>
        <v>#DIV/0!</v>
      </c>
      <c r="AQ23" s="4">
        <f t="shared" si="46"/>
        <v>1.9953481537966766</v>
      </c>
      <c r="AR23" s="8">
        <f t="shared" si="22"/>
        <v>0.7283699468367919</v>
      </c>
      <c r="AS23" s="8">
        <f t="shared" si="47"/>
        <v>0.16046928683997116</v>
      </c>
      <c r="AT23" s="8">
        <f t="shared" si="48"/>
        <v>4.0275620872106864E-2</v>
      </c>
      <c r="AW23" s="5">
        <v>-0.19520000000000001</v>
      </c>
      <c r="AX23" s="4">
        <v>0.5756</v>
      </c>
      <c r="AY23" s="12">
        <v>1</v>
      </c>
      <c r="AZ23" s="12">
        <v>0</v>
      </c>
      <c r="BA23" s="12">
        <v>40</v>
      </c>
      <c r="BB23" s="12">
        <v>-40</v>
      </c>
      <c r="BC23" s="12">
        <v>0</v>
      </c>
      <c r="BD23" s="12">
        <v>1</v>
      </c>
    </row>
    <row r="24" spans="1:56">
      <c r="A24" s="10" t="s">
        <v>212</v>
      </c>
      <c r="C24" s="34" t="s">
        <v>236</v>
      </c>
      <c r="D24" s="34"/>
      <c r="E24" s="57" t="s">
        <v>25</v>
      </c>
      <c r="F24" s="57">
        <v>2</v>
      </c>
      <c r="G24" s="57">
        <v>9</v>
      </c>
      <c r="H24">
        <v>0</v>
      </c>
      <c r="I24">
        <v>99.4</v>
      </c>
      <c r="J24">
        <v>158</v>
      </c>
      <c r="K24">
        <v>150</v>
      </c>
      <c r="L24">
        <v>21.7</v>
      </c>
      <c r="M24">
        <v>34.5</v>
      </c>
      <c r="N24">
        <v>37.1</v>
      </c>
      <c r="O24">
        <v>62.8</v>
      </c>
      <c r="P24">
        <v>48.7</v>
      </c>
      <c r="Q24">
        <v>26.7</v>
      </c>
      <c r="R24">
        <v>-2.5</v>
      </c>
      <c r="S24">
        <v>-10.7</v>
      </c>
      <c r="T24">
        <v>-12.4</v>
      </c>
      <c r="U24">
        <v>-5.4</v>
      </c>
      <c r="V24">
        <f t="shared" si="25"/>
        <v>5021.24</v>
      </c>
      <c r="W24">
        <f t="shared" si="26"/>
        <v>788.47</v>
      </c>
      <c r="X24">
        <f t="shared" si="27"/>
        <v>-228.88000000000011</v>
      </c>
      <c r="Y24">
        <f t="shared" si="28"/>
        <v>1649.15</v>
      </c>
      <c r="Z24">
        <f t="shared" si="29"/>
        <v>-454.34000000000003</v>
      </c>
      <c r="AA24">
        <f t="shared" si="30"/>
        <v>383127.97000000009</v>
      </c>
      <c r="AB24">
        <f t="shared" si="31"/>
        <v>1481932.1380000003</v>
      </c>
      <c r="AC24">
        <f t="shared" si="32"/>
        <v>48439255.786200009</v>
      </c>
      <c r="AD24" s="7">
        <f t="shared" si="33"/>
        <v>73.05659229788472</v>
      </c>
      <c r="AE24" s="7">
        <f t="shared" si="34"/>
        <v>75.977777777777774</v>
      </c>
      <c r="AF24" s="7">
        <f t="shared" si="35"/>
        <v>74.51718503783124</v>
      </c>
      <c r="AG24" s="7">
        <f t="shared" si="36"/>
        <v>30.812469277590925</v>
      </c>
      <c r="AH24" s="7">
        <f t="shared" si="37"/>
        <v>36.606666666666662</v>
      </c>
      <c r="AI24" s="7">
        <f t="shared" si="38"/>
        <v>33.709567972128795</v>
      </c>
      <c r="AJ24" s="4">
        <f t="shared" si="39"/>
        <v>2.2105648194436176</v>
      </c>
      <c r="AK24" s="4">
        <f t="shared" si="40"/>
        <v>0.30345125080805857</v>
      </c>
      <c r="AL24" s="4">
        <f t="shared" si="41"/>
        <v>87.877557074941109</v>
      </c>
      <c r="AM24" s="4" t="e">
        <f t="shared" si="42"/>
        <v>#DIV/0!</v>
      </c>
      <c r="AN24" s="4" t="e">
        <f t="shared" si="43"/>
        <v>#DIV/0!</v>
      </c>
      <c r="AO24" s="4" t="e">
        <f t="shared" si="44"/>
        <v>#DIV/0!</v>
      </c>
      <c r="AP24" s="4" t="e">
        <f t="shared" si="45"/>
        <v>#DIV/0!</v>
      </c>
      <c r="AQ24" s="4">
        <f t="shared" si="46"/>
        <v>0.98022104933865783</v>
      </c>
      <c r="AR24" s="8">
        <f t="shared" si="22"/>
        <v>0.38728854162224235</v>
      </c>
      <c r="AS24" s="8">
        <f t="shared" si="47"/>
        <v>8.5942919735227732E-2</v>
      </c>
      <c r="AT24" s="8">
        <f t="shared" si="48"/>
        <v>1.9600750339737159E-2</v>
      </c>
      <c r="AW24" s="5">
        <v>-8.4599999999999995E-2</v>
      </c>
      <c r="AX24" s="4">
        <v>0.68</v>
      </c>
      <c r="AY24" s="12">
        <v>0</v>
      </c>
      <c r="AZ24" s="12">
        <v>1</v>
      </c>
      <c r="BA24" s="12">
        <v>0</v>
      </c>
      <c r="BB24" s="12">
        <v>8</v>
      </c>
      <c r="BC24" s="12">
        <v>0</v>
      </c>
      <c r="BD24" s="12">
        <v>39</v>
      </c>
    </row>
    <row r="25" spans="1:56">
      <c r="A25" s="10" t="s">
        <v>214</v>
      </c>
      <c r="B25" t="s">
        <v>213</v>
      </c>
      <c r="C25" s="34" t="s">
        <v>236</v>
      </c>
      <c r="D25" s="34"/>
      <c r="E25" s="57" t="s">
        <v>25</v>
      </c>
      <c r="F25" s="57">
        <v>2</v>
      </c>
      <c r="G25" s="57">
        <v>9</v>
      </c>
      <c r="H25">
        <v>0</v>
      </c>
      <c r="I25">
        <v>67</v>
      </c>
      <c r="J25">
        <v>169</v>
      </c>
      <c r="K25">
        <v>118</v>
      </c>
      <c r="L25">
        <v>14.3</v>
      </c>
      <c r="M25">
        <v>23.8</v>
      </c>
      <c r="N25">
        <v>36.4</v>
      </c>
      <c r="O25">
        <v>45.3</v>
      </c>
      <c r="P25">
        <v>26.5</v>
      </c>
      <c r="Q25">
        <v>20.399999999999999</v>
      </c>
      <c r="R25">
        <v>-0.2</v>
      </c>
      <c r="S25">
        <v>-12.3</v>
      </c>
      <c r="T25">
        <v>-15</v>
      </c>
      <c r="U25">
        <v>-1.9</v>
      </c>
      <c r="V25">
        <f t="shared" si="25"/>
        <v>2583.4</v>
      </c>
      <c r="W25">
        <f t="shared" si="26"/>
        <v>301.02</v>
      </c>
      <c r="X25">
        <f t="shared" si="27"/>
        <v>-373.9</v>
      </c>
      <c r="Y25">
        <f t="shared" si="28"/>
        <v>627.70000000000005</v>
      </c>
      <c r="Z25">
        <f t="shared" si="29"/>
        <v>-321.87000000000006</v>
      </c>
      <c r="AA25">
        <f t="shared" si="30"/>
        <v>196638.92400000003</v>
      </c>
      <c r="AB25">
        <f t="shared" si="31"/>
        <v>996382.77</v>
      </c>
      <c r="AC25">
        <f t="shared" si="32"/>
        <v>20643667.850900002</v>
      </c>
      <c r="AD25" s="7">
        <f t="shared" si="33"/>
        <v>50.920541609155251</v>
      </c>
      <c r="AE25" s="7">
        <f t="shared" si="34"/>
        <v>59.822222222222223</v>
      </c>
      <c r="AF25" s="7">
        <f t="shared" si="35"/>
        <v>55.371381915688737</v>
      </c>
      <c r="AG25" s="7">
        <f t="shared" si="36"/>
        <v>23.903415624991652</v>
      </c>
      <c r="AH25" s="7">
        <f t="shared" si="37"/>
        <v>32.353333333333332</v>
      </c>
      <c r="AI25" s="7">
        <f t="shared" si="38"/>
        <v>28.128374479162492</v>
      </c>
      <c r="AJ25" s="4">
        <f t="shared" si="39"/>
        <v>1.9685240594584614</v>
      </c>
      <c r="AK25" s="4">
        <f t="shared" si="40"/>
        <v>0.28278411096806577</v>
      </c>
      <c r="AL25" s="4">
        <f t="shared" si="41"/>
        <v>72.165263698458574</v>
      </c>
      <c r="AM25" s="4" t="e">
        <f t="shared" si="42"/>
        <v>#DIV/0!</v>
      </c>
      <c r="AN25" s="4" t="e">
        <f t="shared" si="43"/>
        <v>#DIV/0!</v>
      </c>
      <c r="AO25" s="4" t="e">
        <f t="shared" si="44"/>
        <v>#DIV/0!</v>
      </c>
      <c r="AP25" s="4" t="e">
        <f t="shared" si="45"/>
        <v>#DIV/0!</v>
      </c>
      <c r="AQ25" s="4">
        <f t="shared" si="46"/>
        <v>1.9423277305193931</v>
      </c>
      <c r="AR25" s="8">
        <f t="shared" si="22"/>
        <v>0.69575865137620352</v>
      </c>
      <c r="AS25" s="8">
        <f t="shared" si="47"/>
        <v>0.15020273771243661</v>
      </c>
      <c r="AT25" s="8">
        <f t="shared" si="48"/>
        <v>8.038160061294046E-2</v>
      </c>
      <c r="AW25" s="5">
        <v>-0.1409</v>
      </c>
      <c r="AX25" s="4">
        <v>0.78369999999999995</v>
      </c>
      <c r="AY25" s="12">
        <v>0</v>
      </c>
      <c r="AZ25" s="12">
        <v>1</v>
      </c>
      <c r="BA25" s="12">
        <v>0</v>
      </c>
      <c r="BB25" s="12">
        <v>6</v>
      </c>
      <c r="BC25" s="12">
        <v>0</v>
      </c>
      <c r="BD25" s="12">
        <v>19</v>
      </c>
    </row>
    <row r="26" spans="1:56">
      <c r="A26" s="10" t="s">
        <v>216</v>
      </c>
      <c r="B26" t="s">
        <v>215</v>
      </c>
      <c r="C26" s="34" t="s">
        <v>236</v>
      </c>
      <c r="D26" s="34"/>
      <c r="E26" s="57" t="s">
        <v>25</v>
      </c>
      <c r="F26" s="57">
        <v>2</v>
      </c>
      <c r="G26" s="57">
        <v>9</v>
      </c>
      <c r="H26">
        <v>0</v>
      </c>
      <c r="I26">
        <v>80.8</v>
      </c>
      <c r="J26">
        <v>163</v>
      </c>
      <c r="K26">
        <v>124</v>
      </c>
      <c r="L26">
        <v>18.7</v>
      </c>
      <c r="M26">
        <v>27.1</v>
      </c>
      <c r="N26">
        <v>35.700000000000003</v>
      </c>
      <c r="O26">
        <v>37.9</v>
      </c>
      <c r="P26">
        <v>52.9</v>
      </c>
      <c r="Q26">
        <v>32.700000000000003</v>
      </c>
      <c r="R26">
        <v>-15.7</v>
      </c>
      <c r="S26">
        <v>-23.7</v>
      </c>
      <c r="T26">
        <v>-6</v>
      </c>
      <c r="U26">
        <v>-0.9</v>
      </c>
      <c r="V26">
        <f t="shared" si="25"/>
        <v>3324.4</v>
      </c>
      <c r="W26">
        <f t="shared" si="26"/>
        <v>743.97</v>
      </c>
      <c r="X26">
        <f t="shared" si="27"/>
        <v>1629.4</v>
      </c>
      <c r="Y26">
        <f t="shared" si="28"/>
        <v>1339.39</v>
      </c>
      <c r="Z26">
        <f t="shared" si="29"/>
        <v>-740.34</v>
      </c>
      <c r="AA26">
        <f t="shared" si="30"/>
        <v>195633.50900000002</v>
      </c>
      <c r="AB26">
        <f t="shared" si="31"/>
        <v>1043596.4119999998</v>
      </c>
      <c r="AC26">
        <f t="shared" si="32"/>
        <v>22867011.248799995</v>
      </c>
      <c r="AD26" s="7">
        <f t="shared" si="33"/>
        <v>55.62441222628113</v>
      </c>
      <c r="AE26" s="7">
        <f t="shared" si="34"/>
        <v>68.311111111111103</v>
      </c>
      <c r="AF26" s="7">
        <f t="shared" si="35"/>
        <v>61.967761668696113</v>
      </c>
      <c r="AG26" s="7">
        <f t="shared" si="36"/>
        <v>25.950554092849817</v>
      </c>
      <c r="AH26" s="7">
        <f t="shared" si="37"/>
        <v>32.586666666666666</v>
      </c>
      <c r="AI26" s="7">
        <f t="shared" si="38"/>
        <v>29.268610379758243</v>
      </c>
      <c r="AJ26" s="4">
        <f t="shared" si="39"/>
        <v>2.1172088754699518</v>
      </c>
      <c r="AK26" s="4">
        <f t="shared" si="40"/>
        <v>0.2959635226017292</v>
      </c>
      <c r="AL26" s="4">
        <f t="shared" si="41"/>
        <v>75.862102818818045</v>
      </c>
      <c r="AM26" s="4" t="e">
        <f t="shared" si="42"/>
        <v>#DIV/0!</v>
      </c>
      <c r="AN26" s="4" t="e">
        <f t="shared" si="43"/>
        <v>#DIV/0!</v>
      </c>
      <c r="AO26" s="4" t="e">
        <f t="shared" si="44"/>
        <v>#DIV/0!</v>
      </c>
      <c r="AP26" s="4" t="e">
        <f t="shared" si="45"/>
        <v>#DIV/0!</v>
      </c>
      <c r="AQ26" s="4">
        <f t="shared" si="46"/>
        <v>1.5066850016561224</v>
      </c>
      <c r="AR26" s="8">
        <f t="shared" si="22"/>
        <v>0.5490624628227031</v>
      </c>
      <c r="AS26" s="8">
        <f t="shared" si="47"/>
        <v>0.11336569259205914</v>
      </c>
      <c r="AT26" s="8">
        <f t="shared" si="48"/>
        <v>0.10236531498957495</v>
      </c>
      <c r="AW26" s="5">
        <v>-0.1691</v>
      </c>
      <c r="AX26" s="4">
        <v>0.76780000000000004</v>
      </c>
      <c r="AY26" s="12">
        <v>0</v>
      </c>
      <c r="AZ26" s="12">
        <v>1</v>
      </c>
      <c r="BA26" s="12">
        <v>0</v>
      </c>
      <c r="BB26" s="12">
        <v>26</v>
      </c>
      <c r="BC26" s="12">
        <v>0</v>
      </c>
      <c r="BD26" s="12">
        <v>31</v>
      </c>
    </row>
    <row r="27" spans="1:56">
      <c r="A27" s="10" t="s">
        <v>218</v>
      </c>
      <c r="B27" t="s">
        <v>217</v>
      </c>
      <c r="C27" s="34" t="s">
        <v>236</v>
      </c>
      <c r="D27" s="34"/>
      <c r="E27" s="57" t="s">
        <v>25</v>
      </c>
      <c r="F27" s="57">
        <v>2</v>
      </c>
      <c r="G27" s="57">
        <v>9</v>
      </c>
      <c r="H27">
        <v>0</v>
      </c>
      <c r="I27">
        <v>74</v>
      </c>
      <c r="J27">
        <v>131</v>
      </c>
      <c r="K27">
        <v>128</v>
      </c>
      <c r="L27">
        <v>17.3</v>
      </c>
      <c r="M27">
        <v>29.6</v>
      </c>
      <c r="N27">
        <v>32</v>
      </c>
      <c r="O27">
        <v>36.4</v>
      </c>
      <c r="P27">
        <v>39.4</v>
      </c>
      <c r="Q27">
        <v>31</v>
      </c>
      <c r="R27">
        <v>-6.6</v>
      </c>
      <c r="S27">
        <v>-12.8</v>
      </c>
      <c r="T27">
        <v>-20</v>
      </c>
      <c r="U27">
        <v>-2.5</v>
      </c>
      <c r="V27">
        <f t="shared" si="25"/>
        <v>3388.8</v>
      </c>
      <c r="W27">
        <f t="shared" si="26"/>
        <v>661.6</v>
      </c>
      <c r="X27">
        <f t="shared" si="27"/>
        <v>56.799999999999955</v>
      </c>
      <c r="Y27">
        <f t="shared" si="28"/>
        <v>1034.24</v>
      </c>
      <c r="Z27">
        <f t="shared" si="29"/>
        <v>-299.72000000000003</v>
      </c>
      <c r="AA27">
        <f t="shared" si="30"/>
        <v>223007.68799999999</v>
      </c>
      <c r="AB27">
        <f t="shared" si="31"/>
        <v>885681.88000000012</v>
      </c>
      <c r="AC27">
        <f t="shared" si="32"/>
        <v>22968261.678400006</v>
      </c>
      <c r="AD27" s="7">
        <f t="shared" si="33"/>
        <v>53.015531154080691</v>
      </c>
      <c r="AE27" s="7">
        <f t="shared" si="34"/>
        <v>60.733333333333334</v>
      </c>
      <c r="AF27" s="7">
        <f t="shared" si="35"/>
        <v>56.874432243707012</v>
      </c>
      <c r="AG27" s="7">
        <f t="shared" si="36"/>
        <v>26.232814913821464</v>
      </c>
      <c r="AH27" s="7">
        <f t="shared" si="37"/>
        <v>30.860000000000003</v>
      </c>
      <c r="AI27" s="7">
        <f t="shared" si="38"/>
        <v>28.546407456910735</v>
      </c>
      <c r="AJ27" s="4">
        <f t="shared" si="39"/>
        <v>1.9923499070611916</v>
      </c>
      <c r="AK27" s="4">
        <f t="shared" si="40"/>
        <v>0.28500941516215217</v>
      </c>
      <c r="AL27" s="4">
        <f t="shared" si="41"/>
        <v>73.364804702370733</v>
      </c>
      <c r="AM27" s="4" t="e">
        <f t="shared" si="42"/>
        <v>#DIV/0!</v>
      </c>
      <c r="AN27" s="4" t="e">
        <f t="shared" si="43"/>
        <v>#DIV/0!</v>
      </c>
      <c r="AO27" s="4" t="e">
        <f t="shared" si="44"/>
        <v>#DIV/0!</v>
      </c>
      <c r="AP27" s="4" t="e">
        <f t="shared" si="45"/>
        <v>#DIV/0!</v>
      </c>
      <c r="AQ27" s="4">
        <f t="shared" si="46"/>
        <v>1.0275222206530099</v>
      </c>
      <c r="AR27" s="8">
        <f t="shared" si="22"/>
        <v>0.38784084333421109</v>
      </c>
      <c r="AS27" s="8">
        <f t="shared" si="47"/>
        <v>8.1046714777735618E-2</v>
      </c>
      <c r="AT27" s="8">
        <f t="shared" si="48"/>
        <v>6.7849487676482217E-2</v>
      </c>
      <c r="AW27" s="4">
        <v>7.7549999999999997E-3</v>
      </c>
      <c r="AX27" s="4">
        <v>0.66449999999999998</v>
      </c>
      <c r="AY27" s="7">
        <v>7</v>
      </c>
      <c r="AZ27" s="7">
        <v>0</v>
      </c>
      <c r="BA27" s="7">
        <v>19</v>
      </c>
      <c r="BB27" s="7">
        <v>0</v>
      </c>
      <c r="BC27" s="7">
        <v>1</v>
      </c>
      <c r="BD27" s="7">
        <v>0</v>
      </c>
    </row>
    <row r="28" spans="1:56">
      <c r="A28" s="10" t="s">
        <v>231</v>
      </c>
      <c r="B28" t="s">
        <v>36</v>
      </c>
      <c r="C28" s="34" t="s">
        <v>236</v>
      </c>
      <c r="D28" s="34"/>
      <c r="E28" s="57" t="s">
        <v>25</v>
      </c>
      <c r="F28" s="57">
        <v>2</v>
      </c>
      <c r="G28" s="57">
        <v>9</v>
      </c>
      <c r="H28">
        <v>2.56</v>
      </c>
      <c r="I28">
        <v>62.5</v>
      </c>
      <c r="J28">
        <v>172</v>
      </c>
      <c r="K28">
        <v>124</v>
      </c>
      <c r="L28">
        <v>14.8</v>
      </c>
      <c r="M28">
        <v>22.2</v>
      </c>
      <c r="N28">
        <v>37.5</v>
      </c>
      <c r="O28">
        <v>41.9</v>
      </c>
      <c r="P28">
        <v>34.299999999999997</v>
      </c>
      <c r="Q28">
        <v>18.7</v>
      </c>
      <c r="R28">
        <v>-15.7</v>
      </c>
      <c r="S28">
        <v>-15.2</v>
      </c>
      <c r="T28">
        <v>-11</v>
      </c>
      <c r="U28">
        <v>-2.9</v>
      </c>
      <c r="V28">
        <f t="shared" si="25"/>
        <v>2631.7999999999997</v>
      </c>
      <c r="W28">
        <f t="shared" si="26"/>
        <v>247.94</v>
      </c>
      <c r="X28">
        <f t="shared" si="27"/>
        <v>1569.5</v>
      </c>
      <c r="Y28">
        <f t="shared" si="28"/>
        <v>588.76</v>
      </c>
      <c r="Z28">
        <f t="shared" si="29"/>
        <v>-227.76999999999992</v>
      </c>
      <c r="AA28">
        <f t="shared" si="30"/>
        <v>137314.88999999998</v>
      </c>
      <c r="AB28">
        <f t="shared" si="31"/>
        <v>944842.61300000013</v>
      </c>
      <c r="AC28">
        <f t="shared" si="32"/>
        <v>17048452.169500005</v>
      </c>
      <c r="AD28" s="7">
        <f t="shared" si="33"/>
        <v>43.652505106219309</v>
      </c>
      <c r="AE28" s="7">
        <f t="shared" si="34"/>
        <v>60.922222222222217</v>
      </c>
      <c r="AF28" s="7">
        <f t="shared" si="35"/>
        <v>52.287363664220763</v>
      </c>
      <c r="AG28" s="7">
        <f t="shared" si="36"/>
        <v>22.879265351802715</v>
      </c>
      <c r="AH28" s="7">
        <f t="shared" si="37"/>
        <v>32.473333333333336</v>
      </c>
      <c r="AI28" s="7">
        <f t="shared" si="38"/>
        <v>27.676299342568026</v>
      </c>
      <c r="AJ28" s="4">
        <f t="shared" si="39"/>
        <v>1.8892469335233433</v>
      </c>
      <c r="AK28" s="4">
        <f t="shared" si="40"/>
        <v>0.27503624617925099</v>
      </c>
      <c r="AL28" s="4">
        <f t="shared" si="41"/>
        <v>70.576569643762411</v>
      </c>
      <c r="AM28" s="4">
        <f t="shared" si="42"/>
        <v>5.9024986804112949</v>
      </c>
      <c r="AN28" s="4">
        <f t="shared" si="43"/>
        <v>4.5193751151388435</v>
      </c>
      <c r="AO28" s="4">
        <f t="shared" si="44"/>
        <v>3.2880167929453519</v>
      </c>
      <c r="AP28" s="4">
        <f t="shared" si="45"/>
        <v>1.306043098887568</v>
      </c>
      <c r="AQ28" s="4">
        <f t="shared" si="46"/>
        <v>2.4922910947846244</v>
      </c>
      <c r="AR28" s="8">
        <f t="shared" si="22"/>
        <v>0.85104206342337307</v>
      </c>
      <c r="AS28" s="8">
        <f t="shared" si="47"/>
        <v>0.1733264238614137</v>
      </c>
      <c r="AT28" s="8">
        <f t="shared" si="48"/>
        <v>0.16514235855249521</v>
      </c>
      <c r="AW28" s="5">
        <v>-7.1230000000000002E-2</v>
      </c>
      <c r="AX28" s="4">
        <v>0.82369999999999999</v>
      </c>
      <c r="AY28" s="12">
        <v>0</v>
      </c>
      <c r="AZ28" s="12">
        <v>1</v>
      </c>
      <c r="BA28" s="12">
        <v>0</v>
      </c>
      <c r="BB28" s="12">
        <v>8</v>
      </c>
      <c r="BC28" s="12">
        <v>0</v>
      </c>
      <c r="BD28" s="12">
        <v>39</v>
      </c>
    </row>
    <row r="29" spans="1:56">
      <c r="A29" s="10" t="s">
        <v>231</v>
      </c>
      <c r="B29" t="s">
        <v>38</v>
      </c>
      <c r="C29" s="34" t="s">
        <v>236</v>
      </c>
      <c r="D29" s="34"/>
      <c r="E29" s="57" t="s">
        <v>25</v>
      </c>
      <c r="F29" s="57">
        <v>2</v>
      </c>
      <c r="G29" s="57">
        <v>9</v>
      </c>
      <c r="H29">
        <v>2.54</v>
      </c>
      <c r="I29">
        <v>57</v>
      </c>
      <c r="J29">
        <v>148</v>
      </c>
      <c r="K29">
        <v>102</v>
      </c>
      <c r="L29">
        <v>14</v>
      </c>
      <c r="M29">
        <v>20.9</v>
      </c>
      <c r="N29">
        <v>31.7</v>
      </c>
      <c r="O29">
        <v>33.700000000000003</v>
      </c>
      <c r="P29">
        <v>33.6</v>
      </c>
      <c r="Q29">
        <v>17.7</v>
      </c>
      <c r="R29">
        <v>-12.6</v>
      </c>
      <c r="S29">
        <v>-11.2</v>
      </c>
      <c r="T29">
        <v>-11.4</v>
      </c>
      <c r="U29">
        <v>-2.2000000000000002</v>
      </c>
      <c r="V29">
        <f t="shared" si="25"/>
        <v>2001.8399999999997</v>
      </c>
      <c r="W29">
        <f t="shared" si="26"/>
        <v>242.24999999999994</v>
      </c>
      <c r="X29">
        <f t="shared" si="27"/>
        <v>902.16000000000008</v>
      </c>
      <c r="Y29">
        <f t="shared" si="28"/>
        <v>558.6</v>
      </c>
      <c r="Z29">
        <f t="shared" si="29"/>
        <v>-153.30000000000001</v>
      </c>
      <c r="AA29">
        <f t="shared" si="30"/>
        <v>120906.46299999997</v>
      </c>
      <c r="AB29">
        <f t="shared" si="31"/>
        <v>599772.13799999992</v>
      </c>
      <c r="AC29">
        <f t="shared" si="32"/>
        <v>10679922.748199999</v>
      </c>
      <c r="AD29" s="7">
        <f t="shared" si="33"/>
        <v>40.684734939701208</v>
      </c>
      <c r="AE29" s="7">
        <f t="shared" si="34"/>
        <v>53</v>
      </c>
      <c r="AF29" s="7">
        <f t="shared" si="35"/>
        <v>46.842367469850601</v>
      </c>
      <c r="AG29" s="7">
        <f t="shared" si="36"/>
        <v>21.103461928094745</v>
      </c>
      <c r="AH29" s="7">
        <f t="shared" si="37"/>
        <v>28.119999999999997</v>
      </c>
      <c r="AI29" s="7">
        <f t="shared" si="38"/>
        <v>24.611730964047371</v>
      </c>
      <c r="AJ29" s="4">
        <f t="shared" si="39"/>
        <v>1.9032536776172946</v>
      </c>
      <c r="AK29" s="4">
        <f t="shared" si="40"/>
        <v>0.27644509355015767</v>
      </c>
      <c r="AL29" s="4">
        <f t="shared" si="41"/>
        <v>62.831046465669523</v>
      </c>
      <c r="AM29" s="4">
        <f t="shared" si="42"/>
        <v>5.6001268530080921</v>
      </c>
      <c r="AN29" s="4">
        <f t="shared" si="43"/>
        <v>4.294400651619978</v>
      </c>
      <c r="AO29" s="4">
        <f t="shared" si="44"/>
        <v>3.1128215271456168</v>
      </c>
      <c r="AP29" s="4">
        <f t="shared" si="45"/>
        <v>1.3040531863033213</v>
      </c>
      <c r="AQ29" s="4">
        <f t="shared" si="46"/>
        <v>1.9651138872288803</v>
      </c>
      <c r="AR29" s="8">
        <f t="shared" si="22"/>
        <v>0.6941895684667152</v>
      </c>
      <c r="AS29" s="8">
        <f t="shared" si="47"/>
        <v>0.14254458741961215</v>
      </c>
      <c r="AT29" s="8">
        <f t="shared" si="48"/>
        <v>0.13145434064818917</v>
      </c>
      <c r="AW29" s="5">
        <v>-5.5370000000000003E-2</v>
      </c>
      <c r="AX29" s="4">
        <v>0.74419999999999997</v>
      </c>
      <c r="AY29" s="12">
        <v>0</v>
      </c>
      <c r="AZ29" s="12">
        <v>1</v>
      </c>
      <c r="BA29" s="12">
        <v>0</v>
      </c>
      <c r="BB29" s="12">
        <v>7</v>
      </c>
      <c r="BC29" s="12">
        <v>0</v>
      </c>
      <c r="BD29" s="12">
        <v>39</v>
      </c>
    </row>
    <row r="30" spans="1:56">
      <c r="A30" s="10" t="s">
        <v>231</v>
      </c>
      <c r="B30" t="s">
        <v>45</v>
      </c>
      <c r="C30" s="34" t="s">
        <v>236</v>
      </c>
      <c r="D30" s="34"/>
      <c r="E30" s="57" t="s">
        <v>25</v>
      </c>
      <c r="F30" s="57">
        <v>2</v>
      </c>
      <c r="G30" s="57">
        <v>9</v>
      </c>
      <c r="H30">
        <v>2.54</v>
      </c>
      <c r="I30">
        <v>58.4</v>
      </c>
      <c r="J30">
        <v>146</v>
      </c>
      <c r="K30">
        <v>98.5</v>
      </c>
      <c r="L30">
        <v>12.7</v>
      </c>
      <c r="M30">
        <v>18.8</v>
      </c>
      <c r="N30">
        <v>34.1</v>
      </c>
      <c r="O30">
        <v>35.5</v>
      </c>
      <c r="P30">
        <v>33.9</v>
      </c>
      <c r="Q30">
        <v>19.100000000000001</v>
      </c>
      <c r="R30">
        <v>-10.199999999999999</v>
      </c>
      <c r="S30">
        <v>-8.4</v>
      </c>
      <c r="T30">
        <v>-13.2</v>
      </c>
      <c r="U30">
        <v>-2.7</v>
      </c>
      <c r="V30">
        <f t="shared" si="25"/>
        <v>1677.5600000000002</v>
      </c>
      <c r="W30">
        <f t="shared" si="26"/>
        <v>248.20000000000005</v>
      </c>
      <c r="X30">
        <f t="shared" si="27"/>
        <v>557.22</v>
      </c>
      <c r="Y30">
        <f t="shared" si="28"/>
        <v>502.68000000000006</v>
      </c>
      <c r="Z30">
        <f t="shared" si="29"/>
        <v>-89.94</v>
      </c>
      <c r="AA30">
        <f t="shared" si="30"/>
        <v>118544.00400000002</v>
      </c>
      <c r="AB30">
        <f t="shared" si="31"/>
        <v>572598.00099999993</v>
      </c>
      <c r="AC30">
        <f t="shared" si="32"/>
        <v>9334664.1727999989</v>
      </c>
      <c r="AD30" s="7">
        <f t="shared" si="33"/>
        <v>42.306173074775515</v>
      </c>
      <c r="AE30" s="7">
        <f t="shared" si="34"/>
        <v>53.322222222222223</v>
      </c>
      <c r="AF30" s="7">
        <f t="shared" si="35"/>
        <v>47.814197648498869</v>
      </c>
      <c r="AG30" s="7">
        <f t="shared" si="36"/>
        <v>20.122376967781097</v>
      </c>
      <c r="AH30" s="7">
        <f t="shared" si="37"/>
        <v>27.41333333333333</v>
      </c>
      <c r="AI30" s="7">
        <f t="shared" si="38"/>
        <v>23.767855150557214</v>
      </c>
      <c r="AJ30" s="4">
        <f t="shared" si="39"/>
        <v>2.0117169742755654</v>
      </c>
      <c r="AK30" s="4">
        <f t="shared" si="40"/>
        <v>0.28678495792705672</v>
      </c>
      <c r="AL30" s="4">
        <f t="shared" si="41"/>
        <v>61.168236979852281</v>
      </c>
      <c r="AM30" s="4">
        <f t="shared" si="42"/>
        <v>5.5947342784696339</v>
      </c>
      <c r="AN30" s="4">
        <f t="shared" si="43"/>
        <v>4.3387195418911935</v>
      </c>
      <c r="AO30" s="4">
        <f t="shared" si="44"/>
        <v>3.0589905667754111</v>
      </c>
      <c r="AP30" s="4">
        <f t="shared" si="45"/>
        <v>1.2894897271997809</v>
      </c>
      <c r="AQ30" s="4">
        <f t="shared" si="46"/>
        <v>2.0720425499286801</v>
      </c>
      <c r="AR30" s="8">
        <f t="shared" si="22"/>
        <v>0.72908800819538144</v>
      </c>
      <c r="AS30" s="8">
        <f t="shared" si="47"/>
        <v>0.15337850890136598</v>
      </c>
      <c r="AT30" s="8">
        <f t="shared" si="48"/>
        <v>0.11519642375294106</v>
      </c>
      <c r="AW30" s="5">
        <v>-4.0280000000000003E-2</v>
      </c>
      <c r="AX30" s="4">
        <v>0.72629999999999995</v>
      </c>
      <c r="AY30" s="12">
        <v>0</v>
      </c>
      <c r="AZ30" s="12">
        <v>1</v>
      </c>
      <c r="BA30" s="12">
        <v>0</v>
      </c>
      <c r="BB30" s="12">
        <v>1</v>
      </c>
      <c r="BC30" s="12">
        <v>0</v>
      </c>
      <c r="BD30" s="12">
        <v>10</v>
      </c>
    </row>
    <row r="31" spans="1:56">
      <c r="A31" s="10" t="s">
        <v>231</v>
      </c>
      <c r="B31" t="s">
        <v>46</v>
      </c>
      <c r="C31" t="s">
        <v>236</v>
      </c>
      <c r="E31" s="57" t="s">
        <v>25</v>
      </c>
      <c r="F31" s="57">
        <v>2</v>
      </c>
      <c r="G31" s="57">
        <v>9</v>
      </c>
      <c r="H31">
        <v>2.58</v>
      </c>
      <c r="I31">
        <v>63</v>
      </c>
      <c r="J31">
        <v>152</v>
      </c>
      <c r="K31">
        <v>118</v>
      </c>
      <c r="L31">
        <v>9.9</v>
      </c>
      <c r="M31">
        <v>26.9</v>
      </c>
      <c r="N31">
        <v>35.4</v>
      </c>
      <c r="O31">
        <v>38.4</v>
      </c>
      <c r="P31">
        <v>48.5</v>
      </c>
      <c r="Q31">
        <v>35.700000000000003</v>
      </c>
      <c r="R31">
        <v>-12.5</v>
      </c>
      <c r="S31">
        <v>-2.2000000000000002</v>
      </c>
      <c r="T31">
        <v>-21.3</v>
      </c>
      <c r="U31">
        <v>-1.9</v>
      </c>
      <c r="V31">
        <f t="shared" si="25"/>
        <v>2720.5099999999998</v>
      </c>
      <c r="W31">
        <f t="shared" si="26"/>
        <v>913.47</v>
      </c>
      <c r="X31">
        <f t="shared" si="27"/>
        <v>441.95000000000005</v>
      </c>
      <c r="Y31">
        <f t="shared" si="28"/>
        <v>1038.3999999999999</v>
      </c>
      <c r="Z31">
        <f t="shared" si="29"/>
        <v>339.55000000000007</v>
      </c>
      <c r="AA31">
        <f t="shared" si="30"/>
        <v>197087.598</v>
      </c>
      <c r="AB31">
        <f t="shared" si="31"/>
        <v>651110.40999999992</v>
      </c>
      <c r="AC31">
        <f t="shared" si="32"/>
        <v>14597195.281899996</v>
      </c>
      <c r="AD31" s="7">
        <f t="shared" si="33"/>
        <v>50.900628426575601</v>
      </c>
      <c r="AE31" s="7">
        <f t="shared" si="34"/>
        <v>64.244444444444454</v>
      </c>
      <c r="AF31" s="7">
        <f t="shared" si="35"/>
        <v>57.572536435510031</v>
      </c>
      <c r="AG31" s="7">
        <f t="shared" si="36"/>
        <v>19.445419568939734</v>
      </c>
      <c r="AH31" s="7">
        <f t="shared" si="37"/>
        <v>28.466666666666658</v>
      </c>
      <c r="AI31" s="7">
        <f t="shared" si="38"/>
        <v>23.956043117803198</v>
      </c>
      <c r="AJ31" s="4">
        <f t="shared" si="39"/>
        <v>2.4032573389686531</v>
      </c>
      <c r="AK31" s="4">
        <f t="shared" si="40"/>
        <v>0.31729090687157602</v>
      </c>
      <c r="AL31" s="4">
        <f t="shared" si="41"/>
        <v>63.1141555274111</v>
      </c>
      <c r="AM31" s="4">
        <f t="shared" si="42"/>
        <v>5.8902733929011504</v>
      </c>
      <c r="AN31" s="4">
        <f t="shared" si="43"/>
        <v>4.7238688172842886</v>
      </c>
      <c r="AO31" s="4">
        <f t="shared" si="44"/>
        <v>3.0471770592068124</v>
      </c>
      <c r="AP31" s="4">
        <f t="shared" si="45"/>
        <v>1.2469172241509063</v>
      </c>
      <c r="AQ31" s="4">
        <f t="shared" si="46"/>
        <v>2.5817871748088344</v>
      </c>
      <c r="AR31" s="8">
        <f t="shared" si="22"/>
        <v>0.88344556046094858</v>
      </c>
      <c r="AS31" s="8">
        <f t="shared" si="47"/>
        <v>0.18828750335281133</v>
      </c>
      <c r="AT31" s="8">
        <f t="shared" si="48"/>
        <v>0.11588699095111044</v>
      </c>
      <c r="AW31" s="5">
        <v>-0.12540000000000001</v>
      </c>
      <c r="AX31" s="4">
        <v>0.87490000000000001</v>
      </c>
      <c r="AY31" s="12">
        <v>29</v>
      </c>
      <c r="AZ31" s="12">
        <v>21</v>
      </c>
      <c r="BA31" s="12">
        <v>-19</v>
      </c>
      <c r="BB31" s="12">
        <v>7</v>
      </c>
      <c r="BC31" s="12">
        <v>-6</v>
      </c>
      <c r="BD31" s="12">
        <v>4</v>
      </c>
    </row>
    <row r="32" spans="1:56">
      <c r="A32" s="10" t="s">
        <v>231</v>
      </c>
      <c r="B32" t="s">
        <v>47</v>
      </c>
      <c r="C32" t="s">
        <v>236</v>
      </c>
      <c r="E32" s="57" t="s">
        <v>25</v>
      </c>
      <c r="F32" s="57">
        <v>2</v>
      </c>
      <c r="G32" s="57">
        <v>9</v>
      </c>
      <c r="H32">
        <v>2.57</v>
      </c>
      <c r="I32">
        <v>59.7</v>
      </c>
      <c r="J32">
        <v>158</v>
      </c>
      <c r="K32">
        <v>105</v>
      </c>
      <c r="L32">
        <v>14</v>
      </c>
      <c r="M32">
        <v>20</v>
      </c>
      <c r="N32">
        <v>37.1</v>
      </c>
      <c r="O32">
        <v>36.9</v>
      </c>
      <c r="P32">
        <v>35.5</v>
      </c>
      <c r="Q32">
        <v>26.7</v>
      </c>
      <c r="R32">
        <v>-12</v>
      </c>
      <c r="S32">
        <v>-6.6</v>
      </c>
      <c r="T32">
        <v>-12.5</v>
      </c>
      <c r="U32">
        <v>-2.6</v>
      </c>
      <c r="V32">
        <f t="shared" si="25"/>
        <v>1943.75</v>
      </c>
      <c r="W32">
        <f t="shared" si="26"/>
        <v>451.5</v>
      </c>
      <c r="X32">
        <f t="shared" si="27"/>
        <v>816.25</v>
      </c>
      <c r="Y32">
        <f t="shared" si="28"/>
        <v>560</v>
      </c>
      <c r="Z32">
        <f t="shared" si="29"/>
        <v>86.1</v>
      </c>
      <c r="AA32">
        <f t="shared" si="30"/>
        <v>139541.17800000004</v>
      </c>
      <c r="AB32">
        <f t="shared" si="31"/>
        <v>675726.24699999986</v>
      </c>
      <c r="AC32">
        <f t="shared" si="32"/>
        <v>11646548.502499998</v>
      </c>
      <c r="AD32" s="7">
        <f t="shared" si="33"/>
        <v>44.299501076308111</v>
      </c>
      <c r="AE32" s="7">
        <f t="shared" si="34"/>
        <v>57.877777777777773</v>
      </c>
      <c r="AF32" s="7">
        <f t="shared" si="35"/>
        <v>51.088639427042942</v>
      </c>
      <c r="AG32" s="7">
        <f t="shared" si="36"/>
        <v>21.541223378980245</v>
      </c>
      <c r="AH32" s="7">
        <f t="shared" si="37"/>
        <v>29.126666666666665</v>
      </c>
      <c r="AI32" s="7">
        <f t="shared" si="38"/>
        <v>25.333945022823457</v>
      </c>
      <c r="AJ32" s="4">
        <f t="shared" si="39"/>
        <v>2.0166081271991776</v>
      </c>
      <c r="AK32" s="4">
        <f t="shared" si="40"/>
        <v>0.28722874233356566</v>
      </c>
      <c r="AL32" s="4">
        <f t="shared" si="41"/>
        <v>65.221164380153468</v>
      </c>
      <c r="AM32" s="4">
        <f t="shared" si="42"/>
        <v>5.7465006367708344</v>
      </c>
      <c r="AN32" s="4">
        <f t="shared" si="43"/>
        <v>4.4585701773199391</v>
      </c>
      <c r="AO32" s="4">
        <f t="shared" si="44"/>
        <v>3.1396761229051391</v>
      </c>
      <c r="AP32" s="4">
        <f t="shared" si="45"/>
        <v>1.2888662526839658</v>
      </c>
      <c r="AQ32" s="4">
        <f t="shared" si="46"/>
        <v>2.067191535181502</v>
      </c>
      <c r="AR32" s="8">
        <f t="shared" si="22"/>
        <v>0.72563946544033742</v>
      </c>
      <c r="AS32" s="8">
        <f t="shared" si="47"/>
        <v>0.14970908164623911</v>
      </c>
      <c r="AT32" s="8">
        <f t="shared" si="48"/>
        <v>0.13288939433257074</v>
      </c>
      <c r="AW32" s="4">
        <v>4.0280000000000003E-3</v>
      </c>
      <c r="AX32" s="4">
        <v>0.74050000000000005</v>
      </c>
      <c r="AY32" s="7">
        <v>27</v>
      </c>
      <c r="AZ32" s="7">
        <v>-23</v>
      </c>
      <c r="BA32" s="7">
        <v>19</v>
      </c>
      <c r="BB32" s="7">
        <v>29</v>
      </c>
      <c r="BC32" s="7">
        <v>25</v>
      </c>
      <c r="BD32" s="7">
        <v>-10</v>
      </c>
    </row>
    <row r="33" spans="1:56">
      <c r="A33" s="10" t="s">
        <v>231</v>
      </c>
      <c r="B33" t="s">
        <v>48</v>
      </c>
      <c r="C33" t="s">
        <v>236</v>
      </c>
      <c r="E33" s="57" t="s">
        <v>25</v>
      </c>
      <c r="F33" s="57">
        <v>2</v>
      </c>
      <c r="G33" s="57">
        <v>9</v>
      </c>
      <c r="H33">
        <v>2.57</v>
      </c>
      <c r="I33">
        <v>61.9</v>
      </c>
      <c r="J33">
        <v>159</v>
      </c>
      <c r="K33">
        <v>100</v>
      </c>
      <c r="L33">
        <v>14.1</v>
      </c>
      <c r="M33">
        <v>19.5</v>
      </c>
      <c r="N33">
        <v>35.700000000000003</v>
      </c>
      <c r="O33">
        <v>43.7</v>
      </c>
      <c r="P33">
        <v>36.5</v>
      </c>
      <c r="Q33">
        <v>21</v>
      </c>
      <c r="R33">
        <v>-10.3</v>
      </c>
      <c r="S33">
        <v>-0.4</v>
      </c>
      <c r="T33">
        <v>-12</v>
      </c>
      <c r="U33">
        <v>-2</v>
      </c>
      <c r="V33">
        <f t="shared" si="25"/>
        <v>1806</v>
      </c>
      <c r="W33">
        <f t="shared" si="26"/>
        <v>404.7</v>
      </c>
      <c r="X33">
        <f t="shared" si="27"/>
        <v>592</v>
      </c>
      <c r="Y33">
        <f t="shared" si="28"/>
        <v>588.15</v>
      </c>
      <c r="Z33">
        <f t="shared" si="29"/>
        <v>201.70000000000002</v>
      </c>
      <c r="AA33">
        <f t="shared" si="30"/>
        <v>138248.66899999999</v>
      </c>
      <c r="AB33">
        <f t="shared" si="31"/>
        <v>621107.44999999995</v>
      </c>
      <c r="AC33">
        <f t="shared" si="32"/>
        <v>10563134.844999999</v>
      </c>
      <c r="AD33" s="7">
        <f t="shared" si="33"/>
        <v>47.560910800121441</v>
      </c>
      <c r="AE33" s="7">
        <f t="shared" si="34"/>
        <v>58.144444444444439</v>
      </c>
      <c r="AF33" s="7">
        <f t="shared" si="35"/>
        <v>52.85267762228294</v>
      </c>
      <c r="AG33" s="7">
        <f t="shared" si="36"/>
        <v>20.886336511345231</v>
      </c>
      <c r="AH33" s="7">
        <f t="shared" si="37"/>
        <v>28.506666666666664</v>
      </c>
      <c r="AI33" s="7">
        <f t="shared" si="38"/>
        <v>24.696501589005948</v>
      </c>
      <c r="AJ33" s="4">
        <f t="shared" si="39"/>
        <v>2.1400876327281582</v>
      </c>
      <c r="AK33" s="4">
        <f t="shared" si="40"/>
        <v>0.29785082811998387</v>
      </c>
      <c r="AL33" s="4">
        <f t="shared" si="41"/>
        <v>64.104750077915739</v>
      </c>
      <c r="AM33" s="4">
        <f t="shared" si="42"/>
        <v>5.7773658184878673</v>
      </c>
      <c r="AN33" s="4">
        <f t="shared" si="43"/>
        <v>4.5348918632096442</v>
      </c>
      <c r="AO33" s="4">
        <f t="shared" si="44"/>
        <v>3.099924788155386</v>
      </c>
      <c r="AP33" s="4">
        <f t="shared" si="45"/>
        <v>1.2739809443656374</v>
      </c>
      <c r="AQ33" s="4">
        <f t="shared" si="46"/>
        <v>2.0467639796964097</v>
      </c>
      <c r="AR33" s="8">
        <f t="shared" si="22"/>
        <v>0.72395205027770959</v>
      </c>
      <c r="AS33" s="8">
        <f t="shared" si="47"/>
        <v>0.15427954700097579</v>
      </c>
      <c r="AT33" s="8">
        <f t="shared" si="48"/>
        <v>0.10012296557573963</v>
      </c>
      <c r="AW33" s="5">
        <v>-7.3330000000000006E-2</v>
      </c>
      <c r="AX33" s="4">
        <v>0.82850000000000001</v>
      </c>
      <c r="AY33" s="12">
        <v>0</v>
      </c>
      <c r="AZ33" s="12">
        <v>1</v>
      </c>
      <c r="BA33" s="12">
        <v>0</v>
      </c>
      <c r="BB33" s="12">
        <v>8</v>
      </c>
      <c r="BC33" s="12">
        <v>0</v>
      </c>
      <c r="BD33" s="12">
        <v>-39</v>
      </c>
    </row>
    <row r="34" spans="1:56">
      <c r="A34" s="10" t="s">
        <v>232</v>
      </c>
      <c r="B34" t="s">
        <v>49</v>
      </c>
      <c r="C34" t="s">
        <v>236</v>
      </c>
      <c r="E34" s="57" t="s">
        <v>25</v>
      </c>
      <c r="F34" s="57">
        <v>2</v>
      </c>
      <c r="G34" s="57">
        <v>9</v>
      </c>
      <c r="H34">
        <v>0</v>
      </c>
      <c r="I34">
        <v>74.8</v>
      </c>
      <c r="J34">
        <v>137</v>
      </c>
      <c r="K34">
        <v>129</v>
      </c>
      <c r="L34">
        <v>17.399999999999999</v>
      </c>
      <c r="M34">
        <v>30.2</v>
      </c>
      <c r="N34">
        <v>31.8</v>
      </c>
      <c r="O34">
        <v>28.9</v>
      </c>
      <c r="P34">
        <v>38.1</v>
      </c>
      <c r="Q34">
        <v>21.5</v>
      </c>
      <c r="R34">
        <v>-9.1</v>
      </c>
      <c r="S34">
        <v>-30.7</v>
      </c>
      <c r="T34">
        <v>-19.2</v>
      </c>
      <c r="U34">
        <v>-2.1</v>
      </c>
      <c r="V34">
        <f t="shared" si="25"/>
        <v>3527.16</v>
      </c>
      <c r="W34">
        <f t="shared" si="26"/>
        <v>59.860000000000014</v>
      </c>
      <c r="X34">
        <f t="shared" si="27"/>
        <v>442.37999999999988</v>
      </c>
      <c r="Y34">
        <f t="shared" si="28"/>
        <v>975.90000000000009</v>
      </c>
      <c r="Z34">
        <f t="shared" si="29"/>
        <v>-974.0200000000001</v>
      </c>
      <c r="AA34">
        <f t="shared" si="30"/>
        <v>109650.292</v>
      </c>
      <c r="AB34">
        <f t="shared" si="31"/>
        <v>1028098.31</v>
      </c>
      <c r="AC34">
        <f t="shared" si="32"/>
        <v>22257432.689600002</v>
      </c>
      <c r="AD34" s="7">
        <f t="shared" si="33"/>
        <v>44.069127135132653</v>
      </c>
      <c r="AE34" s="7">
        <f t="shared" si="34"/>
        <v>57.533333333333331</v>
      </c>
      <c r="AF34" s="7">
        <f t="shared" si="35"/>
        <v>50.801230234232989</v>
      </c>
      <c r="AG34" s="7">
        <f t="shared" si="36"/>
        <v>25.792008961866777</v>
      </c>
      <c r="AH34" s="7">
        <f t="shared" si="37"/>
        <v>32.700000000000003</v>
      </c>
      <c r="AI34" s="7">
        <f t="shared" si="38"/>
        <v>29.24600448093339</v>
      </c>
      <c r="AJ34" s="4">
        <f t="shared" si="39"/>
        <v>1.7370314727043241</v>
      </c>
      <c r="AK34" s="4">
        <f t="shared" si="40"/>
        <v>0.25849666757187639</v>
      </c>
      <c r="AL34" s="4">
        <f t="shared" si="41"/>
        <v>73.611998358093686</v>
      </c>
      <c r="AM34" s="4" t="e">
        <f t="shared" si="42"/>
        <v>#DIV/0!</v>
      </c>
      <c r="AN34" s="4" t="e">
        <f t="shared" si="43"/>
        <v>#DIV/0!</v>
      </c>
      <c r="AO34" s="4" t="e">
        <f t="shared" si="44"/>
        <v>#DIV/0!</v>
      </c>
      <c r="AP34" s="4" t="e">
        <f t="shared" si="45"/>
        <v>#DIV/0!</v>
      </c>
      <c r="AQ34" s="4">
        <f t="shared" si="46"/>
        <v>1.6446974205850653</v>
      </c>
      <c r="AR34" s="8">
        <f t="shared" ref="AR34:AR60" si="49">SQRT((LN(AE34/AD34))^2+5*(LN(AH34/AG34))^2)</f>
        <v>0.59385122717058558</v>
      </c>
      <c r="AS34" s="8">
        <f t="shared" si="47"/>
        <v>0.11810144942425919</v>
      </c>
      <c r="AT34" s="8">
        <f t="shared" si="48"/>
        <v>0.13251850532083836</v>
      </c>
      <c r="AW34" s="5">
        <v>-0.4</v>
      </c>
      <c r="AX34" s="4">
        <v>0.7147</v>
      </c>
      <c r="AY34" s="12">
        <v>0</v>
      </c>
      <c r="AZ34" s="12">
        <v>1</v>
      </c>
      <c r="BA34" s="12">
        <v>0</v>
      </c>
      <c r="BB34" s="12">
        <v>23</v>
      </c>
      <c r="BC34" s="12">
        <v>0</v>
      </c>
      <c r="BD34" s="12">
        <v>33</v>
      </c>
    </row>
    <row r="35" spans="1:56">
      <c r="A35" s="10" t="s">
        <v>232</v>
      </c>
      <c r="B35" t="s">
        <v>51</v>
      </c>
      <c r="C35" t="s">
        <v>236</v>
      </c>
      <c r="E35" s="57" t="s">
        <v>25</v>
      </c>
      <c r="F35" s="57">
        <v>2</v>
      </c>
      <c r="G35" s="57">
        <v>9</v>
      </c>
      <c r="H35">
        <v>0</v>
      </c>
      <c r="I35">
        <v>82</v>
      </c>
      <c r="J35">
        <v>145</v>
      </c>
      <c r="K35">
        <v>133</v>
      </c>
      <c r="L35">
        <v>18.100000000000001</v>
      </c>
      <c r="M35">
        <v>31</v>
      </c>
      <c r="N35">
        <v>33.5</v>
      </c>
      <c r="O35">
        <v>39.799999999999997</v>
      </c>
      <c r="P35">
        <v>41</v>
      </c>
      <c r="Q35">
        <v>33.700000000000003</v>
      </c>
      <c r="R35">
        <v>-8.4</v>
      </c>
      <c r="S35">
        <v>-6.3</v>
      </c>
      <c r="T35">
        <v>-18.7</v>
      </c>
      <c r="U35">
        <v>-1</v>
      </c>
      <c r="V35">
        <f t="shared" si="25"/>
        <v>3773.31</v>
      </c>
      <c r="W35">
        <f t="shared" si="26"/>
        <v>926.8900000000001</v>
      </c>
      <c r="X35">
        <f t="shared" si="27"/>
        <v>350.50000000000011</v>
      </c>
      <c r="Y35">
        <f t="shared" si="28"/>
        <v>1113.92</v>
      </c>
      <c r="Z35">
        <f t="shared" si="29"/>
        <v>24.78000000000003</v>
      </c>
      <c r="AA35">
        <f t="shared" si="30"/>
        <v>308902.83900000009</v>
      </c>
      <c r="AB35">
        <f t="shared" si="31"/>
        <v>1143804.42</v>
      </c>
      <c r="AC35">
        <f t="shared" si="32"/>
        <v>32334243.182399996</v>
      </c>
      <c r="AD35" s="7">
        <f t="shared" si="33"/>
        <v>58.551291049336129</v>
      </c>
      <c r="AE35" s="7">
        <f t="shared" si="34"/>
        <v>65.444444444444443</v>
      </c>
      <c r="AF35" s="7">
        <f t="shared" si="35"/>
        <v>61.997867746890286</v>
      </c>
      <c r="AG35" s="7">
        <f t="shared" si="36"/>
        <v>28.348445649297428</v>
      </c>
      <c r="AH35" s="7">
        <f t="shared" si="37"/>
        <v>32.886666666666663</v>
      </c>
      <c r="AI35" s="7">
        <f t="shared" si="38"/>
        <v>30.617556157982044</v>
      </c>
      <c r="AJ35" s="4">
        <f t="shared" si="39"/>
        <v>2.0249123550877313</v>
      </c>
      <c r="AK35" s="4">
        <f t="shared" si="40"/>
        <v>0.28797798615513676</v>
      </c>
      <c r="AL35" s="4">
        <f t="shared" si="41"/>
        <v>78.869476642699041</v>
      </c>
      <c r="AM35" s="4" t="e">
        <f t="shared" si="42"/>
        <v>#DIV/0!</v>
      </c>
      <c r="AN35" s="4" t="e">
        <f t="shared" si="43"/>
        <v>#DIV/0!</v>
      </c>
      <c r="AO35" s="4" t="e">
        <f t="shared" si="44"/>
        <v>#DIV/0!</v>
      </c>
      <c r="AP35" s="4" t="e">
        <f t="shared" si="45"/>
        <v>#DIV/0!</v>
      </c>
      <c r="AQ35" s="4">
        <f t="shared" si="46"/>
        <v>0.91816406062867895</v>
      </c>
      <c r="AR35" s="8">
        <f t="shared" si="49"/>
        <v>0.35020184262593856</v>
      </c>
      <c r="AS35" s="8">
        <f t="shared" si="47"/>
        <v>7.4111418199948556E-2</v>
      </c>
      <c r="AT35" s="8">
        <f t="shared" si="48"/>
        <v>5.5591858604315175E-2</v>
      </c>
      <c r="AW35" s="4">
        <v>8.9550000000000005E-2</v>
      </c>
      <c r="AX35" s="4">
        <v>0.62780000000000002</v>
      </c>
      <c r="AY35" s="7">
        <v>3</v>
      </c>
      <c r="AZ35" s="7">
        <v>0</v>
      </c>
      <c r="BA35" s="7">
        <v>13</v>
      </c>
      <c r="BB35" s="7">
        <v>0</v>
      </c>
      <c r="BC35" s="7">
        <v>1</v>
      </c>
      <c r="BD35" s="7">
        <v>0</v>
      </c>
    </row>
    <row r="36" spans="1:56">
      <c r="A36" s="10" t="s">
        <v>232</v>
      </c>
      <c r="B36" t="s">
        <v>52</v>
      </c>
      <c r="C36" t="s">
        <v>236</v>
      </c>
      <c r="E36" s="57" t="s">
        <v>25</v>
      </c>
      <c r="F36" s="57">
        <v>2</v>
      </c>
      <c r="G36" s="57">
        <v>9</v>
      </c>
      <c r="H36">
        <v>0</v>
      </c>
      <c r="I36">
        <v>84.4</v>
      </c>
      <c r="J36">
        <v>151</v>
      </c>
      <c r="K36">
        <v>132</v>
      </c>
      <c r="L36">
        <v>18.899999999999999</v>
      </c>
      <c r="M36">
        <v>31.4</v>
      </c>
      <c r="N36">
        <v>34.200000000000003</v>
      </c>
      <c r="O36">
        <v>42.1</v>
      </c>
      <c r="P36">
        <v>40.9</v>
      </c>
      <c r="Q36">
        <v>32.200000000000003</v>
      </c>
      <c r="R36">
        <v>-8.5</v>
      </c>
      <c r="S36">
        <v>-6.5</v>
      </c>
      <c r="T36">
        <v>-18.8</v>
      </c>
      <c r="U36">
        <v>-1.1000000000000001</v>
      </c>
      <c r="V36">
        <f t="shared" si="25"/>
        <v>3791.36</v>
      </c>
      <c r="W36">
        <f t="shared" si="26"/>
        <v>888.88</v>
      </c>
      <c r="X36">
        <f t="shared" si="27"/>
        <v>353.08000000000004</v>
      </c>
      <c r="Y36">
        <f t="shared" si="28"/>
        <v>1124.46</v>
      </c>
      <c r="Z36">
        <f t="shared" si="29"/>
        <v>7.8500000000000796</v>
      </c>
      <c r="AA36">
        <f t="shared" si="30"/>
        <v>333054.72600000008</v>
      </c>
      <c r="AB36">
        <f t="shared" si="31"/>
        <v>1219088.79</v>
      </c>
      <c r="AC36">
        <f t="shared" si="32"/>
        <v>34888726.846899994</v>
      </c>
      <c r="AD36" s="7">
        <f t="shared" si="33"/>
        <v>59.575215241376284</v>
      </c>
      <c r="AE36" s="7">
        <f t="shared" si="34"/>
        <v>66.422222222222217</v>
      </c>
      <c r="AF36" s="7">
        <f t="shared" si="35"/>
        <v>62.998718731799251</v>
      </c>
      <c r="AG36" s="7">
        <f t="shared" si="36"/>
        <v>29.093311317358051</v>
      </c>
      <c r="AH36" s="7">
        <f t="shared" si="37"/>
        <v>33.713333333333331</v>
      </c>
      <c r="AI36" s="7">
        <f t="shared" si="38"/>
        <v>31.403322325345691</v>
      </c>
      <c r="AJ36" s="4">
        <f t="shared" si="39"/>
        <v>2.0061163618014022</v>
      </c>
      <c r="AK36" s="4">
        <f t="shared" si="40"/>
        <v>0.28627452385925162</v>
      </c>
      <c r="AL36" s="4">
        <f t="shared" si="41"/>
        <v>80.786586943265277</v>
      </c>
      <c r="AM36" s="4" t="e">
        <f t="shared" si="42"/>
        <v>#DIV/0!</v>
      </c>
      <c r="AN36" s="4" t="e">
        <f t="shared" si="43"/>
        <v>#DIV/0!</v>
      </c>
      <c r="AO36" s="4" t="e">
        <f t="shared" si="44"/>
        <v>#DIV/0!</v>
      </c>
      <c r="AP36" s="4" t="e">
        <f t="shared" si="45"/>
        <v>#DIV/0!</v>
      </c>
      <c r="AQ36" s="4">
        <f t="shared" si="46"/>
        <v>0.90893117965475589</v>
      </c>
      <c r="AR36" s="8">
        <f t="shared" si="49"/>
        <v>0.3470555600273576</v>
      </c>
      <c r="AS36" s="8">
        <f t="shared" si="47"/>
        <v>7.3559446483253937E-2</v>
      </c>
      <c r="AT36" s="8">
        <f t="shared" si="48"/>
        <v>5.4342430438905381E-2</v>
      </c>
      <c r="AW36" s="4">
        <v>7.3840000000000003E-2</v>
      </c>
      <c r="AX36" s="4">
        <v>0.61519999999999997</v>
      </c>
      <c r="AY36" s="7">
        <v>7</v>
      </c>
      <c r="AZ36" s="7">
        <v>0</v>
      </c>
      <c r="BA36" s="7">
        <v>39</v>
      </c>
      <c r="BB36" s="7">
        <v>0</v>
      </c>
      <c r="BC36" s="7">
        <v>1</v>
      </c>
      <c r="BD36" s="7">
        <v>0</v>
      </c>
    </row>
    <row r="37" spans="1:56">
      <c r="A37" s="10" t="s">
        <v>232</v>
      </c>
      <c r="B37" t="s">
        <v>53</v>
      </c>
      <c r="C37" t="s">
        <v>236</v>
      </c>
      <c r="E37" s="57" t="s">
        <v>25</v>
      </c>
      <c r="F37" s="57">
        <v>2</v>
      </c>
      <c r="G37" s="57">
        <v>9</v>
      </c>
      <c r="H37">
        <v>0</v>
      </c>
      <c r="I37">
        <v>97.1</v>
      </c>
      <c r="J37">
        <v>163</v>
      </c>
      <c r="K37">
        <v>141</v>
      </c>
      <c r="L37">
        <v>20.100000000000001</v>
      </c>
      <c r="M37">
        <v>33.1</v>
      </c>
      <c r="N37">
        <v>36.1</v>
      </c>
      <c r="O37">
        <v>51.9</v>
      </c>
      <c r="P37">
        <v>44</v>
      </c>
      <c r="Q37">
        <v>35.799999999999997</v>
      </c>
      <c r="R37">
        <v>-9.4</v>
      </c>
      <c r="S37">
        <v>-9.8000000000000007</v>
      </c>
      <c r="T37">
        <v>-15</v>
      </c>
      <c r="U37">
        <v>-1.4</v>
      </c>
      <c r="V37">
        <f t="shared" si="25"/>
        <v>4442.1000000000004</v>
      </c>
      <c r="W37">
        <f t="shared" si="26"/>
        <v>1037.98</v>
      </c>
      <c r="X37">
        <f t="shared" si="27"/>
        <v>665.40000000000009</v>
      </c>
      <c r="Y37">
        <f t="shared" si="28"/>
        <v>1315.4</v>
      </c>
      <c r="Z37">
        <f t="shared" si="29"/>
        <v>-94.680000000000064</v>
      </c>
      <c r="AA37">
        <f t="shared" si="30"/>
        <v>412279.99100000004</v>
      </c>
      <c r="AB37">
        <f t="shared" si="31"/>
        <v>1575340.8059999999</v>
      </c>
      <c r="AC37">
        <f t="shared" si="32"/>
        <v>49049404.383000001</v>
      </c>
      <c r="AD37" s="7">
        <f t="shared" si="33"/>
        <v>67.517162610704077</v>
      </c>
      <c r="AE37" s="7">
        <f t="shared" si="34"/>
        <v>73.833333333333329</v>
      </c>
      <c r="AF37" s="7">
        <f t="shared" si="35"/>
        <v>70.675247972018695</v>
      </c>
      <c r="AG37" s="7">
        <f t="shared" si="36"/>
        <v>31.309265562857945</v>
      </c>
      <c r="AH37" s="7">
        <f t="shared" si="37"/>
        <v>35.82</v>
      </c>
      <c r="AI37" s="7">
        <f t="shared" si="38"/>
        <v>33.564632781428969</v>
      </c>
      <c r="AJ37" s="4">
        <f t="shared" si="39"/>
        <v>2.1056463936981524</v>
      </c>
      <c r="AK37" s="4">
        <f t="shared" si="40"/>
        <v>0.29499624598825325</v>
      </c>
      <c r="AL37" s="4">
        <f t="shared" si="41"/>
        <v>86.932146899849556</v>
      </c>
      <c r="AM37" s="4" t="e">
        <f t="shared" si="42"/>
        <v>#DIV/0!</v>
      </c>
      <c r="AN37" s="4" t="e">
        <f t="shared" si="43"/>
        <v>#DIV/0!</v>
      </c>
      <c r="AO37" s="4" t="e">
        <f t="shared" si="44"/>
        <v>#DIV/0!</v>
      </c>
      <c r="AP37" s="4" t="e">
        <f t="shared" si="45"/>
        <v>#DIV/0!</v>
      </c>
      <c r="AQ37" s="4">
        <f t="shared" si="46"/>
        <v>0.81390047872416016</v>
      </c>
      <c r="AR37" s="8">
        <f t="shared" si="49"/>
        <v>0.31396323518802283</v>
      </c>
      <c r="AS37" s="8">
        <f t="shared" si="47"/>
        <v>6.7194753276696162E-2</v>
      </c>
      <c r="AT37" s="8">
        <f t="shared" si="48"/>
        <v>4.4684460994957605E-2</v>
      </c>
      <c r="AW37" s="4">
        <v>6.2480000000000001E-2</v>
      </c>
      <c r="AX37" s="4">
        <v>0.60580000000000001</v>
      </c>
      <c r="AY37" s="7">
        <v>3</v>
      </c>
      <c r="AZ37" s="7">
        <v>0</v>
      </c>
      <c r="BA37" s="7">
        <v>13</v>
      </c>
      <c r="BB37" s="7">
        <v>0</v>
      </c>
      <c r="BC37" s="7">
        <v>1</v>
      </c>
      <c r="BD37" s="7">
        <v>0</v>
      </c>
    </row>
    <row r="38" spans="1:56">
      <c r="A38" s="10" t="s">
        <v>232</v>
      </c>
      <c r="B38" t="s">
        <v>94</v>
      </c>
      <c r="C38" t="s">
        <v>236</v>
      </c>
      <c r="E38" s="57" t="s">
        <v>25</v>
      </c>
      <c r="F38" s="57">
        <v>2</v>
      </c>
      <c r="G38" s="57">
        <v>9</v>
      </c>
      <c r="H38">
        <v>0</v>
      </c>
      <c r="I38">
        <v>98.8</v>
      </c>
      <c r="J38">
        <v>173</v>
      </c>
      <c r="K38">
        <v>141</v>
      </c>
      <c r="L38">
        <v>20.5</v>
      </c>
      <c r="M38">
        <v>34.299999999999997</v>
      </c>
      <c r="N38">
        <v>36.799999999999997</v>
      </c>
      <c r="O38">
        <v>52.9</v>
      </c>
      <c r="P38">
        <v>43.7</v>
      </c>
      <c r="Q38">
        <v>37.200000000000003</v>
      </c>
      <c r="R38">
        <v>-10.199999999999999</v>
      </c>
      <c r="S38">
        <v>-7.4</v>
      </c>
      <c r="T38">
        <v>-18</v>
      </c>
      <c r="U38">
        <v>-1.3</v>
      </c>
      <c r="V38">
        <f t="shared" si="25"/>
        <v>4512.2999999999993</v>
      </c>
      <c r="W38">
        <f t="shared" si="26"/>
        <v>1142.76</v>
      </c>
      <c r="X38">
        <f t="shared" si="27"/>
        <v>651.5999999999998</v>
      </c>
      <c r="Y38">
        <f t="shared" si="28"/>
        <v>1315.3100000000002</v>
      </c>
      <c r="Z38">
        <f t="shared" si="29"/>
        <v>56.059999999999945</v>
      </c>
      <c r="AA38">
        <f t="shared" si="30"/>
        <v>472094.31299999991</v>
      </c>
      <c r="AB38">
        <f t="shared" si="31"/>
        <v>1720345.5399999998</v>
      </c>
      <c r="AC38">
        <f t="shared" si="32"/>
        <v>54621773.417599984</v>
      </c>
      <c r="AD38" s="7">
        <f t="shared" si="33"/>
        <v>68.151653824235964</v>
      </c>
      <c r="AE38" s="7">
        <f t="shared" si="34"/>
        <v>75.600000000000009</v>
      </c>
      <c r="AF38" s="7">
        <f t="shared" si="35"/>
        <v>71.875826912117986</v>
      </c>
      <c r="AG38" s="7">
        <f t="shared" si="36"/>
        <v>32.025293748957218</v>
      </c>
      <c r="AH38" s="7">
        <f t="shared" si="37"/>
        <v>36.919999999999995</v>
      </c>
      <c r="AI38" s="7">
        <f t="shared" si="38"/>
        <v>34.472646874478606</v>
      </c>
      <c r="AJ38" s="4">
        <f t="shared" si="39"/>
        <v>2.0850103902329113</v>
      </c>
      <c r="AK38" s="4">
        <f t="shared" si="40"/>
        <v>0.29324692551864873</v>
      </c>
      <c r="AL38" s="4">
        <f t="shared" si="41"/>
        <v>89.163289169819009</v>
      </c>
      <c r="AM38" s="4" t="e">
        <f t="shared" si="42"/>
        <v>#DIV/0!</v>
      </c>
      <c r="AN38" s="4" t="e">
        <f t="shared" si="43"/>
        <v>#DIV/0!</v>
      </c>
      <c r="AO38" s="4" t="e">
        <f t="shared" si="44"/>
        <v>#DIV/0!</v>
      </c>
      <c r="AP38" s="4" t="e">
        <f t="shared" si="45"/>
        <v>#DIV/0!</v>
      </c>
      <c r="AQ38" s="4">
        <f t="shared" si="46"/>
        <v>0.87348457224272114</v>
      </c>
      <c r="AR38" s="8">
        <f t="shared" si="49"/>
        <v>0.33451631926301956</v>
      </c>
      <c r="AS38" s="8">
        <f t="shared" si="47"/>
        <v>7.0994058983421315E-2</v>
      </c>
      <c r="AT38" s="8">
        <f t="shared" si="48"/>
        <v>5.1813985979396654E-2</v>
      </c>
      <c r="AW38" s="4">
        <v>8.3680000000000004E-2</v>
      </c>
      <c r="AX38" s="4">
        <v>0.60960000000000003</v>
      </c>
      <c r="AY38" s="7">
        <v>3</v>
      </c>
      <c r="AZ38" s="7">
        <v>0</v>
      </c>
      <c r="BA38" s="7">
        <v>20</v>
      </c>
      <c r="BB38" s="7">
        <v>0</v>
      </c>
      <c r="BC38" s="7">
        <v>1</v>
      </c>
      <c r="BD38" s="7">
        <v>0</v>
      </c>
    </row>
    <row r="39" spans="1:56">
      <c r="AF39" s="7"/>
      <c r="AI39" s="7"/>
      <c r="AJ39" s="4"/>
      <c r="AK39" s="4"/>
      <c r="AL39" s="4"/>
      <c r="AM39" s="4"/>
      <c r="AN39" s="4"/>
      <c r="AO39" s="4"/>
      <c r="AP39" s="4"/>
      <c r="AR39" s="8" t="e">
        <f t="shared" si="49"/>
        <v>#DIV/0!</v>
      </c>
      <c r="AW39" s="4"/>
      <c r="AX39" s="4"/>
    </row>
    <row r="40" spans="1:56">
      <c r="A40" s="10" t="s">
        <v>221</v>
      </c>
      <c r="B40" t="s">
        <v>243</v>
      </c>
      <c r="C40" t="s">
        <v>237</v>
      </c>
      <c r="E40" s="57" t="s">
        <v>25</v>
      </c>
      <c r="F40" s="57">
        <v>2</v>
      </c>
      <c r="G40" s="57">
        <v>9</v>
      </c>
      <c r="H40">
        <v>3.12</v>
      </c>
      <c r="I40">
        <v>116</v>
      </c>
      <c r="J40">
        <v>159.69999999999999</v>
      </c>
      <c r="K40">
        <v>191.6</v>
      </c>
      <c r="L40">
        <v>57.4</v>
      </c>
      <c r="M40">
        <v>31.8</v>
      </c>
      <c r="N40">
        <v>36.799999999999997</v>
      </c>
      <c r="O40">
        <v>44.9</v>
      </c>
      <c r="P40">
        <v>61.4</v>
      </c>
      <c r="Q40">
        <v>65.5</v>
      </c>
      <c r="R40">
        <v>4.3</v>
      </c>
      <c r="S40">
        <v>-2.5</v>
      </c>
      <c r="T40">
        <v>10</v>
      </c>
      <c r="U40">
        <v>-6.2</v>
      </c>
      <c r="V40">
        <f t="shared" ref="V40:V48" si="50">K40*M40-T40*T40</f>
        <v>5992.88</v>
      </c>
      <c r="W40">
        <f t="shared" ref="W40:W48" si="51">Q40*M40-S40*T40</f>
        <v>2107.9</v>
      </c>
      <c r="X40">
        <f t="shared" ref="X40:X48" si="52">P40*T40-R40*K40</f>
        <v>-209.88</v>
      </c>
      <c r="Y40">
        <f t="shared" ref="Y40:Y48" si="53">P40*M40-R40*T40</f>
        <v>1909.52</v>
      </c>
      <c r="Z40">
        <f t="shared" ref="Z40:Z48" si="54">P40*S40-R40*Q40</f>
        <v>-435.15</v>
      </c>
      <c r="AA40">
        <f t="shared" ref="AA40:AA48" si="55">I40*(J40*M40-S40*S40)-O40*(O40*M40-R40*S40)+R40*(O40*S40-R40*J40)+S40*(Q40*T40-S40*K40)</f>
        <v>517514.03899999999</v>
      </c>
      <c r="AB40">
        <f t="shared" ref="AB40:AB48" si="56">I40*J40*K40-I40*Q40*Q40-J40*P40*P40-K40*O40*O40+2*O40*P40*Q40</f>
        <v>2424577.8519999995</v>
      </c>
      <c r="AC40">
        <f t="shared" ref="AC40:AC48" si="57">2*(R40*S40*(K40*O40-P40*Q40)+R40*T40*(J40*P40-O40*Q40)+S40*T40*(I40*Q40-O40*P40))-(R40*R40*(J40*K40-Q40*Q40)+S40*S40*(I40*K40-P40*P40)+T40*T40*(I40*J40-O40*O40))+M40*AB40</f>
        <v>75098675.70129998</v>
      </c>
      <c r="AD40" s="7">
        <f t="shared" ref="AD40:AD48" si="58">AC40/(V40*(I40+J40-2*O40)+W40*(2*O40-2*I40-Q40)+X40*(R40-2*S40)+Y40*(2*O40+2*Q40-P40-2*J40)+2*Z40*(S40-R40)+AA40)</f>
        <v>84.170339689472769</v>
      </c>
      <c r="AE40" s="7">
        <f t="shared" ref="AE40:AE48" si="59">(I40+J40+K40+2*(O40+P40+Q40))/9</f>
        <v>90.1</v>
      </c>
      <c r="AF40" s="7">
        <f t="shared" ref="AF40:AF48" si="60">0.5*(AD40+AE40)</f>
        <v>87.135169844736382</v>
      </c>
      <c r="AG40" s="7">
        <f t="shared" ref="AG40:AG48" si="61">15/(4*(V40*(I40+J40+O40)+W40*(I40-O40-Q40)+X40*(R40+S40)+Y40*(J40-O40-P40-Q40)+Z40*(R40-S40)+AA40)/AC40 +3*(AB40/AC40 +(L40+N40)/(L40*N40-U40*U40)))</f>
        <v>41.408730455045053</v>
      </c>
      <c r="AH40" s="7">
        <f t="shared" ref="AH40:AH48" si="62">(I40+J40+K40+3*(L40+M40+N40)-(O40+P40+Q40))/15</f>
        <v>44.9</v>
      </c>
      <c r="AI40" s="7">
        <f t="shared" ref="AI40:AI48" si="63">0.5*(AG40+AH40)</f>
        <v>43.154365227522526</v>
      </c>
      <c r="AJ40" s="4">
        <f t="shared" ref="AJ40:AJ48" si="64">AF40/AI40</f>
        <v>2.0191507715461485</v>
      </c>
      <c r="AK40" s="4">
        <f t="shared" ref="AK40:AK48" si="65">(3*AF40-2*AI40)/(2*(3*AF40+AI40))</f>
        <v>0.28745871270164641</v>
      </c>
      <c r="AL40" s="4">
        <f t="shared" ref="AL40:AL48" si="66">9*AI40*AF40/(AI40+3*AF40)</f>
        <v>111.11892700656568</v>
      </c>
      <c r="AM40" s="4">
        <f t="shared" ref="AM40:AM48" si="67">SQRT((AF40+4/3*AI40)/H40)</f>
        <v>6.8095503137004787</v>
      </c>
      <c r="AN40" s="4">
        <f t="shared" ref="AN40:AN48" si="68">SQRT(AF40/H40)</f>
        <v>5.2846891160029577</v>
      </c>
      <c r="AO40" s="4">
        <f t="shared" ref="AO40:AO48" si="69">SQRT(AI40/H40)</f>
        <v>3.7190761374988854</v>
      </c>
      <c r="AP40" s="4">
        <f t="shared" ref="AP40:AP48" si="70">AM40/AN40</f>
        <v>1.2885432168715425</v>
      </c>
      <c r="AQ40" s="4">
        <f t="shared" ref="AQ40:AQ48" si="71">5*AH40/AG40 +AE40/AD40 - 6</f>
        <v>0.49201034726818094</v>
      </c>
      <c r="AR40" s="8">
        <f t="shared" si="49"/>
        <v>0.19338012959957479</v>
      </c>
      <c r="AS40" s="8">
        <f t="shared" ref="AS40:AS48" si="72">(AH40-AG40)/(AH40+AG40)</f>
        <v>4.0450943103298408E-2</v>
      </c>
      <c r="AT40" s="8">
        <f t="shared" ref="AT40:AT48" si="73">(AE40-AD40)/(AE40+AD40)</f>
        <v>3.4025642694523427E-2</v>
      </c>
      <c r="AW40" s="4">
        <v>0.11849999999999999</v>
      </c>
      <c r="AX40" s="4">
        <v>0.52329999999999999</v>
      </c>
      <c r="AY40" s="7">
        <v>27</v>
      </c>
      <c r="AZ40" s="7">
        <v>25</v>
      </c>
      <c r="BA40" s="7">
        <v>-16</v>
      </c>
      <c r="BB40" s="7">
        <v>7</v>
      </c>
      <c r="BC40" s="7">
        <v>-27</v>
      </c>
      <c r="BD40" s="7">
        <v>-29</v>
      </c>
    </row>
    <row r="41" spans="1:56">
      <c r="A41" s="10" t="s">
        <v>221</v>
      </c>
      <c r="B41" t="s">
        <v>243</v>
      </c>
      <c r="C41" t="s">
        <v>237</v>
      </c>
      <c r="E41" s="57" t="s">
        <v>25</v>
      </c>
      <c r="F41" s="57">
        <v>2</v>
      </c>
      <c r="G41" s="57">
        <v>9</v>
      </c>
      <c r="H41">
        <v>3.15</v>
      </c>
      <c r="I41">
        <v>130.1</v>
      </c>
      <c r="J41">
        <v>187.7</v>
      </c>
      <c r="K41">
        <v>198.4</v>
      </c>
      <c r="L41">
        <v>61.1</v>
      </c>
      <c r="M41">
        <v>38.700000000000003</v>
      </c>
      <c r="N41">
        <v>45</v>
      </c>
      <c r="O41">
        <v>61.4</v>
      </c>
      <c r="P41">
        <v>59.2</v>
      </c>
      <c r="Q41">
        <v>61.4</v>
      </c>
      <c r="R41">
        <v>9.5</v>
      </c>
      <c r="S41">
        <v>-6.9</v>
      </c>
      <c r="T41">
        <v>-40.6</v>
      </c>
      <c r="U41">
        <v>-0.9</v>
      </c>
      <c r="V41">
        <f t="shared" si="50"/>
        <v>6029.7200000000012</v>
      </c>
      <c r="W41">
        <f t="shared" si="51"/>
        <v>2096.0400000000004</v>
      </c>
      <c r="X41">
        <f t="shared" si="52"/>
        <v>-4288.32</v>
      </c>
      <c r="Y41">
        <f t="shared" si="53"/>
        <v>2676.7400000000002</v>
      </c>
      <c r="Z41">
        <f t="shared" si="54"/>
        <v>-991.78</v>
      </c>
      <c r="AA41">
        <f t="shared" si="55"/>
        <v>775718.89299999992</v>
      </c>
      <c r="AB41">
        <f t="shared" si="56"/>
        <v>3394992.8439999991</v>
      </c>
      <c r="AC41">
        <f t="shared" si="57"/>
        <v>88920236.541999966</v>
      </c>
      <c r="AD41" s="7">
        <f t="shared" si="58"/>
        <v>92.477839707686186</v>
      </c>
      <c r="AE41" s="7">
        <f t="shared" si="59"/>
        <v>97.8</v>
      </c>
      <c r="AF41" s="7">
        <f t="shared" si="60"/>
        <v>95.138919853843092</v>
      </c>
      <c r="AG41" s="7">
        <f t="shared" si="61"/>
        <v>40.735126576637093</v>
      </c>
      <c r="AH41" s="7">
        <f t="shared" si="62"/>
        <v>51.239999999999995</v>
      </c>
      <c r="AI41" s="7">
        <f t="shared" si="63"/>
        <v>45.98756328831854</v>
      </c>
      <c r="AJ41" s="4">
        <f t="shared" si="64"/>
        <v>2.0687967148285429</v>
      </c>
      <c r="AK41" s="4">
        <f t="shared" si="65"/>
        <v>0.29185140272376053</v>
      </c>
      <c r="AL41" s="4">
        <f t="shared" si="66"/>
        <v>118.81819628372405</v>
      </c>
      <c r="AM41" s="4">
        <f t="shared" si="67"/>
        <v>7.0475858954643087</v>
      </c>
      <c r="AN41" s="4">
        <f t="shared" si="68"/>
        <v>5.4957102998277421</v>
      </c>
      <c r="AO41" s="4">
        <f t="shared" si="69"/>
        <v>3.8208934087116386</v>
      </c>
      <c r="AP41" s="4">
        <f t="shared" si="70"/>
        <v>1.2823794397760029</v>
      </c>
      <c r="AQ41" s="4">
        <f t="shared" si="71"/>
        <v>1.3469628049155222</v>
      </c>
      <c r="AR41" s="8">
        <f t="shared" si="49"/>
        <v>0.51606293073491916</v>
      </c>
      <c r="AS41" s="8">
        <f t="shared" si="72"/>
        <v>0.11421428612669375</v>
      </c>
      <c r="AT41" s="8">
        <f t="shared" si="73"/>
        <v>2.797046834507878E-2</v>
      </c>
      <c r="AW41" s="5">
        <v>-6.5290000000000001E-2</v>
      </c>
      <c r="AX41" s="4">
        <v>0.67410000000000003</v>
      </c>
      <c r="AY41" s="12">
        <v>11</v>
      </c>
      <c r="AZ41" s="12">
        <v>-29</v>
      </c>
      <c r="BA41" s="12">
        <v>25</v>
      </c>
      <c r="BB41" s="12">
        <v>4</v>
      </c>
      <c r="BC41" s="12">
        <v>9</v>
      </c>
      <c r="BD41" s="12">
        <v>9</v>
      </c>
    </row>
    <row r="42" spans="1:56" ht="18">
      <c r="A42" t="s">
        <v>61</v>
      </c>
      <c r="B42" s="39" t="s">
        <v>453</v>
      </c>
      <c r="C42" t="s">
        <v>237</v>
      </c>
      <c r="E42" s="57" t="s">
        <v>25</v>
      </c>
      <c r="F42" s="57">
        <v>2</v>
      </c>
      <c r="G42" s="57">
        <v>9</v>
      </c>
      <c r="I42">
        <v>122.3</v>
      </c>
      <c r="J42">
        <v>231.5</v>
      </c>
      <c r="K42">
        <v>254.6</v>
      </c>
      <c r="L42">
        <v>79.599999999999994</v>
      </c>
      <c r="M42">
        <v>52.8</v>
      </c>
      <c r="N42">
        <v>51.2</v>
      </c>
      <c r="O42">
        <v>45.7</v>
      </c>
      <c r="P42">
        <v>37.200000000000003</v>
      </c>
      <c r="Q42">
        <v>74.900000000000006</v>
      </c>
      <c r="R42">
        <v>2.2999999999999998</v>
      </c>
      <c r="S42">
        <v>-4.8</v>
      </c>
      <c r="T42">
        <v>-23.7</v>
      </c>
      <c r="U42">
        <v>8.9</v>
      </c>
      <c r="V42">
        <f t="shared" si="50"/>
        <v>12881.189999999999</v>
      </c>
      <c r="W42">
        <f t="shared" si="51"/>
        <v>3840.96</v>
      </c>
      <c r="X42">
        <f t="shared" si="52"/>
        <v>-1467.2199999999998</v>
      </c>
      <c r="Y42">
        <f t="shared" si="53"/>
        <v>2018.67</v>
      </c>
      <c r="Z42">
        <f t="shared" si="54"/>
        <v>-350.83000000000004</v>
      </c>
      <c r="AA42">
        <f t="shared" si="55"/>
        <v>1382228.2449999996</v>
      </c>
      <c r="AB42">
        <f t="shared" si="56"/>
        <v>5924823.0249999994</v>
      </c>
      <c r="AC42">
        <f t="shared" si="57"/>
        <v>298069554.66689998</v>
      </c>
      <c r="AD42" s="7">
        <f t="shared" si="58"/>
        <v>88.954322425833666</v>
      </c>
      <c r="AE42" s="7">
        <f t="shared" si="59"/>
        <v>102.66666666666667</v>
      </c>
      <c r="AF42" s="7">
        <f t="shared" si="60"/>
        <v>95.810494546250169</v>
      </c>
      <c r="AG42" s="7">
        <f t="shared" si="61"/>
        <v>60.598780541431438</v>
      </c>
      <c r="AH42" s="7">
        <f t="shared" si="62"/>
        <v>66.759999999999991</v>
      </c>
      <c r="AI42" s="7">
        <f t="shared" si="63"/>
        <v>63.679390270715714</v>
      </c>
      <c r="AJ42" s="4">
        <f t="shared" si="64"/>
        <v>1.504576192374609</v>
      </c>
      <c r="AK42" s="4">
        <f t="shared" si="65"/>
        <v>0.2279517881559455</v>
      </c>
      <c r="AL42" s="4">
        <f t="shared" si="66"/>
        <v>156.39044230321136</v>
      </c>
      <c r="AM42" s="4" t="e">
        <f t="shared" si="67"/>
        <v>#DIV/0!</v>
      </c>
      <c r="AN42" s="4" t="e">
        <f t="shared" si="68"/>
        <v>#DIV/0!</v>
      </c>
      <c r="AO42" s="4" t="e">
        <f t="shared" si="69"/>
        <v>#DIV/0!</v>
      </c>
      <c r="AP42" s="4" t="e">
        <f t="shared" si="70"/>
        <v>#DIV/0!</v>
      </c>
      <c r="AQ42" s="4">
        <f t="shared" si="71"/>
        <v>0.66251206867209866</v>
      </c>
      <c r="AR42" s="8">
        <f t="shared" si="49"/>
        <v>0.25967859181364294</v>
      </c>
      <c r="AS42" s="8">
        <f t="shared" si="72"/>
        <v>4.8376872268843921E-2</v>
      </c>
      <c r="AT42" s="8">
        <f t="shared" si="73"/>
        <v>7.1559719557723958E-2</v>
      </c>
      <c r="AU42" s="7">
        <v>38</v>
      </c>
      <c r="AV42" s="7">
        <v>27.3</v>
      </c>
      <c r="AW42" s="4">
        <v>5.3159999999999999E-2</v>
      </c>
      <c r="AX42" s="4">
        <v>0.43</v>
      </c>
      <c r="AY42" s="7">
        <v>-34</v>
      </c>
      <c r="AZ42" s="7">
        <v>17</v>
      </c>
      <c r="BA42" s="7">
        <v>-12</v>
      </c>
      <c r="BB42" s="7">
        <v>-4</v>
      </c>
      <c r="BC42" s="7">
        <v>17</v>
      </c>
      <c r="BD42" s="7">
        <v>36</v>
      </c>
    </row>
    <row r="43" spans="1:56" ht="16.8">
      <c r="A43" t="s">
        <v>62</v>
      </c>
      <c r="B43" s="34" t="s">
        <v>452</v>
      </c>
      <c r="C43" t="s">
        <v>239</v>
      </c>
      <c r="E43" s="57" t="s">
        <v>25</v>
      </c>
      <c r="F43" s="57">
        <v>2</v>
      </c>
      <c r="G43" s="57">
        <v>9</v>
      </c>
      <c r="I43">
        <v>208.4</v>
      </c>
      <c r="J43">
        <v>201.6</v>
      </c>
      <c r="K43">
        <v>96.7</v>
      </c>
      <c r="L43">
        <v>17.399999999999999</v>
      </c>
      <c r="M43">
        <v>18.3</v>
      </c>
      <c r="N43">
        <v>65</v>
      </c>
      <c r="O43">
        <v>66.2</v>
      </c>
      <c r="P43">
        <v>15.9</v>
      </c>
      <c r="Q43">
        <v>5</v>
      </c>
      <c r="R43">
        <v>2.4</v>
      </c>
      <c r="S43">
        <v>-4.4000000000000004</v>
      </c>
      <c r="T43">
        <v>2.5</v>
      </c>
      <c r="U43">
        <v>-13.1</v>
      </c>
      <c r="V43">
        <f t="shared" si="50"/>
        <v>1763.3600000000001</v>
      </c>
      <c r="W43">
        <f t="shared" si="51"/>
        <v>102.5</v>
      </c>
      <c r="X43">
        <f t="shared" si="52"/>
        <v>-192.32999999999998</v>
      </c>
      <c r="Y43">
        <f t="shared" si="53"/>
        <v>284.97000000000003</v>
      </c>
      <c r="Z43">
        <f t="shared" si="54"/>
        <v>-81.960000000000008</v>
      </c>
      <c r="AA43">
        <f t="shared" si="55"/>
        <v>680126.20400000003</v>
      </c>
      <c r="AB43">
        <f t="shared" si="56"/>
        <v>3593267.0040000007</v>
      </c>
      <c r="AC43">
        <f t="shared" si="57"/>
        <v>64925397.65200001</v>
      </c>
      <c r="AD43" s="7">
        <f t="shared" si="58"/>
        <v>61.245706544967426</v>
      </c>
      <c r="AE43" s="7">
        <f t="shared" si="59"/>
        <v>75.655555555555551</v>
      </c>
      <c r="AF43" s="7">
        <f t="shared" si="60"/>
        <v>68.450631050261492</v>
      </c>
      <c r="AG43" s="7">
        <f t="shared" si="61"/>
        <v>28.83509808684466</v>
      </c>
      <c r="AH43" s="7">
        <f t="shared" si="62"/>
        <v>48.11333333333333</v>
      </c>
      <c r="AI43" s="7">
        <f t="shared" si="63"/>
        <v>38.474215710088998</v>
      </c>
      <c r="AJ43" s="4">
        <f t="shared" si="64"/>
        <v>1.7791299910062066</v>
      </c>
      <c r="AK43" s="4">
        <f t="shared" si="65"/>
        <v>0.26330950022229399</v>
      </c>
      <c r="AL43" s="4">
        <f t="shared" si="66"/>
        <v>97.209684440314533</v>
      </c>
      <c r="AM43" s="4" t="e">
        <f t="shared" si="67"/>
        <v>#DIV/0!</v>
      </c>
      <c r="AN43" s="4" t="e">
        <f t="shared" si="68"/>
        <v>#DIV/0!</v>
      </c>
      <c r="AO43" s="4" t="e">
        <f t="shared" si="69"/>
        <v>#DIV/0!</v>
      </c>
      <c r="AP43" s="4" t="e">
        <f t="shared" si="70"/>
        <v>#DIV/0!</v>
      </c>
      <c r="AQ43" s="4">
        <f t="shared" si="71"/>
        <v>3.5781213082267218</v>
      </c>
      <c r="AR43" s="8">
        <f t="shared" si="49"/>
        <v>1.1641273355992623</v>
      </c>
      <c r="AS43" s="8">
        <f t="shared" si="72"/>
        <v>0.25053447991966976</v>
      </c>
      <c r="AT43" s="8">
        <f t="shared" si="73"/>
        <v>0.10525724006844694</v>
      </c>
      <c r="AW43" s="5">
        <v>-0.21990000000000001</v>
      </c>
      <c r="AX43" s="4">
        <v>0.70989999999999998</v>
      </c>
      <c r="AY43" s="12">
        <v>-33</v>
      </c>
      <c r="AZ43" s="12">
        <v>-22</v>
      </c>
      <c r="BA43" s="12">
        <v>1</v>
      </c>
      <c r="BB43" s="12">
        <v>12</v>
      </c>
      <c r="BC43" s="12">
        <v>-19</v>
      </c>
      <c r="BD43" s="12">
        <v>-33</v>
      </c>
    </row>
    <row r="44" spans="1:56">
      <c r="A44" t="s">
        <v>225</v>
      </c>
      <c r="B44" t="s">
        <v>224</v>
      </c>
      <c r="C44" t="s">
        <v>239</v>
      </c>
      <c r="E44" s="57" t="s">
        <v>25</v>
      </c>
      <c r="F44" s="57">
        <v>2</v>
      </c>
      <c r="G44" s="57">
        <v>9</v>
      </c>
      <c r="H44">
        <v>2.8439999999999999</v>
      </c>
      <c r="I44">
        <v>184.3</v>
      </c>
      <c r="J44">
        <v>178.4</v>
      </c>
      <c r="K44">
        <v>59.1</v>
      </c>
      <c r="L44">
        <v>16</v>
      </c>
      <c r="M44">
        <v>17.600000000000001</v>
      </c>
      <c r="N44">
        <v>72.400000000000006</v>
      </c>
      <c r="O44">
        <v>48.3</v>
      </c>
      <c r="P44">
        <v>23.8</v>
      </c>
      <c r="Q44">
        <v>21.7</v>
      </c>
      <c r="R44">
        <v>-2</v>
      </c>
      <c r="S44">
        <v>3.9</v>
      </c>
      <c r="T44">
        <v>1.2</v>
      </c>
      <c r="U44">
        <v>0.5</v>
      </c>
      <c r="V44">
        <f t="shared" si="50"/>
        <v>1038.72</v>
      </c>
      <c r="W44">
        <f t="shared" si="51"/>
        <v>377.24</v>
      </c>
      <c r="X44">
        <f t="shared" si="52"/>
        <v>146.76</v>
      </c>
      <c r="Y44">
        <f t="shared" si="53"/>
        <v>421.28000000000003</v>
      </c>
      <c r="Z44">
        <f t="shared" si="54"/>
        <v>136.22</v>
      </c>
      <c r="AA44">
        <f t="shared" si="55"/>
        <v>532546.01</v>
      </c>
      <c r="AB44">
        <f t="shared" si="56"/>
        <v>1667334.3060000003</v>
      </c>
      <c r="AC44">
        <f t="shared" si="57"/>
        <v>29078603.736700006</v>
      </c>
      <c r="AD44" s="7">
        <f t="shared" si="58"/>
        <v>48.710882059338495</v>
      </c>
      <c r="AE44" s="7">
        <f t="shared" si="59"/>
        <v>67.711111111111123</v>
      </c>
      <c r="AF44" s="7">
        <f t="shared" si="60"/>
        <v>58.210996585224805</v>
      </c>
      <c r="AG44" s="7">
        <f t="shared" si="61"/>
        <v>27.58642068725684</v>
      </c>
      <c r="AH44" s="7">
        <f t="shared" si="62"/>
        <v>43.066666666666677</v>
      </c>
      <c r="AI44" s="7">
        <f t="shared" si="63"/>
        <v>35.326543676961762</v>
      </c>
      <c r="AJ44" s="4">
        <f t="shared" si="64"/>
        <v>1.6477976763740734</v>
      </c>
      <c r="AK44" s="4">
        <f t="shared" si="65"/>
        <v>0.24761891184882065</v>
      </c>
      <c r="AL44" s="4">
        <f t="shared" si="66"/>
        <v>88.148127963261729</v>
      </c>
      <c r="AM44" s="4">
        <f t="shared" si="67"/>
        <v>6.0852203541449459</v>
      </c>
      <c r="AN44" s="4">
        <f t="shared" si="68"/>
        <v>4.5241575582913791</v>
      </c>
      <c r="AO44" s="4">
        <f t="shared" si="69"/>
        <v>3.524404752534986</v>
      </c>
      <c r="AP44" s="4">
        <f t="shared" si="70"/>
        <v>1.345050492990153</v>
      </c>
      <c r="AQ44" s="4">
        <f t="shared" si="71"/>
        <v>3.1958341202122504</v>
      </c>
      <c r="AR44" s="8">
        <f t="shared" si="49"/>
        <v>1.0490424521420096</v>
      </c>
      <c r="AS44" s="8">
        <f t="shared" si="72"/>
        <v>0.21910218730944364</v>
      </c>
      <c r="AT44" s="8">
        <f t="shared" si="73"/>
        <v>0.16320137230389981</v>
      </c>
      <c r="AW44" s="5">
        <v>4.2659999999999997E-2</v>
      </c>
      <c r="AX44" s="4">
        <v>0.54949999999999999</v>
      </c>
      <c r="AY44" s="7">
        <v>13</v>
      </c>
      <c r="AZ44" s="7">
        <v>0</v>
      </c>
      <c r="BA44" s="7">
        <v>-15</v>
      </c>
      <c r="BB44" s="7">
        <v>0</v>
      </c>
      <c r="BC44" s="7">
        <v>1</v>
      </c>
      <c r="BD44" s="7">
        <v>0</v>
      </c>
    </row>
    <row r="45" spans="1:56">
      <c r="A45" t="s">
        <v>225</v>
      </c>
      <c r="B45" t="s">
        <v>224</v>
      </c>
      <c r="C45" t="s">
        <v>239</v>
      </c>
      <c r="E45" s="57" t="s">
        <v>23</v>
      </c>
      <c r="F45" s="57">
        <v>2</v>
      </c>
      <c r="G45" s="57">
        <v>9</v>
      </c>
      <c r="I45">
        <v>176.5</v>
      </c>
      <c r="J45">
        <v>179.5</v>
      </c>
      <c r="K45">
        <v>60.9</v>
      </c>
      <c r="L45">
        <v>15</v>
      </c>
      <c r="M45">
        <v>13.1</v>
      </c>
      <c r="N45">
        <v>70.7</v>
      </c>
      <c r="O45">
        <v>47.7</v>
      </c>
      <c r="P45">
        <v>20</v>
      </c>
      <c r="Q45">
        <v>23</v>
      </c>
      <c r="R45">
        <v>-1.2</v>
      </c>
      <c r="S45">
        <v>11.1</v>
      </c>
      <c r="T45">
        <v>-0.7</v>
      </c>
      <c r="U45">
        <v>0.7</v>
      </c>
      <c r="V45">
        <f t="shared" si="50"/>
        <v>797.3</v>
      </c>
      <c r="W45">
        <f t="shared" si="51"/>
        <v>309.07</v>
      </c>
      <c r="X45">
        <f t="shared" si="52"/>
        <v>59.08</v>
      </c>
      <c r="Y45">
        <f t="shared" si="53"/>
        <v>261.16000000000003</v>
      </c>
      <c r="Z45">
        <f t="shared" si="54"/>
        <v>249.6</v>
      </c>
      <c r="AA45">
        <f t="shared" si="55"/>
        <v>354266.65399999998</v>
      </c>
      <c r="AB45">
        <f t="shared" si="56"/>
        <v>1669568.9139999999</v>
      </c>
      <c r="AC45">
        <f t="shared" si="57"/>
        <v>20457677.794299997</v>
      </c>
      <c r="AD45" s="7">
        <f t="shared" si="58"/>
        <v>48.938995517492501</v>
      </c>
      <c r="AE45" s="7">
        <f t="shared" si="59"/>
        <v>66.477777777777774</v>
      </c>
      <c r="AF45" s="7">
        <f t="shared" si="60"/>
        <v>57.708386647635137</v>
      </c>
      <c r="AG45" s="7">
        <f t="shared" si="61"/>
        <v>23.808705210710396</v>
      </c>
      <c r="AH45" s="7">
        <f t="shared" si="62"/>
        <v>41.506666666666661</v>
      </c>
      <c r="AI45" s="7">
        <f t="shared" si="63"/>
        <v>32.65768593868853</v>
      </c>
      <c r="AJ45" s="4">
        <f t="shared" si="64"/>
        <v>1.7670690677832086</v>
      </c>
      <c r="AK45" s="4">
        <f t="shared" si="65"/>
        <v>0.26195037687339928</v>
      </c>
      <c r="AL45" s="4">
        <f t="shared" si="66"/>
        <v>82.424758156282195</v>
      </c>
      <c r="AM45" s="4" t="e">
        <f t="shared" si="67"/>
        <v>#DIV/0!</v>
      </c>
      <c r="AN45" s="4" t="e">
        <f t="shared" si="68"/>
        <v>#DIV/0!</v>
      </c>
      <c r="AO45" s="4" t="e">
        <f t="shared" si="69"/>
        <v>#DIV/0!</v>
      </c>
      <c r="AP45" s="4" t="e">
        <f t="shared" si="70"/>
        <v>#DIV/0!</v>
      </c>
      <c r="AQ45" s="4">
        <f t="shared" si="71"/>
        <v>4.075080201955835</v>
      </c>
      <c r="AR45" s="8">
        <f t="shared" si="49"/>
        <v>1.2799996711451291</v>
      </c>
      <c r="AS45" s="8">
        <f t="shared" si="72"/>
        <v>0.2709616579873782</v>
      </c>
      <c r="AT45" s="8">
        <f t="shared" si="73"/>
        <v>0.1519604279303137</v>
      </c>
      <c r="AW45" s="5">
        <v>-0.16930000000000001</v>
      </c>
      <c r="AX45" s="4">
        <v>0.71919999999999995</v>
      </c>
      <c r="AY45" s="7">
        <v>0</v>
      </c>
      <c r="AZ45" s="7">
        <v>1</v>
      </c>
      <c r="BA45" s="7">
        <v>0</v>
      </c>
      <c r="BB45" s="7">
        <v>29</v>
      </c>
      <c r="BC45" s="7">
        <v>0</v>
      </c>
      <c r="BD45" s="7">
        <v>27</v>
      </c>
    </row>
    <row r="46" spans="1:56">
      <c r="A46" s="64" t="s">
        <v>225</v>
      </c>
      <c r="B46" t="s">
        <v>224</v>
      </c>
      <c r="C46" t="s">
        <v>239</v>
      </c>
      <c r="E46" s="57" t="s">
        <v>23</v>
      </c>
      <c r="F46" s="57">
        <v>2</v>
      </c>
      <c r="G46" s="57">
        <v>9</v>
      </c>
      <c r="I46">
        <v>180.9</v>
      </c>
      <c r="J46" s="7">
        <v>170</v>
      </c>
      <c r="K46">
        <v>60.3</v>
      </c>
      <c r="L46">
        <v>18.399999999999999</v>
      </c>
      <c r="M46">
        <v>23.8</v>
      </c>
      <c r="N46">
        <v>70.5</v>
      </c>
      <c r="O46">
        <v>53.4</v>
      </c>
      <c r="P46">
        <v>27.2</v>
      </c>
      <c r="Q46">
        <v>23.5</v>
      </c>
      <c r="R46">
        <v>-14.7</v>
      </c>
      <c r="S46">
        <v>1.4</v>
      </c>
      <c r="T46" s="4">
        <v>-1</v>
      </c>
      <c r="U46">
        <v>-1.8</v>
      </c>
      <c r="V46">
        <f t="shared" si="50"/>
        <v>1434.1399999999999</v>
      </c>
      <c r="W46">
        <f t="shared" si="51"/>
        <v>560.70000000000005</v>
      </c>
      <c r="X46">
        <f t="shared" si="52"/>
        <v>859.20999999999992</v>
      </c>
      <c r="Y46">
        <f t="shared" si="53"/>
        <v>632.66</v>
      </c>
      <c r="Z46">
        <f t="shared" si="54"/>
        <v>383.53</v>
      </c>
      <c r="AA46">
        <f t="shared" si="55"/>
        <v>624615.37600000005</v>
      </c>
      <c r="AB46">
        <f t="shared" si="56"/>
        <v>1525048.567</v>
      </c>
      <c r="AC46">
        <f t="shared" si="57"/>
        <v>34137510.157100007</v>
      </c>
      <c r="AD46" s="7">
        <f t="shared" si="58"/>
        <v>50.140441380456934</v>
      </c>
      <c r="AE46" s="7">
        <f t="shared" si="59"/>
        <v>68.822222222222223</v>
      </c>
      <c r="AF46" s="7">
        <f t="shared" si="60"/>
        <v>59.481331801339579</v>
      </c>
      <c r="AG46" s="7">
        <f t="shared" si="61"/>
        <v>30.555140089181162</v>
      </c>
      <c r="AH46" s="7">
        <f t="shared" si="62"/>
        <v>43.013333333333328</v>
      </c>
      <c r="AI46" s="7">
        <f t="shared" si="63"/>
        <v>36.784236711257243</v>
      </c>
      <c r="AJ46" s="4">
        <f t="shared" si="64"/>
        <v>1.6170331946329675</v>
      </c>
      <c r="AK46" s="4">
        <f t="shared" si="65"/>
        <v>0.24363793018876129</v>
      </c>
      <c r="AL46" s="4">
        <f t="shared" si="66"/>
        <v>91.492544014322817</v>
      </c>
      <c r="AM46" s="4" t="e">
        <f t="shared" si="67"/>
        <v>#DIV/0!</v>
      </c>
      <c r="AN46" s="4" t="e">
        <f t="shared" si="68"/>
        <v>#DIV/0!</v>
      </c>
      <c r="AO46" s="4" t="e">
        <f t="shared" si="69"/>
        <v>#DIV/0!</v>
      </c>
      <c r="AP46" s="4" t="e">
        <f t="shared" si="70"/>
        <v>#DIV/0!</v>
      </c>
      <c r="AQ46" s="4">
        <f t="shared" si="71"/>
        <v>2.4112302378670361</v>
      </c>
      <c r="AR46" s="8">
        <f t="shared" si="49"/>
        <v>0.82767157029681659</v>
      </c>
      <c r="AS46" s="8">
        <f t="shared" si="72"/>
        <v>0.16934146740551409</v>
      </c>
      <c r="AT46" s="8">
        <f t="shared" si="73"/>
        <v>0.15703902616168858</v>
      </c>
      <c r="AW46" s="5"/>
      <c r="AX46" s="4"/>
    </row>
    <row r="47" spans="1:56">
      <c r="A47" s="64" t="s">
        <v>582</v>
      </c>
      <c r="C47" t="s">
        <v>239</v>
      </c>
      <c r="E47" s="57" t="s">
        <v>23</v>
      </c>
      <c r="F47" s="57">
        <v>2</v>
      </c>
      <c r="G47" s="57">
        <v>9</v>
      </c>
      <c r="H47">
        <v>2.54</v>
      </c>
      <c r="I47">
        <v>198.4</v>
      </c>
      <c r="J47">
        <v>197.7</v>
      </c>
      <c r="K47">
        <v>138.1</v>
      </c>
      <c r="L47">
        <v>25.9</v>
      </c>
      <c r="M47">
        <v>24.6</v>
      </c>
      <c r="N47">
        <v>71</v>
      </c>
      <c r="O47">
        <v>57.3</v>
      </c>
      <c r="P47">
        <v>14</v>
      </c>
      <c r="Q47">
        <v>19.600000000000001</v>
      </c>
      <c r="R47">
        <v>3</v>
      </c>
      <c r="S47">
        <v>-0.5</v>
      </c>
      <c r="T47">
        <v>0.1</v>
      </c>
      <c r="U47">
        <v>0.1</v>
      </c>
      <c r="V47">
        <f t="shared" si="50"/>
        <v>3397.25</v>
      </c>
      <c r="W47">
        <f t="shared" si="51"/>
        <v>482.21000000000009</v>
      </c>
      <c r="X47">
        <f t="shared" si="52"/>
        <v>-412.9</v>
      </c>
      <c r="Y47">
        <f t="shared" si="53"/>
        <v>344.1</v>
      </c>
      <c r="Z47">
        <f t="shared" si="54"/>
        <v>-65.800000000000011</v>
      </c>
      <c r="AA47">
        <f t="shared" si="55"/>
        <v>882097.28900000011</v>
      </c>
      <c r="AB47">
        <f t="shared" si="56"/>
        <v>4879847.5549999997</v>
      </c>
      <c r="AC47">
        <f t="shared" si="57"/>
        <v>119772587.79710001</v>
      </c>
      <c r="AD47" s="7">
        <f t="shared" si="58"/>
        <v>74.682865534926222</v>
      </c>
      <c r="AE47" s="7">
        <f t="shared" si="59"/>
        <v>79.555555555555557</v>
      </c>
      <c r="AF47" s="7">
        <f t="shared" si="60"/>
        <v>77.11921054524089</v>
      </c>
      <c r="AG47" s="7">
        <f t="shared" si="61"/>
        <v>41.168701014831001</v>
      </c>
      <c r="AH47" s="7">
        <f t="shared" si="62"/>
        <v>53.853333333333339</v>
      </c>
      <c r="AI47" s="7">
        <f t="shared" si="63"/>
        <v>47.51101717408217</v>
      </c>
      <c r="AJ47" s="4">
        <f t="shared" si="64"/>
        <v>1.6231858447204608</v>
      </c>
      <c r="AK47" s="4">
        <f t="shared" si="65"/>
        <v>0.24444410992313179</v>
      </c>
      <c r="AL47" s="4">
        <f t="shared" si="66"/>
        <v>118.24961095748664</v>
      </c>
      <c r="AM47" s="4">
        <f t="shared" si="67"/>
        <v>7.4365355113137435</v>
      </c>
      <c r="AN47" s="4">
        <f t="shared" si="68"/>
        <v>5.5101627848412216</v>
      </c>
      <c r="AO47" s="4">
        <f t="shared" si="69"/>
        <v>4.3249421813113171</v>
      </c>
      <c r="AP47" s="4">
        <f t="shared" si="70"/>
        <v>1.3496035964258779</v>
      </c>
      <c r="AQ47" s="4">
        <f t="shared" si="71"/>
        <v>1.6058125571366455</v>
      </c>
      <c r="AR47" s="8">
        <f t="shared" si="49"/>
        <v>0.60389329033790895</v>
      </c>
      <c r="AS47" s="8">
        <f t="shared" si="72"/>
        <v>0.13349148337558597</v>
      </c>
      <c r="AT47" s="8">
        <f t="shared" si="73"/>
        <v>3.1591934008264003E-2</v>
      </c>
      <c r="AW47" s="5"/>
      <c r="AX47" s="4"/>
    </row>
    <row r="48" spans="1:56">
      <c r="A48" s="64" t="s">
        <v>682</v>
      </c>
      <c r="C48" t="s">
        <v>239</v>
      </c>
      <c r="E48" s="57" t="s">
        <v>23</v>
      </c>
      <c r="F48" s="57">
        <v>2</v>
      </c>
      <c r="G48" s="57">
        <v>9</v>
      </c>
      <c r="H48">
        <v>2.8247</v>
      </c>
      <c r="I48">
        <v>153.9</v>
      </c>
      <c r="J48">
        <v>188.5</v>
      </c>
      <c r="K48">
        <v>27.2</v>
      </c>
      <c r="L48">
        <v>10.4</v>
      </c>
      <c r="M48">
        <v>24.8</v>
      </c>
      <c r="N48">
        <v>55.4</v>
      </c>
      <c r="O48">
        <v>25.1</v>
      </c>
      <c r="P48">
        <v>13.2</v>
      </c>
      <c r="Q48">
        <v>5.2</v>
      </c>
      <c r="R48">
        <v>-30.3</v>
      </c>
      <c r="S48">
        <v>-8.1999999999999993</v>
      </c>
      <c r="T48">
        <v>-5.4</v>
      </c>
      <c r="U48">
        <v>-15.9</v>
      </c>
      <c r="V48">
        <f t="shared" si="50"/>
        <v>645.4</v>
      </c>
      <c r="W48">
        <f t="shared" si="51"/>
        <v>84.68</v>
      </c>
      <c r="X48">
        <f t="shared" si="52"/>
        <v>752.88</v>
      </c>
      <c r="Y48">
        <f t="shared" si="53"/>
        <v>163.74</v>
      </c>
      <c r="Z48">
        <f t="shared" si="54"/>
        <v>49.320000000000022</v>
      </c>
      <c r="AA48">
        <f t="shared" si="55"/>
        <v>531293.29099999997</v>
      </c>
      <c r="AB48">
        <f t="shared" si="56"/>
        <v>738379.84000000008</v>
      </c>
      <c r="AC48">
        <f t="shared" si="57"/>
        <v>13650300.068</v>
      </c>
      <c r="AD48" s="7">
        <f t="shared" si="58"/>
        <v>21.48396741921724</v>
      </c>
      <c r="AE48" s="7">
        <f t="shared" si="59"/>
        <v>50.733333333333327</v>
      </c>
      <c r="AF48" s="7">
        <f t="shared" si="60"/>
        <v>36.108650376275286</v>
      </c>
      <c r="AG48" s="7">
        <f t="shared" si="61"/>
        <v>15.012568567685189</v>
      </c>
      <c r="AH48" s="7">
        <f t="shared" si="62"/>
        <v>39.859999999999992</v>
      </c>
      <c r="AI48" s="7">
        <f t="shared" si="63"/>
        <v>27.436284283842589</v>
      </c>
      <c r="AJ48" s="4">
        <f t="shared" si="64"/>
        <v>1.3160911296410465</v>
      </c>
      <c r="AK48" s="4">
        <f t="shared" si="65"/>
        <v>0.19686395999101516</v>
      </c>
      <c r="AL48" s="4">
        <f t="shared" si="66"/>
        <v>65.67499971079819</v>
      </c>
      <c r="AM48" s="4">
        <f t="shared" si="67"/>
        <v>5.0728527138763706</v>
      </c>
      <c r="AN48" s="4">
        <f t="shared" si="68"/>
        <v>3.5753574154137184</v>
      </c>
      <c r="AO48" s="4">
        <f t="shared" si="69"/>
        <v>3.1165671028467754</v>
      </c>
      <c r="AP48" s="4">
        <f t="shared" si="70"/>
        <v>1.4188379298827027</v>
      </c>
      <c r="AQ48" s="4">
        <f t="shared" si="71"/>
        <v>9.6369938890263764</v>
      </c>
      <c r="AR48" s="8">
        <f t="shared" si="49"/>
        <v>2.3464815862482769</v>
      </c>
      <c r="AS48" s="8">
        <f t="shared" si="72"/>
        <v>0.45282063662949473</v>
      </c>
      <c r="AT48" s="8">
        <f t="shared" si="73"/>
        <v>0.4050188197193601</v>
      </c>
      <c r="AW48" s="5"/>
      <c r="AX48" s="4"/>
    </row>
    <row r="49" spans="1:63">
      <c r="AF49" s="7"/>
      <c r="AI49" s="7"/>
      <c r="AJ49" s="4"/>
      <c r="AK49" s="4"/>
      <c r="AL49" s="4"/>
      <c r="AM49" s="4"/>
      <c r="AN49" s="4"/>
      <c r="AO49" s="4"/>
      <c r="AP49" s="4"/>
      <c r="AR49" s="8" t="e">
        <f t="shared" si="49"/>
        <v>#DIV/0!</v>
      </c>
      <c r="AW49" s="5"/>
      <c r="AX49" s="4"/>
    </row>
    <row r="50" spans="1:63">
      <c r="A50" t="s">
        <v>226</v>
      </c>
      <c r="B50" t="s">
        <v>245</v>
      </c>
      <c r="C50" t="s">
        <v>226</v>
      </c>
      <c r="E50" s="57" t="s">
        <v>25</v>
      </c>
      <c r="F50" s="57">
        <v>2</v>
      </c>
      <c r="G50" s="57">
        <v>9</v>
      </c>
      <c r="H50">
        <v>3.23</v>
      </c>
      <c r="I50">
        <v>213</v>
      </c>
      <c r="J50">
        <v>275</v>
      </c>
      <c r="K50">
        <v>198</v>
      </c>
      <c r="L50">
        <v>69.7</v>
      </c>
      <c r="M50">
        <v>72.099999999999994</v>
      </c>
      <c r="N50">
        <v>75.2</v>
      </c>
      <c r="O50">
        <v>70</v>
      </c>
      <c r="P50">
        <v>59</v>
      </c>
      <c r="Q50">
        <v>67</v>
      </c>
      <c r="R50">
        <v>7.2</v>
      </c>
      <c r="S50">
        <v>-1.7</v>
      </c>
      <c r="T50">
        <v>-2.6</v>
      </c>
      <c r="U50">
        <v>-0.7</v>
      </c>
      <c r="V50">
        <f t="shared" ref="V50:V57" si="74">K50*M50-T50*T50</f>
        <v>14269.039999999999</v>
      </c>
      <c r="W50">
        <f t="shared" ref="W50:W57" si="75">Q50*M50-S50*T50</f>
        <v>4826.28</v>
      </c>
      <c r="X50">
        <f t="shared" ref="X50:X57" si="76">P50*T50-R50*K50</f>
        <v>-1579.0000000000002</v>
      </c>
      <c r="Y50">
        <f t="shared" ref="Y50:Y57" si="77">P50*M50-R50*T50</f>
        <v>4272.62</v>
      </c>
      <c r="Z50">
        <f t="shared" ref="Z50:Z57" si="78">P50*S50-R50*Q50</f>
        <v>-582.70000000000005</v>
      </c>
      <c r="AA50">
        <f t="shared" ref="AA50:AA57" si="79">I50*(J50*M50-S50*S50)-O50*(O50*M50-R50*S50)+R50*(O50*S50-R50*J50)+S50*(Q50*T50-S50*K50)</f>
        <v>3853106.25</v>
      </c>
      <c r="AB50">
        <f t="shared" ref="AB50:AB57" si="80">I50*J50*K50-I50*Q50*Q50-J50*P50*P50-K50*O50*O50+2*O50*P50*Q50</f>
        <v>9267638</v>
      </c>
      <c r="AC50">
        <f t="shared" ref="AC50:AC57" si="81">2*(R50*S50*(K50*O50-P50*Q50)+R50*T50*(J50*P50-O50*Q50)+S50*T50*(I50*Q50-O50*P50))-(R50*R50*(J50*K50-Q50*Q50)+S50*S50*(I50*K50-P50*P50)+T50*T50*(I50*J50-O50*O50))+M50*AB50</f>
        <v>664547308.46999991</v>
      </c>
      <c r="AD50" s="7">
        <f t="shared" ref="AD50:AD57" si="82">AC50/(V50*(I50+J50-2*O50)+W50*(2*O50-2*I50-Q50)+X50*(R50-2*S50)+Y50*(2*O50+2*Q50-P50-2*J50)+2*Z50*(S50-R50)+AA50)</f>
        <v>117.05212289173815</v>
      </c>
      <c r="AE50" s="7">
        <f t="shared" ref="AE50:AE57" si="83">(I50+J50+K50+2*(O50+P50+Q50))/9</f>
        <v>119.77777777777777</v>
      </c>
      <c r="AF50" s="7">
        <f t="shared" ref="AF50:AF57" si="84">0.5*(AD50+AE50)</f>
        <v>118.41495033475796</v>
      </c>
      <c r="AG50" s="7">
        <f t="shared" ref="AG50:AG57" si="85">15/(4*(V50*(I50+J50+O50)+W50*(I50-O50-Q50)+X50*(R50+S50)+Y50*(J50-O50-P50-Q50)+Z50*(R50-S50)+AA50)/AC50 +3*(AB50/AC50 +(L50+N50)/(L50*N50-U50*U50)))</f>
        <v>74.979825023960544</v>
      </c>
      <c r="AH50" s="7">
        <f t="shared" ref="AH50:AH57" si="86">(I50+J50+K50+3*(L50+M50+N50)-(O50+P50+Q50))/15</f>
        <v>76.066666666666663</v>
      </c>
      <c r="AI50" s="7">
        <f t="shared" ref="AI50:AI57" si="87">0.5*(AG50+AH50)</f>
        <v>75.523245845313596</v>
      </c>
      <c r="AJ50" s="4">
        <f t="shared" ref="AJ50:AJ57" si="88">AF50/AI50</f>
        <v>1.5679271859858219</v>
      </c>
      <c r="AK50" s="4">
        <f t="shared" ref="AK50:AK57" si="89">(3*AF50-2*AI50)/(2*(3*AF50+AI50))</f>
        <v>0.23701657667669296</v>
      </c>
      <c r="AL50" s="4">
        <f t="shared" ref="AL50:AL57" si="90">9*AI50*AF50/(AI50+3*AF50)</f>
        <v>186.84701407016422</v>
      </c>
      <c r="AM50" s="4">
        <f t="shared" ref="AM50:AM56" si="91">SQRT((AF50+4/3*AI50)/H50)</f>
        <v>8.2363051069525106</v>
      </c>
      <c r="AN50" s="4">
        <f t="shared" ref="AN50:AN56" si="92">SQRT(AF50/H50)</f>
        <v>6.0548307437812312</v>
      </c>
      <c r="AO50" s="4">
        <f t="shared" ref="AO50:AO56" si="93">SQRT(AI50/H50)</f>
        <v>4.8354741090435196</v>
      </c>
      <c r="AP50" s="4">
        <f t="shared" ref="AP50:AP56" si="94">AM50/AN50</f>
        <v>1.3602865968486102</v>
      </c>
      <c r="AQ50" s="4">
        <f t="shared" ref="AQ50:AQ57" si="95">5*AH50/AG50 +AE50/AD50 - 6</f>
        <v>9.5761427323028947E-2</v>
      </c>
      <c r="AR50" s="8">
        <f t="shared" si="49"/>
        <v>3.956490620137304E-2</v>
      </c>
      <c r="AS50" s="8">
        <f t="shared" ref="AS50:AS57" si="96">(AH50-AG50)/(AH50+AG50)</f>
        <v>7.1954113633581358E-3</v>
      </c>
      <c r="AT50" s="8">
        <f t="shared" ref="AT50:AT57" si="97">(AE50-AD50)/(AE50+AD50)</f>
        <v>1.1508913690096647E-2</v>
      </c>
      <c r="AW50" s="4">
        <v>0.1744</v>
      </c>
      <c r="AX50" s="4">
        <v>0.31159999999999999</v>
      </c>
      <c r="AY50" s="7">
        <v>1</v>
      </c>
      <c r="AZ50" s="7">
        <v>0</v>
      </c>
      <c r="BA50" s="7">
        <v>2</v>
      </c>
      <c r="BB50" s="7">
        <v>0</v>
      </c>
      <c r="BC50" s="7">
        <v>1</v>
      </c>
      <c r="BD50" s="7">
        <v>0</v>
      </c>
    </row>
    <row r="51" spans="1:63">
      <c r="A51" t="s">
        <v>226</v>
      </c>
      <c r="G51" s="57">
        <v>9</v>
      </c>
      <c r="I51">
        <v>188</v>
      </c>
      <c r="J51">
        <v>278</v>
      </c>
      <c r="K51">
        <v>195.7</v>
      </c>
      <c r="L51">
        <v>64</v>
      </c>
      <c r="M51">
        <v>68.3</v>
      </c>
      <c r="N51">
        <v>71.3</v>
      </c>
      <c r="O51">
        <v>61</v>
      </c>
      <c r="P51">
        <v>71.400000000000006</v>
      </c>
      <c r="Q51">
        <v>74</v>
      </c>
      <c r="R51">
        <v>3.9</v>
      </c>
      <c r="S51">
        <v>2.6</v>
      </c>
      <c r="T51">
        <v>2.5</v>
      </c>
      <c r="U51">
        <v>4.0999999999999996</v>
      </c>
      <c r="V51">
        <f t="shared" si="74"/>
        <v>13360.06</v>
      </c>
      <c r="W51">
        <f t="shared" si="75"/>
        <v>5047.7</v>
      </c>
      <c r="X51">
        <f t="shared" si="76"/>
        <v>-584.7299999999999</v>
      </c>
      <c r="Y51">
        <f t="shared" si="77"/>
        <v>4866.87</v>
      </c>
      <c r="Z51">
        <f t="shared" si="78"/>
        <v>-102.95999999999995</v>
      </c>
      <c r="AA51">
        <f t="shared" si="79"/>
        <v>3310382.7880000002</v>
      </c>
      <c r="AB51">
        <f t="shared" si="80"/>
        <v>7697743.419999999</v>
      </c>
      <c r="AC51">
        <f t="shared" si="81"/>
        <v>525052246.17159992</v>
      </c>
      <c r="AD51" s="7">
        <f t="shared" si="82"/>
        <v>116.3626410651719</v>
      </c>
      <c r="AE51" s="7">
        <f t="shared" si="83"/>
        <v>119.38888888888889</v>
      </c>
      <c r="AF51" s="7">
        <f t="shared" si="84"/>
        <v>117.8757649770304</v>
      </c>
      <c r="AG51" s="7">
        <f t="shared" si="85"/>
        <v>69.193568517881658</v>
      </c>
      <c r="AH51" s="7">
        <f t="shared" si="86"/>
        <v>71.073333333333323</v>
      </c>
      <c r="AI51" s="7">
        <f t="shared" si="87"/>
        <v>70.133450925607491</v>
      </c>
      <c r="AJ51" s="4">
        <f t="shared" si="88"/>
        <v>1.680735275696964</v>
      </c>
      <c r="AK51" s="4">
        <f t="shared" si="89"/>
        <v>0.2517462921778359</v>
      </c>
      <c r="AL51" s="4">
        <f t="shared" si="90"/>
        <v>175.57857430753074</v>
      </c>
      <c r="AM51" s="4" t="e">
        <f t="shared" si="91"/>
        <v>#DIV/0!</v>
      </c>
      <c r="AN51" s="4" t="e">
        <f t="shared" si="92"/>
        <v>#DIV/0!</v>
      </c>
      <c r="AO51" s="4" t="e">
        <f t="shared" si="93"/>
        <v>#DIV/0!</v>
      </c>
      <c r="AP51" s="4" t="e">
        <f t="shared" si="94"/>
        <v>#DIV/0!</v>
      </c>
      <c r="AQ51" s="4">
        <f t="shared" si="95"/>
        <v>0.16184082132673261</v>
      </c>
      <c r="AR51" s="8">
        <f t="shared" si="49"/>
        <v>6.5203798356955098E-2</v>
      </c>
      <c r="AS51" s="8">
        <f t="shared" si="96"/>
        <v>1.3401342659194E-2</v>
      </c>
      <c r="AT51" s="8">
        <f t="shared" si="97"/>
        <v>1.2836598873002814E-2</v>
      </c>
      <c r="AW51" s="4"/>
      <c r="AX51" s="4"/>
    </row>
    <row r="52" spans="1:63">
      <c r="A52" t="s">
        <v>227</v>
      </c>
      <c r="B52" t="s">
        <v>4</v>
      </c>
      <c r="C52" t="s">
        <v>454</v>
      </c>
      <c r="E52" s="57" t="s">
        <v>25</v>
      </c>
      <c r="F52" s="57">
        <v>2</v>
      </c>
      <c r="G52" s="57">
        <v>9</v>
      </c>
      <c r="H52">
        <v>3.2610000000000001</v>
      </c>
      <c r="I52">
        <v>212</v>
      </c>
      <c r="J52">
        <v>296</v>
      </c>
      <c r="K52">
        <v>191</v>
      </c>
      <c r="L52">
        <v>72</v>
      </c>
      <c r="M52">
        <v>65</v>
      </c>
      <c r="N52">
        <v>74.3</v>
      </c>
      <c r="O52">
        <v>66</v>
      </c>
      <c r="P52">
        <v>80</v>
      </c>
      <c r="Q52">
        <v>72</v>
      </c>
      <c r="R52">
        <v>-0.3</v>
      </c>
      <c r="S52">
        <v>1</v>
      </c>
      <c r="T52">
        <v>2</v>
      </c>
      <c r="U52">
        <v>-0.6</v>
      </c>
      <c r="V52">
        <f t="shared" si="74"/>
        <v>12411</v>
      </c>
      <c r="W52">
        <f t="shared" si="75"/>
        <v>4678</v>
      </c>
      <c r="X52">
        <f t="shared" si="76"/>
        <v>217.3</v>
      </c>
      <c r="Y52">
        <f t="shared" si="77"/>
        <v>5200.6000000000004</v>
      </c>
      <c r="Z52">
        <f t="shared" si="78"/>
        <v>101.6</v>
      </c>
      <c r="AA52">
        <f t="shared" si="79"/>
        <v>3795414.7600000002</v>
      </c>
      <c r="AB52">
        <f t="shared" si="80"/>
        <v>8920548</v>
      </c>
      <c r="AC52">
        <f t="shared" si="81"/>
        <v>579576437.12</v>
      </c>
      <c r="AD52" s="7">
        <f t="shared" si="82"/>
        <v>123.3276352103163</v>
      </c>
      <c r="AE52" s="7">
        <f t="shared" si="83"/>
        <v>126.11111111111111</v>
      </c>
      <c r="AF52" s="7">
        <f t="shared" si="84"/>
        <v>124.7193731607137</v>
      </c>
      <c r="AG52" s="7">
        <f t="shared" si="85"/>
        <v>71.848316333578367</v>
      </c>
      <c r="AH52" s="7">
        <f t="shared" si="86"/>
        <v>74.326666666666668</v>
      </c>
      <c r="AI52" s="7">
        <f t="shared" si="87"/>
        <v>73.087491500122525</v>
      </c>
      <c r="AJ52" s="4">
        <f t="shared" si="88"/>
        <v>1.7064393728782525</v>
      </c>
      <c r="AK52" s="4">
        <f t="shared" si="89"/>
        <v>0.25487464927960707</v>
      </c>
      <c r="AL52" s="4">
        <f t="shared" si="90"/>
        <v>183.43128052588503</v>
      </c>
      <c r="AM52" s="4">
        <f t="shared" si="91"/>
        <v>8.2540421890498639</v>
      </c>
      <c r="AN52" s="4">
        <f t="shared" si="92"/>
        <v>6.1843144006565476</v>
      </c>
      <c r="AO52" s="4">
        <f t="shared" si="93"/>
        <v>4.7341948512218348</v>
      </c>
      <c r="AP52" s="4">
        <f t="shared" si="94"/>
        <v>1.3346737656438663</v>
      </c>
      <c r="AQ52" s="4">
        <f t="shared" si="95"/>
        <v>0.19504077599551461</v>
      </c>
      <c r="AR52" s="8">
        <f t="shared" si="49"/>
        <v>7.9047183919622219E-2</v>
      </c>
      <c r="AS52" s="8">
        <f t="shared" si="96"/>
        <v>1.6954681862929623E-2</v>
      </c>
      <c r="AT52" s="8">
        <f t="shared" si="97"/>
        <v>1.1158955622748433E-2</v>
      </c>
      <c r="AW52" s="4">
        <v>0.1333</v>
      </c>
      <c r="AX52" s="4">
        <v>0.37080000000000002</v>
      </c>
      <c r="AY52" s="7">
        <v>1</v>
      </c>
      <c r="AZ52" s="7">
        <v>0</v>
      </c>
      <c r="BA52" s="7">
        <v>0</v>
      </c>
      <c r="BB52" s="7">
        <v>0</v>
      </c>
      <c r="BC52" s="7">
        <v>1</v>
      </c>
      <c r="BD52" s="7">
        <v>0</v>
      </c>
    </row>
    <row r="53" spans="1:63">
      <c r="A53" t="s">
        <v>229</v>
      </c>
      <c r="B53" t="s">
        <v>228</v>
      </c>
      <c r="C53" t="s">
        <v>240</v>
      </c>
      <c r="E53" s="57" t="s">
        <v>25</v>
      </c>
      <c r="F53" s="57">
        <v>2</v>
      </c>
      <c r="G53" s="57">
        <v>9</v>
      </c>
      <c r="H53">
        <v>2.911</v>
      </c>
      <c r="I53">
        <v>160.80000000000001</v>
      </c>
      <c r="J53">
        <v>230.4</v>
      </c>
      <c r="K53">
        <v>231.6</v>
      </c>
      <c r="L53">
        <v>67.8</v>
      </c>
      <c r="M53">
        <v>73.3</v>
      </c>
      <c r="N53">
        <v>58.8</v>
      </c>
      <c r="O53">
        <v>82.1</v>
      </c>
      <c r="P53">
        <v>102.9</v>
      </c>
      <c r="Q53">
        <v>35.6</v>
      </c>
      <c r="R53">
        <v>-36.200000000000003</v>
      </c>
      <c r="S53">
        <v>2.6</v>
      </c>
      <c r="T53">
        <v>-39.299999999999997</v>
      </c>
      <c r="U53">
        <v>9.9</v>
      </c>
      <c r="V53">
        <f t="shared" si="74"/>
        <v>15431.789999999999</v>
      </c>
      <c r="W53">
        <f t="shared" si="75"/>
        <v>2711.66</v>
      </c>
      <c r="X53">
        <f t="shared" si="76"/>
        <v>4339.9500000000007</v>
      </c>
      <c r="Y53">
        <f t="shared" si="77"/>
        <v>6119.91</v>
      </c>
      <c r="Z53">
        <f t="shared" si="78"/>
        <v>1556.2600000000002</v>
      </c>
      <c r="AA53">
        <f t="shared" si="79"/>
        <v>1897899.6910000006</v>
      </c>
      <c r="AB53">
        <f t="shared" si="80"/>
        <v>4977454.8120000008</v>
      </c>
      <c r="AC53">
        <f t="shared" si="81"/>
        <v>306399898.99810004</v>
      </c>
      <c r="AD53" s="7">
        <f t="shared" si="82"/>
        <v>109.05886343472842</v>
      </c>
      <c r="AE53" s="7">
        <f t="shared" si="83"/>
        <v>118.22222222222223</v>
      </c>
      <c r="AF53" s="7">
        <f t="shared" si="84"/>
        <v>113.64054282847533</v>
      </c>
      <c r="AG53" s="7">
        <f t="shared" si="85"/>
        <v>56.35950935939141</v>
      </c>
      <c r="AH53" s="7">
        <f t="shared" si="86"/>
        <v>66.793333333333337</v>
      </c>
      <c r="AI53" s="7">
        <f t="shared" si="87"/>
        <v>61.576421346362373</v>
      </c>
      <c r="AJ53" s="4">
        <f t="shared" si="88"/>
        <v>1.8455204174542152</v>
      </c>
      <c r="AK53" s="4">
        <f t="shared" si="89"/>
        <v>0.27052154151269925</v>
      </c>
      <c r="AL53" s="4">
        <f t="shared" si="90"/>
        <v>156.46833953963156</v>
      </c>
      <c r="AM53" s="4">
        <f t="shared" si="91"/>
        <v>8.2001423929823751</v>
      </c>
      <c r="AN53" s="4">
        <f t="shared" si="92"/>
        <v>6.2480651166018522</v>
      </c>
      <c r="AO53" s="4">
        <f t="shared" si="93"/>
        <v>4.5992404995735257</v>
      </c>
      <c r="AP53" s="4">
        <f t="shared" si="94"/>
        <v>1.312429086437275</v>
      </c>
      <c r="AQ53" s="4">
        <f t="shared" si="95"/>
        <v>1.0096710731694456</v>
      </c>
      <c r="AR53" s="8">
        <f t="shared" si="49"/>
        <v>0.38827567570316857</v>
      </c>
      <c r="AS53" s="8">
        <f t="shared" si="96"/>
        <v>8.4722558942265519E-2</v>
      </c>
      <c r="AT53" s="8">
        <f t="shared" si="97"/>
        <v>4.0317295920192092E-2</v>
      </c>
      <c r="AW53" s="5">
        <v>-0.10829999999999999</v>
      </c>
      <c r="AX53" s="4">
        <v>0.72750000000000004</v>
      </c>
      <c r="AY53" s="7">
        <v>-11</v>
      </c>
      <c r="AZ53" s="7">
        <v>0</v>
      </c>
      <c r="BA53" s="7">
        <v>39</v>
      </c>
      <c r="BB53" s="7">
        <v>0</v>
      </c>
      <c r="BC53" s="7">
        <v>1</v>
      </c>
      <c r="BD53" s="7">
        <v>0</v>
      </c>
    </row>
    <row r="54" spans="1:63">
      <c r="A54" t="s">
        <v>220</v>
      </c>
      <c r="B54" t="s">
        <v>219</v>
      </c>
      <c r="C54" t="s">
        <v>220</v>
      </c>
      <c r="E54" s="57" t="s">
        <v>25</v>
      </c>
      <c r="F54" s="57">
        <v>2</v>
      </c>
      <c r="G54" s="57">
        <v>9</v>
      </c>
      <c r="H54">
        <v>0</v>
      </c>
      <c r="I54">
        <v>211.8</v>
      </c>
      <c r="J54">
        <v>238.7</v>
      </c>
      <c r="K54">
        <v>202</v>
      </c>
      <c r="L54">
        <v>39.1</v>
      </c>
      <c r="M54">
        <v>43.2</v>
      </c>
      <c r="N54">
        <v>77.5</v>
      </c>
      <c r="O54">
        <v>66.3</v>
      </c>
      <c r="P54">
        <v>45.2</v>
      </c>
      <c r="Q54">
        <v>45.6</v>
      </c>
      <c r="R54">
        <v>0</v>
      </c>
      <c r="S54">
        <v>-8.1999999999999993</v>
      </c>
      <c r="T54">
        <v>-14.3</v>
      </c>
      <c r="U54">
        <v>-3.4</v>
      </c>
      <c r="V54">
        <f t="shared" si="74"/>
        <v>8521.9100000000017</v>
      </c>
      <c r="W54">
        <f t="shared" si="75"/>
        <v>1852.6600000000003</v>
      </c>
      <c r="X54">
        <f t="shared" si="76"/>
        <v>-646.36000000000013</v>
      </c>
      <c r="Y54">
        <f t="shared" si="77"/>
        <v>1952.6400000000003</v>
      </c>
      <c r="Z54">
        <f t="shared" si="78"/>
        <v>-370.64</v>
      </c>
      <c r="AA54">
        <f t="shared" si="79"/>
        <v>1971677.0480000004</v>
      </c>
      <c r="AB54">
        <f t="shared" si="80"/>
        <v>8669738.3560000006</v>
      </c>
      <c r="AC54">
        <f t="shared" si="81"/>
        <v>363916057.73590004</v>
      </c>
      <c r="AD54" s="7">
        <f t="shared" si="82"/>
        <v>104.89863774850811</v>
      </c>
      <c r="AE54" s="7">
        <f t="shared" si="83"/>
        <v>107.41111111111111</v>
      </c>
      <c r="AF54" s="7">
        <f t="shared" si="84"/>
        <v>106.15487442980961</v>
      </c>
      <c r="AG54" s="7">
        <f t="shared" si="85"/>
        <v>57.418715319200246</v>
      </c>
      <c r="AH54" s="7">
        <f t="shared" si="86"/>
        <v>64.986666666666665</v>
      </c>
      <c r="AI54" s="7">
        <f t="shared" si="87"/>
        <v>61.202690992933455</v>
      </c>
      <c r="AJ54" s="4">
        <f t="shared" si="88"/>
        <v>1.7344805058010668</v>
      </c>
      <c r="AK54" s="4">
        <f t="shared" si="89"/>
        <v>0.25819873600937732</v>
      </c>
      <c r="AL54" s="4">
        <f t="shared" si="90"/>
        <v>154.01029689536273</v>
      </c>
      <c r="AM54" s="4" t="e">
        <f t="shared" si="91"/>
        <v>#DIV/0!</v>
      </c>
      <c r="AN54" s="4" t="e">
        <f t="shared" si="92"/>
        <v>#DIV/0!</v>
      </c>
      <c r="AO54" s="4" t="e">
        <f t="shared" si="93"/>
        <v>#DIV/0!</v>
      </c>
      <c r="AP54" s="4" t="e">
        <f t="shared" si="94"/>
        <v>#DIV/0!</v>
      </c>
      <c r="AQ54" s="4">
        <f t="shared" si="95"/>
        <v>0.68296577863706265</v>
      </c>
      <c r="AR54" s="8">
        <f t="shared" si="49"/>
        <v>0.27786158390808424</v>
      </c>
      <c r="AS54" s="8">
        <f t="shared" si="96"/>
        <v>6.1826949311266602E-2</v>
      </c>
      <c r="AT54" s="8">
        <f t="shared" si="97"/>
        <v>1.1833999032537453E-2</v>
      </c>
      <c r="AW54" s="4">
        <v>6.9290000000000004E-2</v>
      </c>
      <c r="AX54" s="4">
        <v>0.53580000000000005</v>
      </c>
      <c r="AY54" s="7">
        <v>21</v>
      </c>
      <c r="AZ54" s="7">
        <v>0</v>
      </c>
      <c r="BA54" s="7">
        <v>34</v>
      </c>
      <c r="BB54" s="7">
        <v>0</v>
      </c>
      <c r="BC54" s="7">
        <v>1</v>
      </c>
      <c r="BD54" s="7">
        <v>0</v>
      </c>
    </row>
    <row r="55" spans="1:63">
      <c r="A55" s="64" t="s">
        <v>572</v>
      </c>
      <c r="B55" s="34" t="s">
        <v>575</v>
      </c>
      <c r="G55" s="57">
        <v>9</v>
      </c>
      <c r="I55">
        <v>181.2</v>
      </c>
      <c r="J55">
        <v>184.7</v>
      </c>
      <c r="K55">
        <v>62.1</v>
      </c>
      <c r="L55">
        <v>13.5</v>
      </c>
      <c r="M55">
        <v>20</v>
      </c>
      <c r="N55">
        <v>67.900000000000006</v>
      </c>
      <c r="O55">
        <v>47.6</v>
      </c>
      <c r="P55">
        <v>12.2</v>
      </c>
      <c r="Q55">
        <v>12.1</v>
      </c>
      <c r="R55">
        <v>-15.7</v>
      </c>
      <c r="S55">
        <v>-4.9000000000000004</v>
      </c>
      <c r="T55">
        <v>-1.2</v>
      </c>
      <c r="U55">
        <v>-5.9</v>
      </c>
      <c r="V55">
        <f t="shared" si="74"/>
        <v>1240.56</v>
      </c>
      <c r="W55">
        <f t="shared" si="75"/>
        <v>236.12</v>
      </c>
      <c r="X55">
        <f t="shared" si="76"/>
        <v>960.33</v>
      </c>
      <c r="Y55">
        <f t="shared" si="77"/>
        <v>225.16</v>
      </c>
      <c r="Z55">
        <f t="shared" si="78"/>
        <v>130.19</v>
      </c>
      <c r="AA55">
        <f t="shared" si="79"/>
        <v>580064.14799999993</v>
      </c>
      <c r="AB55">
        <f t="shared" si="80"/>
        <v>1897669.932</v>
      </c>
      <c r="AC55">
        <f t="shared" si="81"/>
        <v>35364998.5594</v>
      </c>
      <c r="AD55" s="7">
        <f t="shared" si="82"/>
        <v>44.876898157756493</v>
      </c>
      <c r="AE55" s="7">
        <f t="shared" si="83"/>
        <v>63.533333333333331</v>
      </c>
      <c r="AF55" s="7">
        <f t="shared" si="84"/>
        <v>54.205115745544916</v>
      </c>
      <c r="AG55" s="7">
        <f t="shared" si="85"/>
        <v>26.53694585026199</v>
      </c>
      <c r="AH55" s="7">
        <f t="shared" si="86"/>
        <v>44.02</v>
      </c>
      <c r="AI55" s="7">
        <f t="shared" si="87"/>
        <v>35.278472925130998</v>
      </c>
      <c r="AJ55" s="4">
        <f t="shared" si="88"/>
        <v>1.5364926894817865</v>
      </c>
      <c r="AK55" s="4">
        <f t="shared" si="89"/>
        <v>0.23259544262453677</v>
      </c>
      <c r="AL55" s="4">
        <f t="shared" si="90"/>
        <v>86.968169900539152</v>
      </c>
      <c r="AM55" s="4" t="e">
        <f t="shared" si="91"/>
        <v>#DIV/0!</v>
      </c>
      <c r="AN55" s="4" t="e">
        <f t="shared" si="92"/>
        <v>#DIV/0!</v>
      </c>
      <c r="AO55" s="4" t="e">
        <f t="shared" si="93"/>
        <v>#DIV/0!</v>
      </c>
      <c r="AP55" s="4" t="e">
        <f t="shared" si="94"/>
        <v>#DIV/0!</v>
      </c>
      <c r="AQ55" s="4">
        <f t="shared" si="95"/>
        <v>3.7098215916253992</v>
      </c>
      <c r="AR55" s="8">
        <f t="shared" si="49"/>
        <v>1.1838799483785154</v>
      </c>
      <c r="AS55" s="8">
        <f t="shared" si="96"/>
        <v>0.24778643603481731</v>
      </c>
      <c r="AT55" s="8">
        <f t="shared" si="97"/>
        <v>0.17209109250089738</v>
      </c>
      <c r="AU55" s="7">
        <v>57.2</v>
      </c>
      <c r="AV55" s="7">
        <v>79.06</v>
      </c>
      <c r="AW55" s="4"/>
      <c r="AX55" s="4"/>
    </row>
    <row r="56" spans="1:63">
      <c r="A56" s="64" t="s">
        <v>572</v>
      </c>
      <c r="B56" t="s">
        <v>576</v>
      </c>
      <c r="G56" s="57">
        <v>9</v>
      </c>
      <c r="I56">
        <v>199.5</v>
      </c>
      <c r="J56">
        <v>201.2</v>
      </c>
      <c r="K56">
        <v>82.2</v>
      </c>
      <c r="L56">
        <v>17</v>
      </c>
      <c r="M56">
        <v>25.3</v>
      </c>
      <c r="N56">
        <v>72.400000000000006</v>
      </c>
      <c r="O56" s="6">
        <v>54.1</v>
      </c>
      <c r="P56" s="6">
        <v>25.4</v>
      </c>
      <c r="Q56" s="6">
        <v>24.4</v>
      </c>
      <c r="R56">
        <v>-13.1</v>
      </c>
      <c r="S56" s="6">
        <v>-4.5</v>
      </c>
      <c r="T56">
        <v>-2.8</v>
      </c>
      <c r="U56">
        <v>-6.4</v>
      </c>
      <c r="V56">
        <f t="shared" si="74"/>
        <v>2071.8200000000002</v>
      </c>
      <c r="W56">
        <f t="shared" si="75"/>
        <v>604.71999999999991</v>
      </c>
      <c r="X56">
        <f t="shared" si="76"/>
        <v>1005.6999999999999</v>
      </c>
      <c r="Y56">
        <f t="shared" si="77"/>
        <v>605.94000000000005</v>
      </c>
      <c r="Z56">
        <f t="shared" si="78"/>
        <v>205.33999999999997</v>
      </c>
      <c r="AA56">
        <f t="shared" si="79"/>
        <v>907932</v>
      </c>
      <c r="AB56">
        <f t="shared" si="80"/>
        <v>2877352.4180000001</v>
      </c>
      <c r="AC56">
        <f t="shared" si="81"/>
        <v>70267570.81840001</v>
      </c>
      <c r="AD56" s="7">
        <f t="shared" si="82"/>
        <v>60.645991376810265</v>
      </c>
      <c r="AE56" s="7">
        <f t="shared" si="83"/>
        <v>76.744444444444454</v>
      </c>
      <c r="AF56" s="7">
        <f t="shared" si="84"/>
        <v>68.695217910627363</v>
      </c>
      <c r="AG56" s="7">
        <f t="shared" si="85"/>
        <v>32.609387951656508</v>
      </c>
      <c r="AH56" s="7">
        <f t="shared" si="86"/>
        <v>48.206666666666671</v>
      </c>
      <c r="AI56" s="7">
        <f t="shared" si="87"/>
        <v>40.408027309161589</v>
      </c>
      <c r="AJ56" s="4">
        <f t="shared" si="88"/>
        <v>1.7000388904175063</v>
      </c>
      <c r="AK56" s="4">
        <f t="shared" si="89"/>
        <v>0.25410306378746533</v>
      </c>
      <c r="AL56" s="4">
        <f t="shared" si="90"/>
        <v>101.35166170005425</v>
      </c>
      <c r="AM56" s="4" t="e">
        <f t="shared" si="91"/>
        <v>#DIV/0!</v>
      </c>
      <c r="AN56" s="4" t="e">
        <f t="shared" si="92"/>
        <v>#DIV/0!</v>
      </c>
      <c r="AO56" s="4" t="e">
        <f t="shared" si="93"/>
        <v>#DIV/0!</v>
      </c>
      <c r="AP56" s="4" t="e">
        <f t="shared" si="94"/>
        <v>#DIV/0!</v>
      </c>
      <c r="AQ56" s="4">
        <f t="shared" si="95"/>
        <v>2.6569815449506695</v>
      </c>
      <c r="AR56" s="8">
        <f t="shared" si="49"/>
        <v>0.90522307486978038</v>
      </c>
      <c r="AS56" s="8">
        <f t="shared" si="96"/>
        <v>0.19299727991761972</v>
      </c>
      <c r="AT56" s="8">
        <f t="shared" si="97"/>
        <v>0.11717302570157295</v>
      </c>
      <c r="AU56" s="7">
        <v>47.8</v>
      </c>
      <c r="AV56" s="7">
        <v>71.790000000000006</v>
      </c>
      <c r="AW56" s="4"/>
      <c r="AX56" s="4"/>
    </row>
    <row r="57" spans="1:63">
      <c r="A57" s="64" t="s">
        <v>694</v>
      </c>
      <c r="B57" t="s">
        <v>695</v>
      </c>
      <c r="E57" s="57" t="s">
        <v>23</v>
      </c>
      <c r="F57" s="57">
        <v>2</v>
      </c>
      <c r="G57" s="57">
        <v>9</v>
      </c>
      <c r="H57">
        <v>2.54</v>
      </c>
      <c r="I57">
        <v>156.19999999999999</v>
      </c>
      <c r="J57">
        <v>169.4</v>
      </c>
      <c r="K57">
        <v>189.3</v>
      </c>
      <c r="L57">
        <v>55.9</v>
      </c>
      <c r="M57">
        <v>58.5</v>
      </c>
      <c r="N57">
        <v>74.8</v>
      </c>
      <c r="O57" s="7">
        <v>38</v>
      </c>
      <c r="P57">
        <v>26.5</v>
      </c>
      <c r="Q57">
        <v>22.9</v>
      </c>
      <c r="R57">
        <v>1.5</v>
      </c>
      <c r="S57">
        <v>1.5</v>
      </c>
      <c r="T57">
        <v>-1.9</v>
      </c>
      <c r="U57">
        <v>1.6</v>
      </c>
      <c r="V57">
        <f t="shared" si="74"/>
        <v>11070.44</v>
      </c>
      <c r="W57">
        <f t="shared" si="75"/>
        <v>1342.4999999999998</v>
      </c>
      <c r="X57">
        <f t="shared" si="76"/>
        <v>-334.30000000000007</v>
      </c>
      <c r="Y57">
        <f t="shared" si="77"/>
        <v>1553.1</v>
      </c>
      <c r="Z57">
        <f t="shared" si="78"/>
        <v>5.4000000000000057</v>
      </c>
      <c r="AA57">
        <f t="shared" si="79"/>
        <v>1462399.59</v>
      </c>
      <c r="AB57">
        <f t="shared" si="80"/>
        <v>4580828.4119999986</v>
      </c>
      <c r="AC57">
        <f t="shared" si="81"/>
        <v>267746594.99519992</v>
      </c>
      <c r="AD57" s="7">
        <f t="shared" si="82"/>
        <v>76.503556938950197</v>
      </c>
      <c r="AE57" s="7">
        <f t="shared" si="83"/>
        <v>76.63333333333334</v>
      </c>
      <c r="AF57" s="7">
        <f t="shared" si="84"/>
        <v>76.568445136141776</v>
      </c>
      <c r="AG57" s="7">
        <f t="shared" si="85"/>
        <v>64.952137934722217</v>
      </c>
      <c r="AH57" s="7">
        <f t="shared" si="86"/>
        <v>66.34</v>
      </c>
      <c r="AI57" s="7">
        <f t="shared" si="87"/>
        <v>65.646068967361117</v>
      </c>
      <c r="AJ57" s="4">
        <f t="shared" si="88"/>
        <v>1.166382790936213</v>
      </c>
      <c r="AK57" s="4">
        <f t="shared" si="89"/>
        <v>0.1666035712301682</v>
      </c>
      <c r="AL57" s="4">
        <f t="shared" si="90"/>
        <v>153.1658769890908</v>
      </c>
      <c r="AM57" s="4"/>
      <c r="AN57" s="4"/>
      <c r="AO57" s="4"/>
      <c r="AP57" s="4"/>
      <c r="AQ57" s="4">
        <f t="shared" si="95"/>
        <v>0.10853363350109824</v>
      </c>
      <c r="AR57" s="8">
        <f t="shared" si="49"/>
        <v>4.7306158907814498E-2</v>
      </c>
      <c r="AS57" s="8">
        <f t="shared" si="96"/>
        <v>1.0570793400956154E-2</v>
      </c>
      <c r="AT57" s="8">
        <f t="shared" si="97"/>
        <v>8.4745350485043182E-4</v>
      </c>
      <c r="AW57" s="4"/>
      <c r="AX57" s="4"/>
    </row>
    <row r="58" spans="1:63">
      <c r="AL58" s="4"/>
      <c r="AM58" s="4"/>
      <c r="AN58" s="4"/>
      <c r="AO58" s="4"/>
      <c r="AP58" s="4"/>
      <c r="AR58" s="8" t="e">
        <f t="shared" si="49"/>
        <v>#DIV/0!</v>
      </c>
    </row>
    <row r="59" spans="1:63">
      <c r="A59" t="s">
        <v>222</v>
      </c>
      <c r="B59" t="s">
        <v>223</v>
      </c>
      <c r="C59" t="s">
        <v>238</v>
      </c>
      <c r="E59" s="57" t="s">
        <v>25</v>
      </c>
      <c r="F59" s="57">
        <v>2</v>
      </c>
      <c r="G59" s="57">
        <v>7</v>
      </c>
      <c r="H59">
        <v>2.3170000000000002</v>
      </c>
      <c r="I59">
        <v>78.599999999999994</v>
      </c>
      <c r="J59">
        <v>62.7</v>
      </c>
      <c r="K59">
        <v>72.599999999999994</v>
      </c>
      <c r="L59">
        <v>9.1</v>
      </c>
      <c r="M59">
        <v>26.4</v>
      </c>
      <c r="N59">
        <v>10.4</v>
      </c>
      <c r="O59">
        <v>41</v>
      </c>
      <c r="P59">
        <v>26.8</v>
      </c>
      <c r="Q59">
        <v>24.2</v>
      </c>
      <c r="R59">
        <v>3.1</v>
      </c>
      <c r="S59">
        <v>-1.6</v>
      </c>
      <c r="T59">
        <v>-17.399999999999999</v>
      </c>
      <c r="U59">
        <v>-1.6</v>
      </c>
      <c r="V59">
        <f>K59*M59-T59*T59</f>
        <v>1613.8799999999997</v>
      </c>
      <c r="W59">
        <f>Q59*M59-S59*T59</f>
        <v>611.04</v>
      </c>
      <c r="X59">
        <f>P59*T59-R59*K59</f>
        <v>-691.38</v>
      </c>
      <c r="Y59">
        <f>P59*M59-R59*T59</f>
        <v>761.46</v>
      </c>
      <c r="Z59">
        <f>P59*S59-R59*Q59</f>
        <v>-117.9</v>
      </c>
      <c r="AA59">
        <f>I59*(J59*M59-S59*S59)-O59*(O59*M59-R59*S59)+R59*(O59*S59-R59*J59)+S59*(Q59*T59-S59*K59)</f>
        <v>85003.996999999988</v>
      </c>
      <c r="AB59">
        <f>I59*J59*K59-I59*Q59*Q59-J59*P59*P59-K59*O59*O59+2*O59*P59*Q59</f>
        <v>197865.14</v>
      </c>
      <c r="AC59">
        <f>2*(R59*S59*(K59*O59-P59*Q59)+R59*T59*(J59*P59-O59*Q59)+S59*T59*(I59*Q59-O59*P59))-(R59*R59*(J59*K59-Q59*Q59)+S59*S59*(I59*K59-P59*P59)+T59*T59*(I59*J59-O59*O59))+M59*AB59</f>
        <v>4137020.8698000005</v>
      </c>
      <c r="AD59" s="7">
        <f>AC59/(V59*(I59+J59-2*O59)+W59*(2*O59-2*I59-Q59)+X59*(R59-2*S59)+Y59*(2*O59+2*Q59-P59-2*J59)+2*Z59*(S59-R59)+AA59)</f>
        <v>41.319615720922833</v>
      </c>
      <c r="AE59" s="7">
        <f>(I59+J59+K59+2*(O59+P59+Q59))/9</f>
        <v>44.211111111111109</v>
      </c>
      <c r="AF59" s="7">
        <f>0.5*(AD59+AE59)</f>
        <v>42.765363416016967</v>
      </c>
      <c r="AG59" s="7">
        <f>15/(4*(V59*(I59+J59+O59)+W59*(I59-O59-Q59)+X59*(R59+S59)+Y59*(J59-O59-P59-Q59)+Z59*(R59-S59)+AA59)/AC59 +3*(AB59/AC59 +(L59+N59)/(L59*N59-U59*U59)))</f>
        <v>13.271261445000263</v>
      </c>
      <c r="AH59" s="7">
        <f>(I59+J59+K59+3*(L59+M59+N59)-(O59+P59+Q59))/15</f>
        <v>17.306666666666668</v>
      </c>
      <c r="AI59" s="7">
        <f>0.5*(AG59+AH59)</f>
        <v>15.288964055833466</v>
      </c>
      <c r="AJ59" s="4">
        <f>AF59/AI59</f>
        <v>2.7971393784328997</v>
      </c>
      <c r="AK59" s="4">
        <f>(3*AF59-2*AI59)/(2*(3*AF59+AI59))</f>
        <v>0.34027971299008808</v>
      </c>
      <c r="AL59" s="4">
        <f>9*AI59*AF59/(AI59+3*AF59)</f>
        <v>40.982976713336491</v>
      </c>
      <c r="AM59" s="4">
        <f>SQRT((AF59+4/3*AI59)/H59)</f>
        <v>5.2206657851569611</v>
      </c>
      <c r="AN59" s="4">
        <f>SQRT(AF59/H59)</f>
        <v>4.2961859115129872</v>
      </c>
      <c r="AO59" s="4">
        <f>SQRT(AI59/H59)</f>
        <v>2.5687746866004826</v>
      </c>
      <c r="AP59" s="4">
        <f>AM59/AN59</f>
        <v>1.2151861890256048</v>
      </c>
      <c r="AQ59" s="4">
        <f>5*AH59/AG59 +AE59/AD59 - 6</f>
        <v>1.590333563176026</v>
      </c>
      <c r="AR59" s="8">
        <f t="shared" si="49"/>
        <v>0.59749647991745658</v>
      </c>
      <c r="AS59" s="8">
        <f>(AH59-AG59)/(AH59+AG59)</f>
        <v>0.13197117891472532</v>
      </c>
      <c r="AT59" s="8">
        <f>(AE59-AD59)/(AE59+AD59)</f>
        <v>3.3806510213184808E-2</v>
      </c>
      <c r="AW59" s="5">
        <v>-2.5420000000000002E-2</v>
      </c>
      <c r="AX59" s="4">
        <v>0.7208</v>
      </c>
      <c r="AY59" s="12">
        <v>-4</v>
      </c>
      <c r="AZ59" s="12">
        <v>0</v>
      </c>
      <c r="BA59" s="12">
        <v>9</v>
      </c>
      <c r="BB59" s="12">
        <v>9</v>
      </c>
      <c r="BC59" s="12">
        <v>0</v>
      </c>
      <c r="BD59" s="12">
        <v>4</v>
      </c>
    </row>
    <row r="60" spans="1:63">
      <c r="A60" t="s">
        <v>222</v>
      </c>
      <c r="B60" t="s">
        <v>223</v>
      </c>
      <c r="C60" t="s">
        <v>238</v>
      </c>
      <c r="E60" s="57" t="s">
        <v>25</v>
      </c>
      <c r="F60" s="57">
        <v>2</v>
      </c>
      <c r="G60" s="57">
        <v>7</v>
      </c>
      <c r="H60">
        <v>2.3170000000000002</v>
      </c>
      <c r="I60">
        <v>94.5</v>
      </c>
      <c r="J60">
        <v>65.2</v>
      </c>
      <c r="K60">
        <v>50.2</v>
      </c>
      <c r="L60">
        <v>8.6</v>
      </c>
      <c r="M60">
        <v>32.4</v>
      </c>
      <c r="N60">
        <v>10.8</v>
      </c>
      <c r="O60">
        <v>37.9</v>
      </c>
      <c r="P60">
        <v>28.2</v>
      </c>
      <c r="Q60">
        <v>32</v>
      </c>
      <c r="R60">
        <v>-11</v>
      </c>
      <c r="S60">
        <v>6.9</v>
      </c>
      <c r="T60">
        <v>-7.5</v>
      </c>
      <c r="U60">
        <v>-1.1000000000000001</v>
      </c>
      <c r="V60">
        <f>K60*M60-T60*T60</f>
        <v>1570.23</v>
      </c>
      <c r="W60">
        <f>Q60*M60-S60*T60</f>
        <v>1088.55</v>
      </c>
      <c r="X60">
        <f>P60*T60-R60*K60</f>
        <v>340.70000000000005</v>
      </c>
      <c r="Y60">
        <f>P60*M60-R60*T60</f>
        <v>831.18</v>
      </c>
      <c r="Z60">
        <f>P60*S60-R60*Q60</f>
        <v>546.58000000000004</v>
      </c>
      <c r="AA60">
        <f>I60*(J60*M60-S60*S60)-O60*(O60*M60-R60*S60)+R60*(O60*S60-R60*J60)+S60*(Q60*T60-S60*K60)</f>
        <v>130902.08900000001</v>
      </c>
      <c r="AB60">
        <f>I60*J60*K60-I60*Q60*Q60-J60*P60*P60-K60*O60*O60+2*O60*P60*Q60</f>
        <v>156978.77000000005</v>
      </c>
      <c r="AC60">
        <f>2*(R60*S60*(K60*O60-P60*Q60)+R60*T60*(J60*P60-O60*Q60)+S60*T60*(I60*Q60-O60*P60))-(R60*R60*(J60*K60-Q60*Q60)+S60*S60*(I60*K60-P60*P60)+T60*T60*(I60*J60-O60*O60))+M60*AB60</f>
        <v>4109272.9239000008</v>
      </c>
      <c r="AD60" s="7">
        <f>AC60/(V60*(I60+J60-2*O60)+W60*(2*O60-2*I60-Q60)+X60*(R60-2*S60)+Y60*(2*O60+2*Q60-P60-2*J60)+2*Z60*(S60-R60)+AA60)</f>
        <v>41.060313763696115</v>
      </c>
      <c r="AE60" s="7">
        <f>(I60+J60+K60+2*(O60+P60+Q60))/9</f>
        <v>45.12222222222222</v>
      </c>
      <c r="AF60" s="7">
        <f>0.5*(AD60+AE60)</f>
        <v>43.091267992959168</v>
      </c>
      <c r="AG60" s="7">
        <f>15/(4*(V60*(I60+J60+O60)+W60*(I60-O60-Q60)+X60*(R60+S60)+Y60*(J60-O60-P60-Q60)+Z60*(R60-S60)+AA60)/AC60 +3*(AB60/AC60 +(L60+N60)/(L60*N60-U60*U60)))</f>
        <v>12.847950715278808</v>
      </c>
      <c r="AH60" s="7">
        <f>(I60+J60+K60+3*(L60+M60+N60)-(O60+P60+Q60))/15</f>
        <v>17.813333333333329</v>
      </c>
      <c r="AI60" s="7">
        <f>0.5*(AG60+AH60)</f>
        <v>15.330642024306069</v>
      </c>
      <c r="AJ60" s="4">
        <f>AF60/AI60</f>
        <v>2.8107934373941958</v>
      </c>
      <c r="AK60" s="4">
        <f>(3*AF60-2*AI60)/(2*(3*AF60+AI60))</f>
        <v>0.34097333330987051</v>
      </c>
      <c r="AL60" s="4">
        <f>9*AI60*AF60/(AI60+3*AF60)</f>
        <v>41.115964274228176</v>
      </c>
      <c r="AM60" s="4">
        <f>SQRT((AF60+4/3*AI60)/H60)</f>
        <v>5.2364103263081949</v>
      </c>
      <c r="AN60" s="4">
        <f>SQRT(AF60/H60)</f>
        <v>4.3125249428117396</v>
      </c>
      <c r="AO60" s="4">
        <f>SQRT(AI60/H60)</f>
        <v>2.5722735648294237</v>
      </c>
      <c r="AP60" s="4">
        <f>AM60/AN60</f>
        <v>1.2142330527354788</v>
      </c>
      <c r="AQ60" s="4">
        <f>5*AH60/AG60 +AE60/AD60 - 6</f>
        <v>2.0312890738221885</v>
      </c>
      <c r="AR60" s="8">
        <f t="shared" si="49"/>
        <v>0.73672837956083725</v>
      </c>
      <c r="AS60" s="8">
        <f>(AH60-AG60)/(AH60+AG60)</f>
        <v>0.16194307486216566</v>
      </c>
      <c r="AT60" s="8">
        <f>(AE60-AD60)/(AE60+AD60)</f>
        <v>4.7131456646736347E-2</v>
      </c>
      <c r="AW60" s="5">
        <v>-0.1206</v>
      </c>
      <c r="AX60" s="4">
        <v>0.70609999999999995</v>
      </c>
      <c r="AY60" s="12">
        <v>-9</v>
      </c>
      <c r="AZ60" s="12">
        <v>0</v>
      </c>
      <c r="BA60" s="12">
        <v>10</v>
      </c>
      <c r="BB60" s="12">
        <v>10</v>
      </c>
      <c r="BC60" s="12">
        <v>0</v>
      </c>
      <c r="BD60" s="12">
        <v>9</v>
      </c>
    </row>
    <row r="61" spans="1:63">
      <c r="U61" s="13"/>
      <c r="V61" s="13"/>
      <c r="AF61" s="13"/>
      <c r="AK61" s="13"/>
      <c r="AL61" s="13"/>
      <c r="AM61" s="13"/>
      <c r="AN61" s="13"/>
      <c r="AO61" s="13"/>
      <c r="AP61" s="13"/>
      <c r="AW61" s="13"/>
      <c r="AX61" s="13"/>
      <c r="BJ61" s="13"/>
      <c r="BK61" s="13"/>
    </row>
    <row r="62" spans="1:63">
      <c r="U62" s="13"/>
      <c r="V62" s="13"/>
      <c r="AF62" s="13"/>
      <c r="AK62" s="13"/>
      <c r="AL62" s="13"/>
      <c r="AM62" s="13"/>
      <c r="AN62" s="13"/>
      <c r="AO62" s="13"/>
      <c r="AP62" s="13"/>
      <c r="AW62" s="13"/>
      <c r="AX62" s="13"/>
      <c r="BJ62" s="13"/>
      <c r="BK62" s="13"/>
    </row>
    <row r="63" spans="1:63">
      <c r="U63" s="13"/>
      <c r="V63" s="13"/>
      <c r="AF63" s="13"/>
      <c r="AK63" s="13"/>
      <c r="AL63" s="13"/>
      <c r="AM63" s="13"/>
      <c r="AN63" s="13"/>
      <c r="AO63" s="13"/>
      <c r="AP63" s="13"/>
      <c r="AW63" s="13"/>
      <c r="AX63" s="13"/>
      <c r="BJ63" s="13"/>
      <c r="BK63" s="13"/>
    </row>
    <row r="64" spans="1:63">
      <c r="U64" s="13"/>
      <c r="V64" s="13"/>
      <c r="AF64" s="13"/>
      <c r="AK64" s="13"/>
      <c r="AL64" s="13"/>
      <c r="AM64" s="13"/>
      <c r="AN64" s="13"/>
      <c r="AO64" s="13"/>
      <c r="AP64" s="13"/>
      <c r="AW64" s="13"/>
      <c r="AX64" s="13"/>
      <c r="BJ64" s="13"/>
      <c r="BK64" s="13"/>
    </row>
    <row r="65" spans="21:63">
      <c r="U65" s="13"/>
      <c r="V65" s="13"/>
      <c r="AF65" s="13"/>
      <c r="AK65" s="13"/>
      <c r="AL65" s="13"/>
      <c r="AM65" s="13"/>
      <c r="AN65" s="13"/>
      <c r="AO65" s="13"/>
      <c r="AP65" s="13"/>
      <c r="AW65" s="13"/>
      <c r="AX65" s="13"/>
      <c r="BJ65" s="13"/>
      <c r="BK65" s="13"/>
    </row>
    <row r="66" spans="21:63">
      <c r="U66" s="13"/>
      <c r="V66" s="13"/>
      <c r="AF66" s="13"/>
      <c r="AK66" s="13"/>
      <c r="AL66" s="13"/>
      <c r="AM66" s="13"/>
      <c r="AN66" s="13"/>
      <c r="AO66" s="13"/>
      <c r="AP66" s="13"/>
      <c r="AW66" s="13"/>
      <c r="AX66" s="13"/>
      <c r="BJ66" s="13"/>
      <c r="BK66" s="13"/>
    </row>
  </sheetData>
  <phoneticPr fontId="2" type="noConversion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0"/>
  <sheetViews>
    <sheetView workbookViewId="0">
      <selection activeCell="E7" sqref="E7"/>
    </sheetView>
  </sheetViews>
  <sheetFormatPr defaultColWidth="8.83984375" defaultRowHeight="14.4"/>
  <cols>
    <col min="1" max="1" width="29.578125" customWidth="1"/>
    <col min="2" max="2" width="12.68359375" customWidth="1"/>
    <col min="7" max="7" width="113.26171875" customWidth="1"/>
  </cols>
  <sheetData>
    <row r="1" spans="1:11">
      <c r="A1" s="22" t="s">
        <v>336</v>
      </c>
      <c r="B1" s="22" t="s">
        <v>386</v>
      </c>
      <c r="C1" s="22" t="s">
        <v>701</v>
      </c>
      <c r="D1" s="22" t="s">
        <v>611</v>
      </c>
      <c r="E1" s="24" t="s">
        <v>121</v>
      </c>
      <c r="F1" s="24" t="s">
        <v>122</v>
      </c>
      <c r="G1" s="22"/>
    </row>
    <row r="2" spans="1:11">
      <c r="A2" t="s">
        <v>175</v>
      </c>
      <c r="B2" t="s">
        <v>390</v>
      </c>
      <c r="D2" t="s">
        <v>187</v>
      </c>
      <c r="E2">
        <v>120</v>
      </c>
      <c r="F2" s="10">
        <v>61</v>
      </c>
      <c r="J2" t="s">
        <v>1785</v>
      </c>
    </row>
    <row r="3" spans="1:11">
      <c r="A3" t="s">
        <v>176</v>
      </c>
      <c r="B3" t="s">
        <v>389</v>
      </c>
      <c r="D3" t="s">
        <v>187</v>
      </c>
      <c r="E3" s="10">
        <v>117.2</v>
      </c>
      <c r="F3" s="10">
        <v>72.2</v>
      </c>
    </row>
    <row r="4" spans="1:11">
      <c r="A4" t="s">
        <v>204</v>
      </c>
      <c r="B4" t="s">
        <v>390</v>
      </c>
      <c r="E4" s="10"/>
      <c r="F4" s="10"/>
      <c r="J4" t="s">
        <v>248</v>
      </c>
    </row>
    <row r="5" spans="1:11">
      <c r="A5" t="s">
        <v>204</v>
      </c>
      <c r="B5" t="s">
        <v>390</v>
      </c>
      <c r="E5" s="10"/>
      <c r="F5" s="10"/>
      <c r="J5" t="s">
        <v>259</v>
      </c>
    </row>
    <row r="6" spans="1:11">
      <c r="A6" t="s">
        <v>197</v>
      </c>
      <c r="B6" t="s">
        <v>387</v>
      </c>
      <c r="E6" s="10"/>
      <c r="F6" s="10"/>
      <c r="G6" t="s">
        <v>198</v>
      </c>
      <c r="J6" t="s">
        <v>247</v>
      </c>
    </row>
    <row r="7" spans="1:11" ht="72">
      <c r="A7" t="s">
        <v>177</v>
      </c>
      <c r="B7" t="s">
        <v>390</v>
      </c>
      <c r="D7" t="s">
        <v>187</v>
      </c>
      <c r="E7" s="10">
        <v>108</v>
      </c>
      <c r="F7" s="10">
        <v>65.099999999999994</v>
      </c>
      <c r="G7" t="s">
        <v>182</v>
      </c>
      <c r="J7" s="36" t="s">
        <v>251</v>
      </c>
      <c r="K7" s="36"/>
    </row>
    <row r="8" spans="1:11">
      <c r="A8" t="s">
        <v>178</v>
      </c>
      <c r="B8" t="s">
        <v>388</v>
      </c>
      <c r="D8" t="s">
        <v>187</v>
      </c>
      <c r="E8" s="10">
        <v>114</v>
      </c>
      <c r="F8" s="10">
        <v>64.900000000000006</v>
      </c>
      <c r="G8" t="s">
        <v>179</v>
      </c>
      <c r="J8" t="s">
        <v>256</v>
      </c>
    </row>
    <row r="9" spans="1:11">
      <c r="A9" t="s">
        <v>178</v>
      </c>
      <c r="B9" t="s">
        <v>388</v>
      </c>
      <c r="D9" t="s">
        <v>187</v>
      </c>
      <c r="E9" s="10">
        <v>95.4</v>
      </c>
      <c r="F9" s="10">
        <v>59</v>
      </c>
      <c r="G9" t="s">
        <v>181</v>
      </c>
      <c r="J9" t="s">
        <v>257</v>
      </c>
      <c r="K9" s="36"/>
    </row>
    <row r="10" spans="1:11">
      <c r="A10" t="s">
        <v>178</v>
      </c>
      <c r="B10" t="s">
        <v>388</v>
      </c>
      <c r="D10" t="s">
        <v>187</v>
      </c>
      <c r="E10" s="10">
        <v>84.8</v>
      </c>
      <c r="F10" s="10">
        <v>61.2</v>
      </c>
      <c r="G10" t="s">
        <v>458</v>
      </c>
      <c r="J10" t="s">
        <v>263</v>
      </c>
    </row>
    <row r="11" spans="1:11">
      <c r="A11" s="11" t="s">
        <v>200</v>
      </c>
      <c r="B11" s="11" t="s">
        <v>593</v>
      </c>
      <c r="C11" s="11"/>
      <c r="D11" s="11"/>
      <c r="E11" s="11"/>
      <c r="F11" s="11"/>
      <c r="G11" s="11" t="s">
        <v>199</v>
      </c>
      <c r="J11" t="s">
        <v>261</v>
      </c>
    </row>
    <row r="12" spans="1:11">
      <c r="A12" s="71" t="s">
        <v>189</v>
      </c>
      <c r="D12" t="s">
        <v>188</v>
      </c>
      <c r="E12">
        <v>123.5</v>
      </c>
      <c r="F12">
        <v>72</v>
      </c>
      <c r="J12" t="s">
        <v>253</v>
      </c>
    </row>
    <row r="13" spans="1:11">
      <c r="A13" t="s">
        <v>178</v>
      </c>
      <c r="B13" t="s">
        <v>388</v>
      </c>
      <c r="D13" t="s">
        <v>187</v>
      </c>
      <c r="E13" s="10">
        <v>106</v>
      </c>
      <c r="F13">
        <v>58</v>
      </c>
      <c r="G13" t="s">
        <v>190</v>
      </c>
      <c r="J13" t="s">
        <v>254</v>
      </c>
    </row>
    <row r="14" spans="1:11">
      <c r="A14" t="s">
        <v>175</v>
      </c>
      <c r="B14" t="s">
        <v>390</v>
      </c>
      <c r="D14" t="s">
        <v>187</v>
      </c>
      <c r="E14">
        <v>143</v>
      </c>
      <c r="F14">
        <v>85</v>
      </c>
      <c r="J14" t="s">
        <v>255</v>
      </c>
    </row>
    <row r="15" spans="1:11">
      <c r="A15" t="s">
        <v>194</v>
      </c>
      <c r="B15" t="s">
        <v>390</v>
      </c>
      <c r="D15" t="s">
        <v>187</v>
      </c>
      <c r="E15">
        <v>131</v>
      </c>
      <c r="F15">
        <v>79.2</v>
      </c>
      <c r="G15" t="s">
        <v>195</v>
      </c>
      <c r="J15" t="s">
        <v>249</v>
      </c>
    </row>
    <row r="16" spans="1:11">
      <c r="A16" t="s">
        <v>178</v>
      </c>
      <c r="B16" t="s">
        <v>388</v>
      </c>
      <c r="D16" t="s">
        <v>187</v>
      </c>
      <c r="E16" s="10">
        <v>101</v>
      </c>
      <c r="F16" s="10">
        <v>46.8</v>
      </c>
      <c r="G16" t="s">
        <v>196</v>
      </c>
      <c r="J16" t="s">
        <v>409</v>
      </c>
    </row>
    <row r="17" spans="1:7">
      <c r="E17" s="10"/>
      <c r="F17" s="10"/>
    </row>
    <row r="18" spans="1:7">
      <c r="A18" t="s">
        <v>714</v>
      </c>
      <c r="B18" t="s">
        <v>389</v>
      </c>
      <c r="C18" t="s">
        <v>968</v>
      </c>
      <c r="D18" t="s">
        <v>628</v>
      </c>
      <c r="E18" s="10"/>
      <c r="F18" s="10"/>
      <c r="G18" t="s">
        <v>967</v>
      </c>
    </row>
    <row r="19" spans="1:7">
      <c r="A19" t="s">
        <v>713</v>
      </c>
      <c r="B19" t="s">
        <v>388</v>
      </c>
      <c r="C19" t="s">
        <v>968</v>
      </c>
      <c r="D19" t="s">
        <v>628</v>
      </c>
      <c r="E19" s="10"/>
      <c r="F19" s="10"/>
      <c r="G19" t="s">
        <v>965</v>
      </c>
    </row>
    <row r="20" spans="1:7">
      <c r="A20" t="s">
        <v>714</v>
      </c>
      <c r="B20" t="s">
        <v>389</v>
      </c>
      <c r="C20" t="s">
        <v>968</v>
      </c>
      <c r="D20" t="s">
        <v>628</v>
      </c>
      <c r="E20" s="10"/>
      <c r="F20" s="10"/>
      <c r="G20" t="s">
        <v>966</v>
      </c>
    </row>
    <row r="21" spans="1:7">
      <c r="E21" s="10"/>
      <c r="F21" s="10"/>
    </row>
    <row r="22" spans="1:7">
      <c r="A22" t="s">
        <v>408</v>
      </c>
      <c r="D22" t="s">
        <v>188</v>
      </c>
      <c r="E22">
        <v>58.4</v>
      </c>
      <c r="F22">
        <v>26.8</v>
      </c>
    </row>
    <row r="23" spans="1:7">
      <c r="A23" t="s">
        <v>250</v>
      </c>
      <c r="D23" t="s">
        <v>188</v>
      </c>
      <c r="E23" s="10">
        <v>84.2</v>
      </c>
      <c r="F23" s="10">
        <v>39.9</v>
      </c>
      <c r="G23" t="s">
        <v>55</v>
      </c>
    </row>
    <row r="24" spans="1:7">
      <c r="A24" s="71" t="s">
        <v>260</v>
      </c>
      <c r="D24" t="s">
        <v>188</v>
      </c>
      <c r="E24">
        <v>74.5</v>
      </c>
      <c r="F24">
        <v>33.700000000000003</v>
      </c>
    </row>
    <row r="25" spans="1:7">
      <c r="A25" s="71" t="s">
        <v>260</v>
      </c>
      <c r="D25" t="s">
        <v>188</v>
      </c>
      <c r="E25">
        <v>55.4</v>
      </c>
      <c r="F25">
        <v>28.1</v>
      </c>
      <c r="G25" t="s">
        <v>35</v>
      </c>
    </row>
    <row r="26" spans="1:7">
      <c r="A26" s="71" t="s">
        <v>260</v>
      </c>
      <c r="D26" t="s">
        <v>188</v>
      </c>
      <c r="E26">
        <v>62</v>
      </c>
      <c r="F26">
        <v>29.3</v>
      </c>
    </row>
    <row r="27" spans="1:7">
      <c r="A27" s="71" t="s">
        <v>250</v>
      </c>
      <c r="D27" t="s">
        <v>188</v>
      </c>
      <c r="E27">
        <v>56.9</v>
      </c>
      <c r="F27">
        <v>28.6</v>
      </c>
    </row>
    <row r="28" spans="1:7">
      <c r="A28" s="71" t="s">
        <v>264</v>
      </c>
      <c r="D28" t="s">
        <v>188</v>
      </c>
      <c r="E28" s="10">
        <v>54</v>
      </c>
      <c r="F28" s="10">
        <v>27</v>
      </c>
      <c r="G28" t="s">
        <v>37</v>
      </c>
    </row>
    <row r="29" spans="1:7">
      <c r="A29" s="71" t="s">
        <v>264</v>
      </c>
      <c r="D29" t="s">
        <v>188</v>
      </c>
      <c r="E29" s="10">
        <v>47</v>
      </c>
      <c r="F29" s="10">
        <v>24</v>
      </c>
      <c r="G29" t="s">
        <v>37</v>
      </c>
    </row>
    <row r="30" spans="1:7">
      <c r="A30" s="71" t="s">
        <v>264</v>
      </c>
      <c r="D30" t="s">
        <v>188</v>
      </c>
      <c r="E30">
        <v>48</v>
      </c>
      <c r="F30">
        <v>24</v>
      </c>
      <c r="G30" t="s">
        <v>37</v>
      </c>
    </row>
    <row r="31" spans="1:7">
      <c r="A31" s="71" t="s">
        <v>264</v>
      </c>
      <c r="D31" t="s">
        <v>188</v>
      </c>
      <c r="E31">
        <v>57</v>
      </c>
      <c r="F31">
        <v>24</v>
      </c>
      <c r="G31" t="s">
        <v>37</v>
      </c>
    </row>
    <row r="32" spans="1:7">
      <c r="A32" s="71" t="s">
        <v>264</v>
      </c>
      <c r="D32" t="s">
        <v>188</v>
      </c>
      <c r="E32">
        <v>51</v>
      </c>
      <c r="F32">
        <v>25</v>
      </c>
      <c r="G32" t="s">
        <v>37</v>
      </c>
    </row>
    <row r="33" spans="1:7">
      <c r="A33" s="71" t="s">
        <v>264</v>
      </c>
      <c r="D33" t="s">
        <v>188</v>
      </c>
      <c r="E33">
        <v>53</v>
      </c>
      <c r="F33">
        <v>25</v>
      </c>
      <c r="G33" t="s">
        <v>37</v>
      </c>
    </row>
    <row r="34" spans="1:7">
      <c r="A34" s="71" t="s">
        <v>262</v>
      </c>
      <c r="D34" t="s">
        <v>188</v>
      </c>
      <c r="E34">
        <v>50.8</v>
      </c>
      <c r="F34">
        <v>29.3</v>
      </c>
      <c r="G34" t="s">
        <v>50</v>
      </c>
    </row>
    <row r="35" spans="1:7">
      <c r="A35" s="71" t="s">
        <v>262</v>
      </c>
      <c r="D35" t="s">
        <v>188</v>
      </c>
      <c r="E35">
        <v>62</v>
      </c>
      <c r="F35">
        <v>30.6</v>
      </c>
      <c r="G35" t="s">
        <v>50</v>
      </c>
    </row>
    <row r="36" spans="1:7">
      <c r="A36" s="71" t="s">
        <v>262</v>
      </c>
      <c r="D36" t="s">
        <v>188</v>
      </c>
      <c r="E36">
        <v>63</v>
      </c>
      <c r="F36">
        <v>31.4</v>
      </c>
      <c r="G36" t="s">
        <v>50</v>
      </c>
    </row>
    <row r="37" spans="1:7">
      <c r="A37" s="71" t="s">
        <v>262</v>
      </c>
      <c r="D37" t="s">
        <v>188</v>
      </c>
      <c r="E37">
        <v>70.7</v>
      </c>
      <c r="F37">
        <v>33.6</v>
      </c>
      <c r="G37" t="s">
        <v>50</v>
      </c>
    </row>
    <row r="38" spans="1:7">
      <c r="A38" s="71" t="s">
        <v>262</v>
      </c>
      <c r="D38" t="s">
        <v>188</v>
      </c>
      <c r="E38">
        <v>71.900000000000006</v>
      </c>
      <c r="F38">
        <v>34.5</v>
      </c>
      <c r="G38" t="s">
        <v>50</v>
      </c>
    </row>
    <row r="40" spans="1:7">
      <c r="A40" s="71" t="s">
        <v>410</v>
      </c>
      <c r="D40" t="s">
        <v>188</v>
      </c>
      <c r="E40">
        <v>87</v>
      </c>
      <c r="F40">
        <v>43</v>
      </c>
    </row>
    <row r="41" spans="1:7">
      <c r="A41" s="71" t="s">
        <v>411</v>
      </c>
      <c r="D41" t="s">
        <v>188</v>
      </c>
      <c r="E41" s="10">
        <v>93.3</v>
      </c>
      <c r="F41" s="10">
        <v>49.3</v>
      </c>
    </row>
    <row r="42" spans="1:7">
      <c r="A42" t="s">
        <v>727</v>
      </c>
      <c r="B42" t="s">
        <v>390</v>
      </c>
    </row>
    <row r="43" spans="1:7">
      <c r="A43" t="s">
        <v>727</v>
      </c>
      <c r="B43" t="s">
        <v>390</v>
      </c>
    </row>
    <row r="44" spans="1:7">
      <c r="A44" t="s">
        <v>82</v>
      </c>
      <c r="B44" t="s">
        <v>390</v>
      </c>
      <c r="D44" t="s">
        <v>187</v>
      </c>
      <c r="E44">
        <v>58.2</v>
      </c>
      <c r="F44">
        <v>35.299999999999997</v>
      </c>
      <c r="G44" t="s">
        <v>680</v>
      </c>
    </row>
    <row r="45" spans="1:7">
      <c r="A45" t="s">
        <v>726</v>
      </c>
      <c r="B45" t="s">
        <v>390</v>
      </c>
      <c r="D45" t="s">
        <v>628</v>
      </c>
    </row>
    <row r="46" spans="1:7">
      <c r="A46" t="s">
        <v>734</v>
      </c>
      <c r="B46" t="s">
        <v>118</v>
      </c>
      <c r="D46" t="s">
        <v>628</v>
      </c>
      <c r="G46" t="s">
        <v>681</v>
      </c>
    </row>
    <row r="47" spans="1:7">
      <c r="A47" t="s">
        <v>728</v>
      </c>
      <c r="B47" t="s">
        <v>118</v>
      </c>
      <c r="D47" t="s">
        <v>628</v>
      </c>
      <c r="G47" t="s">
        <v>583</v>
      </c>
    </row>
    <row r="48" spans="1:7">
      <c r="A48" t="s">
        <v>734</v>
      </c>
      <c r="B48" t="s">
        <v>731</v>
      </c>
    </row>
    <row r="50" spans="1:7">
      <c r="A50" t="s">
        <v>729</v>
      </c>
      <c r="B50" t="s">
        <v>390</v>
      </c>
      <c r="D50" t="s">
        <v>187</v>
      </c>
      <c r="E50">
        <v>118</v>
      </c>
      <c r="F50">
        <v>75.599999999999994</v>
      </c>
      <c r="G50" t="s">
        <v>614</v>
      </c>
    </row>
    <row r="51" spans="1:7">
      <c r="A51" t="s">
        <v>735</v>
      </c>
      <c r="B51" t="s">
        <v>390</v>
      </c>
      <c r="D51" t="s">
        <v>736</v>
      </c>
      <c r="G51" t="s">
        <v>614</v>
      </c>
    </row>
    <row r="52" spans="1:7">
      <c r="A52" t="s">
        <v>673</v>
      </c>
      <c r="B52" t="s">
        <v>390</v>
      </c>
      <c r="D52" t="s">
        <v>187</v>
      </c>
      <c r="E52">
        <v>125</v>
      </c>
      <c r="F52">
        <v>73</v>
      </c>
    </row>
    <row r="53" spans="1:7">
      <c r="A53" t="s">
        <v>730</v>
      </c>
      <c r="B53" t="s">
        <v>390</v>
      </c>
      <c r="D53" t="s">
        <v>187</v>
      </c>
      <c r="E53">
        <v>113.7</v>
      </c>
      <c r="F53" s="10">
        <v>94.7</v>
      </c>
    </row>
    <row r="54" spans="1:7">
      <c r="A54" s="71" t="s">
        <v>258</v>
      </c>
      <c r="D54" t="s">
        <v>244</v>
      </c>
      <c r="E54">
        <v>106.2</v>
      </c>
      <c r="F54">
        <v>61.2</v>
      </c>
    </row>
    <row r="55" spans="1:7">
      <c r="A55" t="s">
        <v>733</v>
      </c>
      <c r="B55" t="s">
        <v>573</v>
      </c>
      <c r="D55" t="s">
        <v>628</v>
      </c>
      <c r="G55" t="s">
        <v>577</v>
      </c>
    </row>
    <row r="56" spans="1:7">
      <c r="A56" t="s">
        <v>732</v>
      </c>
      <c r="B56" t="s">
        <v>574</v>
      </c>
      <c r="D56" t="s">
        <v>628</v>
      </c>
      <c r="G56" t="s">
        <v>578</v>
      </c>
    </row>
    <row r="57" spans="1:7">
      <c r="A57" t="s">
        <v>740</v>
      </c>
      <c r="B57" t="s">
        <v>574</v>
      </c>
      <c r="D57" t="s">
        <v>628</v>
      </c>
      <c r="G57" t="s">
        <v>696</v>
      </c>
    </row>
    <row r="59" spans="1:7">
      <c r="A59" t="s">
        <v>252</v>
      </c>
      <c r="D59" t="s">
        <v>188</v>
      </c>
      <c r="E59">
        <v>42</v>
      </c>
      <c r="F59">
        <v>15.4</v>
      </c>
    </row>
    <row r="60" spans="1:7">
      <c r="A60" t="s">
        <v>737</v>
      </c>
      <c r="D60" t="s">
        <v>188</v>
      </c>
      <c r="E60" s="10">
        <v>42.5</v>
      </c>
      <c r="F60" s="10">
        <v>15.7</v>
      </c>
    </row>
  </sheetData>
  <sortState ref="J4:J15">
    <sortCondition ref="J4:J1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9"/>
  <sheetViews>
    <sheetView topLeftCell="AF1" workbookViewId="0">
      <selection activeCell="AZ1" sqref="AZ1"/>
    </sheetView>
  </sheetViews>
  <sheetFormatPr defaultColWidth="8.83984375" defaultRowHeight="14.4"/>
  <cols>
    <col min="1" max="1" width="13.41796875" customWidth="1"/>
    <col min="2" max="2" width="16.41796875" customWidth="1"/>
    <col min="3" max="3" width="15.41796875" customWidth="1"/>
    <col min="4" max="4" width="8.83984375" customWidth="1"/>
    <col min="5" max="5" width="3.68359375" style="57" customWidth="1"/>
    <col min="6" max="7" width="4.68359375" style="57" customWidth="1"/>
    <col min="8" max="8" width="7.26171875" customWidth="1"/>
    <col min="9" max="36" width="8.83984375" customWidth="1"/>
    <col min="58" max="58" width="20.83984375" customWidth="1"/>
  </cols>
  <sheetData>
    <row r="1" spans="1:63" s="22" customFormat="1" ht="16.8">
      <c r="A1" s="22" t="s">
        <v>242</v>
      </c>
      <c r="B1" s="22" t="s">
        <v>412</v>
      </c>
      <c r="C1" s="22" t="s">
        <v>241</v>
      </c>
      <c r="D1" s="22" t="s">
        <v>610</v>
      </c>
      <c r="E1" s="22" t="s">
        <v>23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>
        <v>14</v>
      </c>
      <c r="S1" s="22">
        <v>15</v>
      </c>
      <c r="T1" s="22">
        <v>16</v>
      </c>
      <c r="U1" s="22">
        <v>24</v>
      </c>
      <c r="V1" s="22">
        <v>25</v>
      </c>
      <c r="W1" s="22">
        <v>26</v>
      </c>
      <c r="X1" s="22">
        <v>34</v>
      </c>
      <c r="Y1" s="22">
        <v>35</v>
      </c>
      <c r="Z1" s="22">
        <v>36</v>
      </c>
      <c r="AA1" s="22">
        <v>45</v>
      </c>
      <c r="AB1" s="22">
        <v>46</v>
      </c>
      <c r="AC1" s="22">
        <v>56</v>
      </c>
      <c r="AD1" s="25" t="s">
        <v>137</v>
      </c>
      <c r="AE1" s="25" t="s">
        <v>136</v>
      </c>
      <c r="AF1" s="22" t="s">
        <v>157</v>
      </c>
      <c r="AG1" s="25" t="s">
        <v>135</v>
      </c>
      <c r="AH1" s="25" t="s">
        <v>134</v>
      </c>
      <c r="AI1" s="22" t="s">
        <v>155</v>
      </c>
      <c r="AJ1" s="22" t="s">
        <v>208</v>
      </c>
      <c r="AK1" s="143" t="s">
        <v>1385</v>
      </c>
      <c r="AL1" s="143" t="s">
        <v>1384</v>
      </c>
      <c r="AM1" s="22" t="s">
        <v>166</v>
      </c>
      <c r="AN1" s="22" t="s">
        <v>167</v>
      </c>
      <c r="AO1" s="22" t="s">
        <v>168</v>
      </c>
      <c r="AP1" s="22" t="s">
        <v>169</v>
      </c>
      <c r="AQ1" s="27" t="s">
        <v>146</v>
      </c>
      <c r="AR1" s="26" t="s">
        <v>985</v>
      </c>
      <c r="AS1" s="26" t="s">
        <v>120</v>
      </c>
      <c r="AT1" s="26" t="s">
        <v>119</v>
      </c>
      <c r="AU1" s="25" t="s">
        <v>621</v>
      </c>
      <c r="AV1" s="25" t="s">
        <v>622</v>
      </c>
      <c r="AW1" s="22" t="s">
        <v>1789</v>
      </c>
      <c r="AX1" s="22" t="s">
        <v>1790</v>
      </c>
      <c r="AY1" s="25" t="s">
        <v>161</v>
      </c>
      <c r="AZ1" s="25" t="s">
        <v>162</v>
      </c>
      <c r="BA1" s="25" t="s">
        <v>163</v>
      </c>
      <c r="BB1" s="25" t="s">
        <v>161</v>
      </c>
      <c r="BC1" s="25" t="s">
        <v>162</v>
      </c>
      <c r="BD1" s="25" t="s">
        <v>163</v>
      </c>
      <c r="BK1" s="24"/>
    </row>
    <row r="2" spans="1:63">
      <c r="A2" t="s">
        <v>218</v>
      </c>
      <c r="B2" t="s">
        <v>662</v>
      </c>
      <c r="C2" t="s">
        <v>236</v>
      </c>
      <c r="D2" t="s">
        <v>660</v>
      </c>
      <c r="E2" s="57" t="s">
        <v>23</v>
      </c>
      <c r="F2" s="57">
        <v>1</v>
      </c>
      <c r="G2" s="57">
        <v>9</v>
      </c>
      <c r="H2">
        <v>2.6230000000000002</v>
      </c>
      <c r="I2">
        <v>68.3</v>
      </c>
      <c r="J2">
        <v>184.3</v>
      </c>
      <c r="K2">
        <v>180</v>
      </c>
      <c r="L2" s="7">
        <v>25</v>
      </c>
      <c r="M2">
        <v>26.9</v>
      </c>
      <c r="N2">
        <v>33.6</v>
      </c>
      <c r="O2">
        <v>32.200000000000003</v>
      </c>
      <c r="P2">
        <v>30.4</v>
      </c>
      <c r="Q2" s="7">
        <v>5</v>
      </c>
      <c r="R2">
        <v>4.9000000000000004</v>
      </c>
      <c r="S2">
        <v>-2.2999999999999998</v>
      </c>
      <c r="T2">
        <v>-0.9</v>
      </c>
      <c r="U2">
        <v>-4.4000000000000004</v>
      </c>
      <c r="V2">
        <v>-7.8</v>
      </c>
      <c r="W2">
        <v>-6.4</v>
      </c>
      <c r="X2">
        <v>-9.1999999999999993</v>
      </c>
      <c r="Y2">
        <v>7.5</v>
      </c>
      <c r="Z2">
        <v>-9.4</v>
      </c>
      <c r="AA2">
        <v>-2.4</v>
      </c>
      <c r="AB2">
        <v>-7.2</v>
      </c>
      <c r="AC2">
        <v>0.6</v>
      </c>
      <c r="AD2" s="7">
        <v>29.83</v>
      </c>
      <c r="AE2" s="7">
        <f>(I2+J2+K2+3*(L2+M2+N2)-(O2+P2+Q2))/15</f>
        <v>41.43333333333333</v>
      </c>
      <c r="AF2" s="7">
        <f>0.5*(AD2+AE2)</f>
        <v>35.631666666666661</v>
      </c>
      <c r="AG2" s="7">
        <v>54.05</v>
      </c>
      <c r="AH2" s="7">
        <f>(I2+J2+K2+2*(O2+P2+Q2))/9</f>
        <v>63.088888888888881</v>
      </c>
      <c r="AI2" s="7">
        <f t="shared" ref="AI2:AI9" si="0">0.5*(AG2+AH2)</f>
        <v>58.569444444444443</v>
      </c>
      <c r="AJ2" s="4">
        <f t="shared" ref="AJ2:AJ9" si="1">AI2/AF2</f>
        <v>1.6437469791228154</v>
      </c>
      <c r="AK2" s="4">
        <f t="shared" ref="AK2:AK9" si="2">(3*AI2-2*AF2)/(2*(3*AI2+AF2))</f>
        <v>0.2471018264408063</v>
      </c>
      <c r="AL2" s="4">
        <f>9*AF2*AI2/(AF2+3*AI2)</f>
        <v>88.872633158259987</v>
      </c>
      <c r="AM2" s="4">
        <f>SQRT((AI2+4/3*AF2)/H2)</f>
        <v>6.3593715336670762</v>
      </c>
      <c r="AN2" s="4">
        <f>SQRT(AI2/H2)</f>
        <v>4.7253763894828023</v>
      </c>
      <c r="AO2" s="4">
        <f>SQRT(AF2/H2)</f>
        <v>3.6856910085763039</v>
      </c>
      <c r="AP2" s="4">
        <f>AM2/AN2</f>
        <v>1.3457915326747372</v>
      </c>
      <c r="AQ2" s="4">
        <f t="shared" ref="AQ2:AQ9" si="3">5*AE2/AD2 +AH2/AG2 - 6</f>
        <v>2.1121420326586318</v>
      </c>
      <c r="AR2" s="8">
        <f t="shared" ref="AR2:AR19" si="4">SQRT((LN(AH2/AG2))^2+5*(LN(AE2/AD2))^2)</f>
        <v>0.75080416695929841</v>
      </c>
      <c r="AS2" s="8">
        <f t="shared" ref="AS2:AS9" si="5">(AE2-AD2)/(AE2+AD2)</f>
        <v>0.16282333130642221</v>
      </c>
      <c r="AT2" s="8">
        <f t="shared" ref="AT2:AT9" si="6">(AH2-AG2)/(AH2+AG2)</f>
        <v>7.7163860564382222E-2</v>
      </c>
      <c r="AU2" s="7">
        <v>0.38</v>
      </c>
      <c r="AV2" s="7"/>
      <c r="AW2" s="4"/>
      <c r="AX2" s="4"/>
      <c r="AY2" s="7"/>
      <c r="AZ2" s="7"/>
      <c r="BA2" s="7"/>
      <c r="BB2" s="7"/>
      <c r="BC2" s="7"/>
      <c r="BD2" s="7"/>
      <c r="BK2" s="10"/>
    </row>
    <row r="3" spans="1:63">
      <c r="A3" t="s">
        <v>661</v>
      </c>
      <c r="B3" t="s">
        <v>663</v>
      </c>
      <c r="C3" t="s">
        <v>236</v>
      </c>
      <c r="E3" s="57" t="s">
        <v>23</v>
      </c>
      <c r="F3" s="57">
        <v>1</v>
      </c>
      <c r="G3" s="57">
        <v>9</v>
      </c>
      <c r="H3">
        <v>2.653</v>
      </c>
      <c r="I3">
        <v>87.1</v>
      </c>
      <c r="J3">
        <v>174.9</v>
      </c>
      <c r="K3">
        <v>166.1</v>
      </c>
      <c r="L3">
        <v>22.9</v>
      </c>
      <c r="M3">
        <v>29</v>
      </c>
      <c r="N3">
        <v>35</v>
      </c>
      <c r="O3">
        <v>43.9</v>
      </c>
      <c r="P3">
        <v>35.4</v>
      </c>
      <c r="Q3">
        <v>18</v>
      </c>
      <c r="R3">
        <v>6.1</v>
      </c>
      <c r="S3">
        <v>-0.4</v>
      </c>
      <c r="T3">
        <v>-0.6</v>
      </c>
      <c r="U3">
        <v>-5.9</v>
      </c>
      <c r="V3">
        <v>-2.9</v>
      </c>
      <c r="W3">
        <v>-6.5</v>
      </c>
      <c r="X3">
        <v>-2.9</v>
      </c>
      <c r="Y3">
        <v>4.5999999999999996</v>
      </c>
      <c r="Z3">
        <v>-10.7</v>
      </c>
      <c r="AA3">
        <v>-1.3</v>
      </c>
      <c r="AB3">
        <v>-5.2</v>
      </c>
      <c r="AC3">
        <v>0.8</v>
      </c>
      <c r="AD3" s="7">
        <v>31.06</v>
      </c>
      <c r="AE3" s="7">
        <f t="shared" ref="AE3:AE9" si="7">(I3+J3+K3+3*(L3+M3+N3)-(O3+P3+Q3))/15</f>
        <v>39.433333333333344</v>
      </c>
      <c r="AF3" s="7">
        <f t="shared" ref="AF3:AF9" si="8">0.5*(AD3+AE3)</f>
        <v>35.24666666666667</v>
      </c>
      <c r="AG3" s="7">
        <v>64.31</v>
      </c>
      <c r="AH3" s="7">
        <f t="shared" ref="AH3:AH9" si="9">(I3+J3+K3+2*(O3+P3+Q3))/9</f>
        <v>69.188888888888897</v>
      </c>
      <c r="AI3" s="7">
        <f t="shared" si="0"/>
        <v>66.74944444444445</v>
      </c>
      <c r="AJ3" s="4">
        <f t="shared" si="1"/>
        <v>1.8937803417186809</v>
      </c>
      <c r="AK3" s="4">
        <f t="shared" si="2"/>
        <v>0.2754941718507824</v>
      </c>
      <c r="AL3" s="4">
        <f t="shared" ref="AL3:AL19" si="10">9*AF3*AI3/(AF3+3*AI3)</f>
        <v>89.913835821001157</v>
      </c>
      <c r="AM3" s="4">
        <f t="shared" ref="AM3:AM9" si="11">SQRT((AI3+4/3*AF3)/H3)</f>
        <v>6.547832067717799</v>
      </c>
      <c r="AN3" s="4">
        <f t="shared" ref="AN3:AN9" si="12">SQRT(AI3/H3)</f>
        <v>5.0159731456599053</v>
      </c>
      <c r="AO3" s="4">
        <f t="shared" ref="AO3:AO9" si="13">SQRT(AF3/H3)</f>
        <v>3.644940142415122</v>
      </c>
      <c r="AP3" s="4">
        <f t="shared" ref="AP3:AP9" si="14">AM3/AN3</f>
        <v>1.3053961569517856</v>
      </c>
      <c r="AQ3" s="4">
        <f t="shared" si="3"/>
        <v>1.4237939070592773</v>
      </c>
      <c r="AR3" s="8">
        <f t="shared" si="4"/>
        <v>0.5387146309211519</v>
      </c>
      <c r="AS3" s="8">
        <f t="shared" si="5"/>
        <v>0.11878191791185944</v>
      </c>
      <c r="AT3" s="8">
        <f t="shared" si="6"/>
        <v>3.654628835862142E-2</v>
      </c>
    </row>
    <row r="4" spans="1:63">
      <c r="A4" t="s">
        <v>661</v>
      </c>
      <c r="B4" t="s">
        <v>664</v>
      </c>
      <c r="C4" t="s">
        <v>236</v>
      </c>
      <c r="E4" s="57" t="s">
        <v>23</v>
      </c>
      <c r="F4" s="57">
        <v>1</v>
      </c>
      <c r="G4" s="57">
        <v>9</v>
      </c>
      <c r="H4">
        <v>2.6659999999999999</v>
      </c>
      <c r="I4">
        <v>96.2</v>
      </c>
      <c r="J4">
        <v>189.4</v>
      </c>
      <c r="K4">
        <v>171.9</v>
      </c>
      <c r="L4">
        <v>23.6</v>
      </c>
      <c r="M4">
        <v>33.1</v>
      </c>
      <c r="N4">
        <v>35.5</v>
      </c>
      <c r="O4">
        <v>46.1</v>
      </c>
      <c r="P4">
        <v>38.4</v>
      </c>
      <c r="Q4">
        <v>15.4</v>
      </c>
      <c r="R4">
        <v>5.9</v>
      </c>
      <c r="S4">
        <v>-0.2</v>
      </c>
      <c r="T4">
        <v>-0.4</v>
      </c>
      <c r="U4">
        <v>-7</v>
      </c>
      <c r="V4">
        <v>-5.0999999999999996</v>
      </c>
      <c r="W4">
        <v>-6.8</v>
      </c>
      <c r="X4">
        <v>2.2000000000000002</v>
      </c>
      <c r="Y4">
        <v>7.2</v>
      </c>
      <c r="Z4">
        <v>-9.8000000000000007</v>
      </c>
      <c r="AA4">
        <v>-1.1000000000000001</v>
      </c>
      <c r="AB4">
        <v>-4.8</v>
      </c>
      <c r="AC4">
        <v>1.4</v>
      </c>
      <c r="AD4" s="7">
        <v>33.6</v>
      </c>
      <c r="AE4" s="7">
        <f t="shared" si="7"/>
        <v>42.28</v>
      </c>
      <c r="AF4" s="7">
        <f t="shared" si="8"/>
        <v>37.94</v>
      </c>
      <c r="AG4" s="7">
        <v>68.81</v>
      </c>
      <c r="AH4" s="7">
        <f t="shared" si="9"/>
        <v>73.033333333333331</v>
      </c>
      <c r="AI4" s="7">
        <f t="shared" si="0"/>
        <v>70.921666666666667</v>
      </c>
      <c r="AJ4" s="4">
        <f t="shared" si="1"/>
        <v>1.8693111931119313</v>
      </c>
      <c r="AK4" s="4">
        <f t="shared" si="2"/>
        <v>0.2730001396063102</v>
      </c>
      <c r="AL4" s="4">
        <f t="shared" si="10"/>
        <v>96.595250593326824</v>
      </c>
      <c r="AM4" s="4">
        <f t="shared" si="11"/>
        <v>6.7510754146886631</v>
      </c>
      <c r="AN4" s="4">
        <f t="shared" si="12"/>
        <v>5.1577393855149589</v>
      </c>
      <c r="AO4" s="4">
        <f t="shared" si="13"/>
        <v>3.7724074229119404</v>
      </c>
      <c r="AP4" s="4">
        <f t="shared" si="14"/>
        <v>1.3089213917338365</v>
      </c>
      <c r="AQ4" s="4">
        <f t="shared" si="3"/>
        <v>1.3530434045439135</v>
      </c>
      <c r="AR4" s="8">
        <f t="shared" si="4"/>
        <v>0.51726304078301832</v>
      </c>
      <c r="AS4" s="8">
        <f t="shared" si="5"/>
        <v>0.11439114391143912</v>
      </c>
      <c r="AT4" s="8">
        <f t="shared" si="6"/>
        <v>2.9774633985852908E-2</v>
      </c>
    </row>
    <row r="5" spans="1:63">
      <c r="A5" t="s">
        <v>661</v>
      </c>
      <c r="B5" t="s">
        <v>665</v>
      </c>
      <c r="C5" t="s">
        <v>236</v>
      </c>
      <c r="E5" s="57" t="s">
        <v>23</v>
      </c>
      <c r="F5" s="57">
        <v>1</v>
      </c>
      <c r="G5" s="57">
        <v>9</v>
      </c>
      <c r="H5">
        <v>2.6829999999999998</v>
      </c>
      <c r="I5">
        <v>104.6</v>
      </c>
      <c r="J5">
        <v>201.4</v>
      </c>
      <c r="K5">
        <v>172.8</v>
      </c>
      <c r="L5">
        <v>22.9</v>
      </c>
      <c r="M5">
        <v>33</v>
      </c>
      <c r="N5">
        <v>35.6</v>
      </c>
      <c r="O5">
        <v>51.5</v>
      </c>
      <c r="P5">
        <v>43.9</v>
      </c>
      <c r="Q5">
        <v>14.5</v>
      </c>
      <c r="R5">
        <v>6.5</v>
      </c>
      <c r="S5">
        <v>0.1</v>
      </c>
      <c r="T5">
        <v>-0.8</v>
      </c>
      <c r="U5">
        <v>-2.4</v>
      </c>
      <c r="V5">
        <v>-4.8</v>
      </c>
      <c r="W5">
        <v>-9.9</v>
      </c>
      <c r="X5">
        <v>-0.4</v>
      </c>
      <c r="Y5">
        <v>6.9</v>
      </c>
      <c r="Z5">
        <v>-5.7</v>
      </c>
      <c r="AA5">
        <v>-1</v>
      </c>
      <c r="AB5">
        <v>-3.8</v>
      </c>
      <c r="AC5">
        <v>2.1</v>
      </c>
      <c r="AD5" s="7">
        <v>33.9</v>
      </c>
      <c r="AE5" s="7">
        <f t="shared" si="7"/>
        <v>42.893333333333331</v>
      </c>
      <c r="AF5" s="7">
        <f t="shared" si="8"/>
        <v>38.396666666666661</v>
      </c>
      <c r="AG5" s="7">
        <v>74.06</v>
      </c>
      <c r="AH5" s="7">
        <f t="shared" si="9"/>
        <v>77.62222222222222</v>
      </c>
      <c r="AI5" s="7">
        <f t="shared" si="0"/>
        <v>75.841111111111104</v>
      </c>
      <c r="AJ5" s="4">
        <f t="shared" si="1"/>
        <v>1.9752003935526812</v>
      </c>
      <c r="AK5" s="4">
        <f t="shared" si="2"/>
        <v>0.28341230445246696</v>
      </c>
      <c r="AL5" s="4">
        <f t="shared" si="10"/>
        <v>98.557508899919767</v>
      </c>
      <c r="AM5" s="4">
        <f t="shared" si="11"/>
        <v>6.8810419976763368</v>
      </c>
      <c r="AN5" s="4">
        <f t="shared" si="12"/>
        <v>5.3166981839524992</v>
      </c>
      <c r="AO5" s="4">
        <f t="shared" si="13"/>
        <v>3.7830007330036723</v>
      </c>
      <c r="AP5" s="4">
        <f t="shared" si="14"/>
        <v>1.2942322019417105</v>
      </c>
      <c r="AQ5" s="4">
        <f t="shared" si="3"/>
        <v>1.374549482985838</v>
      </c>
      <c r="AR5" s="8">
        <f t="shared" si="4"/>
        <v>0.52824302357437836</v>
      </c>
      <c r="AS5" s="8">
        <f t="shared" si="5"/>
        <v>0.11711086031773592</v>
      </c>
      <c r="AT5" s="8">
        <f t="shared" si="6"/>
        <v>2.3484770792739178E-2</v>
      </c>
    </row>
    <row r="6" spans="1:63">
      <c r="A6" t="s">
        <v>661</v>
      </c>
      <c r="B6" t="s">
        <v>666</v>
      </c>
      <c r="C6" t="s">
        <v>236</v>
      </c>
      <c r="E6" s="57" t="s">
        <v>23</v>
      </c>
      <c r="F6" s="57">
        <v>1</v>
      </c>
      <c r="G6" s="57">
        <v>9</v>
      </c>
      <c r="H6">
        <v>2.702</v>
      </c>
      <c r="I6">
        <v>109.3</v>
      </c>
      <c r="J6">
        <v>185.5</v>
      </c>
      <c r="K6">
        <v>164.1</v>
      </c>
      <c r="L6">
        <v>22.2</v>
      </c>
      <c r="M6">
        <v>33.1</v>
      </c>
      <c r="N6">
        <v>36.799999999999997</v>
      </c>
      <c r="O6">
        <v>53.1</v>
      </c>
      <c r="P6">
        <v>42.1</v>
      </c>
      <c r="Q6">
        <v>21.9</v>
      </c>
      <c r="R6">
        <v>7.6</v>
      </c>
      <c r="S6">
        <v>1.2</v>
      </c>
      <c r="T6">
        <v>-7.7</v>
      </c>
      <c r="U6">
        <v>-2.9</v>
      </c>
      <c r="V6">
        <v>0.7</v>
      </c>
      <c r="W6">
        <v>-6.8</v>
      </c>
      <c r="X6">
        <v>0.2</v>
      </c>
      <c r="Y6">
        <v>2.5</v>
      </c>
      <c r="Z6">
        <v>0.7</v>
      </c>
      <c r="AA6">
        <v>0.2</v>
      </c>
      <c r="AB6">
        <v>1.4</v>
      </c>
      <c r="AC6">
        <v>2.8</v>
      </c>
      <c r="AD6" s="7">
        <v>33.96</v>
      </c>
      <c r="AE6" s="7">
        <f t="shared" si="7"/>
        <v>41.206666666666663</v>
      </c>
      <c r="AF6" s="7">
        <f t="shared" si="8"/>
        <v>37.583333333333329</v>
      </c>
      <c r="AG6" s="7">
        <v>73.8</v>
      </c>
      <c r="AH6" s="7">
        <f t="shared" si="9"/>
        <v>77.011111111111106</v>
      </c>
      <c r="AI6" s="7">
        <f t="shared" si="0"/>
        <v>75.405555555555551</v>
      </c>
      <c r="AJ6" s="4">
        <f t="shared" si="1"/>
        <v>2.0063562453806356</v>
      </c>
      <c r="AK6" s="4">
        <f t="shared" si="2"/>
        <v>0.28629643669446553</v>
      </c>
      <c r="AL6" s="4">
        <f t="shared" si="10"/>
        <v>96.686615491533985</v>
      </c>
      <c r="AM6" s="4">
        <f t="shared" si="11"/>
        <v>6.8156617074381947</v>
      </c>
      <c r="AN6" s="4">
        <f t="shared" si="12"/>
        <v>5.2827371178712133</v>
      </c>
      <c r="AO6" s="4">
        <f t="shared" si="13"/>
        <v>3.729537476722657</v>
      </c>
      <c r="AP6" s="4">
        <f t="shared" si="14"/>
        <v>1.2901762013447879</v>
      </c>
      <c r="AQ6" s="4">
        <f t="shared" si="3"/>
        <v>1.110452490469152</v>
      </c>
      <c r="AR6" s="8">
        <f t="shared" si="4"/>
        <v>0.43458495072547704</v>
      </c>
      <c r="AS6" s="8">
        <f t="shared" si="5"/>
        <v>9.6407982261640754E-2</v>
      </c>
      <c r="AT6" s="8">
        <f t="shared" si="6"/>
        <v>2.1292271421203844E-2</v>
      </c>
    </row>
    <row r="7" spans="1:63">
      <c r="A7" t="s">
        <v>661</v>
      </c>
      <c r="B7" t="s">
        <v>974</v>
      </c>
      <c r="C7" t="s">
        <v>236</v>
      </c>
      <c r="E7" s="57" t="s">
        <v>23</v>
      </c>
      <c r="F7" s="57">
        <v>1</v>
      </c>
      <c r="G7" s="57">
        <v>9</v>
      </c>
      <c r="H7" s="6">
        <v>2.7210000000000001</v>
      </c>
      <c r="I7" s="6">
        <v>120.3</v>
      </c>
      <c r="J7" s="6">
        <v>193.5</v>
      </c>
      <c r="K7" s="6">
        <v>171.9</v>
      </c>
      <c r="L7" s="19">
        <v>24</v>
      </c>
      <c r="M7" s="6">
        <v>35.5</v>
      </c>
      <c r="N7" s="6">
        <v>37.299999999999997</v>
      </c>
      <c r="O7" s="6">
        <v>54.4</v>
      </c>
      <c r="P7" s="6">
        <v>40.799999999999997</v>
      </c>
      <c r="Q7" s="6">
        <v>16.100000000000001</v>
      </c>
      <c r="R7" s="6">
        <v>9.1999999999999993</v>
      </c>
      <c r="S7" s="6">
        <v>2.2999999999999998</v>
      </c>
      <c r="T7" s="6">
        <v>-10.1</v>
      </c>
      <c r="U7" s="6">
        <v>0.9</v>
      </c>
      <c r="V7" s="6">
        <v>3.1</v>
      </c>
      <c r="W7" s="6">
        <v>-2.9</v>
      </c>
      <c r="X7" s="6">
        <v>-0.9</v>
      </c>
      <c r="Y7" s="6">
        <v>2.2000000000000002</v>
      </c>
      <c r="Z7" s="6">
        <v>-0.3</v>
      </c>
      <c r="AA7" s="6">
        <v>0.7</v>
      </c>
      <c r="AB7" s="6">
        <v>0.3</v>
      </c>
      <c r="AC7" s="6">
        <v>3.2</v>
      </c>
      <c r="AD7" s="19">
        <v>36.4</v>
      </c>
      <c r="AE7" s="19">
        <f t="shared" si="7"/>
        <v>44.320000000000007</v>
      </c>
      <c r="AF7" s="19">
        <f t="shared" si="8"/>
        <v>40.36</v>
      </c>
      <c r="AG7" s="19">
        <v>75.8</v>
      </c>
      <c r="AH7" s="19">
        <f t="shared" si="9"/>
        <v>78.699999999999989</v>
      </c>
      <c r="AI7" s="7">
        <f t="shared" si="0"/>
        <v>77.25</v>
      </c>
      <c r="AJ7" s="4">
        <f t="shared" si="1"/>
        <v>1.91402378592666</v>
      </c>
      <c r="AK7" s="4">
        <f t="shared" si="2"/>
        <v>0.27751644555510641</v>
      </c>
      <c r="AL7" s="4">
        <f t="shared" si="10"/>
        <v>103.12112748520819</v>
      </c>
      <c r="AM7" s="4">
        <f t="shared" si="11"/>
        <v>6.9402694788145114</v>
      </c>
      <c r="AN7" s="4">
        <f t="shared" si="12"/>
        <v>5.3282546565150914</v>
      </c>
      <c r="AO7" s="4">
        <f t="shared" si="13"/>
        <v>3.8513351016780044</v>
      </c>
      <c r="AP7" s="4">
        <f t="shared" si="14"/>
        <v>1.3025408743045601</v>
      </c>
      <c r="AQ7" s="4">
        <f t="shared" si="3"/>
        <v>1.1261706631099777</v>
      </c>
      <c r="AR7" s="8">
        <f t="shared" si="4"/>
        <v>0.44180677039715305</v>
      </c>
      <c r="AS7" s="8">
        <f t="shared" si="5"/>
        <v>9.8116947472745408E-2</v>
      </c>
      <c r="AT7" s="8">
        <f t="shared" si="6"/>
        <v>1.8770226537216772E-2</v>
      </c>
    </row>
    <row r="8" spans="1:63">
      <c r="A8" t="s">
        <v>661</v>
      </c>
      <c r="B8" t="s">
        <v>667</v>
      </c>
      <c r="C8" t="s">
        <v>236</v>
      </c>
      <c r="E8" s="57" t="s">
        <v>23</v>
      </c>
      <c r="F8" s="57">
        <v>1</v>
      </c>
      <c r="G8" s="57">
        <v>9</v>
      </c>
      <c r="H8">
        <v>2.7250000000000001</v>
      </c>
      <c r="I8">
        <v>120.4</v>
      </c>
      <c r="J8">
        <v>191.6</v>
      </c>
      <c r="K8">
        <v>163.69999999999999</v>
      </c>
      <c r="L8">
        <v>23.3</v>
      </c>
      <c r="M8">
        <v>32.799999999999997</v>
      </c>
      <c r="N8">
        <v>35</v>
      </c>
      <c r="O8">
        <v>56.6</v>
      </c>
      <c r="P8">
        <v>49.9</v>
      </c>
      <c r="Q8">
        <v>26.3</v>
      </c>
      <c r="R8">
        <v>9</v>
      </c>
      <c r="S8">
        <v>3.2</v>
      </c>
      <c r="T8">
        <v>-3</v>
      </c>
      <c r="U8">
        <v>2.1</v>
      </c>
      <c r="V8">
        <v>5.4</v>
      </c>
      <c r="W8">
        <v>-9.9</v>
      </c>
      <c r="X8">
        <v>1.7</v>
      </c>
      <c r="Y8">
        <v>1.7</v>
      </c>
      <c r="Z8">
        <v>-8.1</v>
      </c>
      <c r="AA8">
        <v>0.8</v>
      </c>
      <c r="AB8">
        <v>0.9</v>
      </c>
      <c r="AC8">
        <v>4.5</v>
      </c>
      <c r="AD8" s="7">
        <v>34.299999999999997</v>
      </c>
      <c r="AE8" s="7">
        <f t="shared" si="7"/>
        <v>41.080000000000005</v>
      </c>
      <c r="AF8" s="7">
        <f t="shared" si="8"/>
        <v>37.69</v>
      </c>
      <c r="AG8" s="7">
        <v>78.34</v>
      </c>
      <c r="AH8" s="7">
        <f t="shared" si="9"/>
        <v>82.36666666666666</v>
      </c>
      <c r="AI8" s="7">
        <f t="shared" si="0"/>
        <v>80.353333333333325</v>
      </c>
      <c r="AJ8" s="4">
        <f t="shared" si="1"/>
        <v>2.1319536570266204</v>
      </c>
      <c r="AK8" s="4">
        <f t="shared" si="2"/>
        <v>0.29718385650224211</v>
      </c>
      <c r="AL8" s="4">
        <f t="shared" si="10"/>
        <v>97.781719103138997</v>
      </c>
      <c r="AM8" s="4">
        <f t="shared" si="11"/>
        <v>6.9230811050981904</v>
      </c>
      <c r="AN8" s="4">
        <f t="shared" si="12"/>
        <v>5.430235885640724</v>
      </c>
      <c r="AO8" s="4">
        <f t="shared" si="13"/>
        <v>3.719031145412802</v>
      </c>
      <c r="AP8" s="4">
        <f t="shared" si="14"/>
        <v>1.2749135122113251</v>
      </c>
      <c r="AQ8" s="4">
        <f t="shared" si="3"/>
        <v>1.0397380732810291</v>
      </c>
      <c r="AR8" s="8">
        <f t="shared" si="4"/>
        <v>0.4064355142080332</v>
      </c>
      <c r="AS8" s="8">
        <f t="shared" si="5"/>
        <v>8.9944282302998252E-2</v>
      </c>
      <c r="AT8" s="8">
        <f t="shared" si="6"/>
        <v>2.505600265494062E-2</v>
      </c>
    </row>
    <row r="9" spans="1:63">
      <c r="A9" t="s">
        <v>661</v>
      </c>
      <c r="B9" t="s">
        <v>668</v>
      </c>
      <c r="C9" t="s">
        <v>236</v>
      </c>
      <c r="E9" s="57" t="s">
        <v>23</v>
      </c>
      <c r="F9" s="57">
        <v>1</v>
      </c>
      <c r="G9" s="57">
        <v>9</v>
      </c>
      <c r="H9">
        <v>2.7570000000000001</v>
      </c>
      <c r="I9">
        <v>132.19999999999999</v>
      </c>
      <c r="J9">
        <v>200.2</v>
      </c>
      <c r="K9">
        <v>163.9</v>
      </c>
      <c r="L9">
        <v>24.6</v>
      </c>
      <c r="M9">
        <v>36.6</v>
      </c>
      <c r="N9">
        <v>36</v>
      </c>
      <c r="O9">
        <v>64</v>
      </c>
      <c r="P9">
        <v>55.3</v>
      </c>
      <c r="Q9">
        <v>31.9</v>
      </c>
      <c r="R9">
        <v>9.5</v>
      </c>
      <c r="S9">
        <v>5.0999999999999996</v>
      </c>
      <c r="T9">
        <v>-10.8</v>
      </c>
      <c r="U9">
        <v>7.5</v>
      </c>
      <c r="V9">
        <v>3.5</v>
      </c>
      <c r="W9">
        <v>-7.2</v>
      </c>
      <c r="X9">
        <v>6.6</v>
      </c>
      <c r="Y9">
        <v>0.5</v>
      </c>
      <c r="Z9">
        <v>1.6</v>
      </c>
      <c r="AA9">
        <v>3</v>
      </c>
      <c r="AB9">
        <v>-2.2000000000000002</v>
      </c>
      <c r="AC9">
        <v>5.2</v>
      </c>
      <c r="AD9" s="7">
        <v>35.700000000000003</v>
      </c>
      <c r="AE9" s="7">
        <f t="shared" si="7"/>
        <v>42.446666666666673</v>
      </c>
      <c r="AF9" s="7">
        <f t="shared" si="8"/>
        <v>39.073333333333338</v>
      </c>
      <c r="AG9" s="7">
        <v>84.1</v>
      </c>
      <c r="AH9" s="7">
        <f t="shared" si="9"/>
        <v>88.74444444444444</v>
      </c>
      <c r="AI9" s="7">
        <f t="shared" si="0"/>
        <v>86.422222222222217</v>
      </c>
      <c r="AJ9" s="4">
        <f t="shared" si="1"/>
        <v>2.2117954842745831</v>
      </c>
      <c r="AK9" s="4">
        <f t="shared" si="2"/>
        <v>0.30354628946839174</v>
      </c>
      <c r="AL9" s="4">
        <f t="shared" si="10"/>
        <v>101.86779736765661</v>
      </c>
      <c r="AM9" s="4">
        <f t="shared" si="11"/>
        <v>7.0882309339454785</v>
      </c>
      <c r="AN9" s="4">
        <f t="shared" si="12"/>
        <v>5.5987919775273873</v>
      </c>
      <c r="AO9" s="4">
        <f t="shared" si="13"/>
        <v>3.7646260935167821</v>
      </c>
      <c r="AP9" s="4">
        <f t="shared" si="14"/>
        <v>1.266028629460864</v>
      </c>
      <c r="AQ9" s="4">
        <f t="shared" si="3"/>
        <v>1.0001365587852264</v>
      </c>
      <c r="AR9" s="8">
        <f t="shared" si="4"/>
        <v>0.39077305998309431</v>
      </c>
      <c r="AS9" s="8">
        <f t="shared" si="5"/>
        <v>8.6333390206449437E-2</v>
      </c>
      <c r="AT9" s="8">
        <f t="shared" si="6"/>
        <v>2.6870660838261774E-2</v>
      </c>
    </row>
    <row r="10" spans="1:63">
      <c r="AD10" s="7"/>
      <c r="AE10" s="7"/>
      <c r="AF10" s="7"/>
      <c r="AG10" s="7"/>
      <c r="AH10" s="7"/>
      <c r="AI10" s="7"/>
      <c r="AJ10" s="4"/>
      <c r="AK10" s="4"/>
      <c r="AL10" s="4"/>
      <c r="AM10" s="4"/>
      <c r="AN10" s="4"/>
      <c r="AO10" s="4"/>
      <c r="AP10" s="4"/>
      <c r="AQ10" s="4"/>
      <c r="AR10" s="8" t="e">
        <f t="shared" si="4"/>
        <v>#DIV/0!</v>
      </c>
      <c r="AS10" s="8"/>
      <c r="AT10" s="8"/>
    </row>
    <row r="11" spans="1:63">
      <c r="A11" s="66" t="s">
        <v>661</v>
      </c>
      <c r="B11" t="s">
        <v>690</v>
      </c>
      <c r="C11" t="s">
        <v>236</v>
      </c>
      <c r="E11" s="57" t="s">
        <v>23</v>
      </c>
      <c r="F11" s="57">
        <v>1</v>
      </c>
      <c r="G11" s="57">
        <v>9</v>
      </c>
      <c r="H11">
        <v>2.62</v>
      </c>
      <c r="I11">
        <v>63.6</v>
      </c>
      <c r="J11">
        <v>159.19999999999999</v>
      </c>
      <c r="K11">
        <v>165.7</v>
      </c>
      <c r="L11">
        <v>28.3</v>
      </c>
      <c r="M11">
        <v>22.8</v>
      </c>
      <c r="N11">
        <v>34.200000000000003</v>
      </c>
      <c r="O11">
        <v>31.8</v>
      </c>
      <c r="P11">
        <v>26.8</v>
      </c>
      <c r="Q11">
        <v>14.9</v>
      </c>
      <c r="R11">
        <v>5.0999999999999996</v>
      </c>
      <c r="S11">
        <v>-3.7</v>
      </c>
      <c r="T11">
        <v>-0.6</v>
      </c>
      <c r="U11">
        <v>-10.4</v>
      </c>
      <c r="V11">
        <v>-6.6</v>
      </c>
      <c r="W11">
        <v>-5</v>
      </c>
      <c r="X11">
        <v>3.9</v>
      </c>
      <c r="Y11" s="7">
        <v>7</v>
      </c>
      <c r="Z11">
        <v>-8.6999999999999993</v>
      </c>
      <c r="AA11">
        <v>-1.4</v>
      </c>
      <c r="AB11" s="7">
        <v>-5</v>
      </c>
      <c r="AC11">
        <v>0.1</v>
      </c>
      <c r="AD11" s="7">
        <v>29.56</v>
      </c>
      <c r="AE11" s="7">
        <f>(I11+J11+K11+3*(L11+M11+N11)-(O11+P11+Q11))/15</f>
        <v>38.060000000000009</v>
      </c>
      <c r="AF11" s="7">
        <f>0.5*(AD11+AE11)</f>
        <v>33.81</v>
      </c>
      <c r="AG11" s="7">
        <v>50.5</v>
      </c>
      <c r="AH11" s="7">
        <f>(I11+J11+K11+2*(O11+P11+Q11))/9</f>
        <v>59.5</v>
      </c>
      <c r="AI11" s="7">
        <f>0.5*(AG11+AH11)</f>
        <v>55</v>
      </c>
      <c r="AJ11" s="4">
        <f>AI11/AF11</f>
        <v>1.6267376515823719</v>
      </c>
      <c r="AK11" s="4">
        <f>(3*AI11-2*AF11)/(2*(3*AI11+AF11))</f>
        <v>0.24490719782707107</v>
      </c>
      <c r="AL11" s="4">
        <f t="shared" si="10"/>
        <v>84.18062471706655</v>
      </c>
      <c r="AM11" s="4">
        <f>SQRT((AI11+4/3*AF11)/H11)</f>
        <v>6.180491346360963</v>
      </c>
      <c r="AN11" s="4">
        <f>SQRT(AI11/H11)</f>
        <v>4.5817427265412602</v>
      </c>
      <c r="AO11" s="4">
        <f>SQRT(AF11/H11)</f>
        <v>3.5922945526044709</v>
      </c>
      <c r="AP11" s="4">
        <f>AM11/AN11</f>
        <v>1.3489389769876039</v>
      </c>
      <c r="AQ11" s="4">
        <f>5*AE11/AD11 +AH11/AG11 - 6</f>
        <v>1.615971543027106</v>
      </c>
      <c r="AR11" s="8">
        <f t="shared" si="4"/>
        <v>0.58846323342558515</v>
      </c>
      <c r="AS11" s="8">
        <f>(AE11-AD11)/(AE11+AD11)</f>
        <v>0.12570245489500162</v>
      </c>
      <c r="AT11" s="8">
        <f>(AH11-AG11)/(AH11+AG11)</f>
        <v>8.1818181818181818E-2</v>
      </c>
      <c r="AU11">
        <v>0.49</v>
      </c>
    </row>
    <row r="12" spans="1:63">
      <c r="A12" s="66" t="s">
        <v>661</v>
      </c>
      <c r="B12" t="s">
        <v>691</v>
      </c>
      <c r="C12" t="s">
        <v>236</v>
      </c>
      <c r="E12" s="57" t="s">
        <v>23</v>
      </c>
      <c r="F12" s="57">
        <v>1</v>
      </c>
      <c r="G12" s="57">
        <v>9</v>
      </c>
      <c r="H12">
        <v>2.68</v>
      </c>
      <c r="I12">
        <v>99.2</v>
      </c>
      <c r="J12">
        <v>169.4</v>
      </c>
      <c r="K12">
        <v>165.2</v>
      </c>
      <c r="L12">
        <v>25.1</v>
      </c>
      <c r="M12">
        <v>28.5</v>
      </c>
      <c r="N12">
        <v>37.5</v>
      </c>
      <c r="O12">
        <v>50.3</v>
      </c>
      <c r="P12">
        <v>38.5</v>
      </c>
      <c r="Q12" s="7">
        <v>22</v>
      </c>
      <c r="R12">
        <v>9.6</v>
      </c>
      <c r="S12">
        <v>-0.2</v>
      </c>
      <c r="T12">
        <v>-1.1000000000000001</v>
      </c>
      <c r="U12">
        <v>-4.8</v>
      </c>
      <c r="V12">
        <v>-2.1</v>
      </c>
      <c r="W12">
        <v>-2.5</v>
      </c>
      <c r="X12">
        <v>8.6999999999999993</v>
      </c>
      <c r="Y12">
        <v>6.7</v>
      </c>
      <c r="Z12">
        <v>-9.3000000000000007</v>
      </c>
      <c r="AA12">
        <v>-0.5</v>
      </c>
      <c r="AB12">
        <v>-0.3</v>
      </c>
      <c r="AC12" s="7">
        <v>0</v>
      </c>
      <c r="AD12" s="7">
        <v>33.200000000000003</v>
      </c>
      <c r="AE12" s="7">
        <f>(I12+J12+K12+3*(L12+M12+N12)-(O12+P12+Q12))/15</f>
        <v>39.75333333333333</v>
      </c>
      <c r="AF12" s="7">
        <f>0.5*(AD12+AE12)</f>
        <v>36.476666666666667</v>
      </c>
      <c r="AG12" s="7">
        <v>68.5</v>
      </c>
      <c r="AH12" s="7">
        <f>(I12+J12+K12+2*(O12+P12+Q12))/9</f>
        <v>72.822222222222223</v>
      </c>
      <c r="AI12" s="7">
        <f>0.5*(AG12+AH12)</f>
        <v>70.661111111111111</v>
      </c>
      <c r="AJ12" s="4">
        <f>AI12/AF12</f>
        <v>1.9371592189832161</v>
      </c>
      <c r="AK12" s="4">
        <f>(3*AI12-2*AF12)/(2*(3*AI12+AF12))</f>
        <v>0.27978346615149324</v>
      </c>
      <c r="AL12" s="4">
        <f t="shared" si="10"/>
        <v>93.364469800638602</v>
      </c>
      <c r="AM12" s="4">
        <f>SQRT((AI12+4/3*AF12)/H12)</f>
        <v>6.6718574319330139</v>
      </c>
      <c r="AN12" s="4">
        <f>SQRT(AI12/H12)</f>
        <v>5.1347917421731157</v>
      </c>
      <c r="AO12" s="4">
        <f>SQRT(AF12/H12)</f>
        <v>3.68926774813281</v>
      </c>
      <c r="AP12" s="4">
        <f>AM12/AN12</f>
        <v>1.2993433359985482</v>
      </c>
      <c r="AQ12" s="4">
        <f>5*AE12/AD12 +AH12/AG12 - 6</f>
        <v>1.0500459257956392</v>
      </c>
      <c r="AR12" s="8">
        <f t="shared" si="4"/>
        <v>0.40743450688183647</v>
      </c>
      <c r="AS12" s="8">
        <f>(AE12-AD12)/(AE12+AD12)</f>
        <v>8.9829114502421564E-2</v>
      </c>
      <c r="AT12" s="8">
        <f>(AH12-AG12)/(AH12+AG12)</f>
        <v>3.0584165421809896E-2</v>
      </c>
      <c r="AU12">
        <v>0.32</v>
      </c>
    </row>
    <row r="13" spans="1:63">
      <c r="A13" s="66" t="s">
        <v>661</v>
      </c>
      <c r="B13" t="s">
        <v>692</v>
      </c>
      <c r="C13" t="s">
        <v>236</v>
      </c>
      <c r="E13" s="57" t="s">
        <v>23</v>
      </c>
      <c r="F13" s="57">
        <v>1</v>
      </c>
      <c r="G13" s="57">
        <v>9</v>
      </c>
      <c r="H13">
        <v>2.77</v>
      </c>
      <c r="I13">
        <v>125.3</v>
      </c>
      <c r="J13">
        <v>178.3</v>
      </c>
      <c r="K13" s="7">
        <v>167</v>
      </c>
      <c r="L13">
        <v>23.7</v>
      </c>
      <c r="M13">
        <v>35.6</v>
      </c>
      <c r="N13">
        <v>41.3</v>
      </c>
      <c r="O13">
        <v>58.1</v>
      </c>
      <c r="P13">
        <v>52.8</v>
      </c>
      <c r="Q13">
        <v>32.700000000000003</v>
      </c>
      <c r="R13">
        <v>9.1999999999999993</v>
      </c>
      <c r="S13">
        <v>-0.8</v>
      </c>
      <c r="T13">
        <v>-8.4</v>
      </c>
      <c r="U13">
        <v>0.3</v>
      </c>
      <c r="V13">
        <v>-0.1</v>
      </c>
      <c r="W13">
        <v>-11.6</v>
      </c>
      <c r="X13">
        <v>13.8</v>
      </c>
      <c r="Y13">
        <v>5.5</v>
      </c>
      <c r="Z13">
        <v>-9.3000000000000007</v>
      </c>
      <c r="AA13">
        <v>0.1</v>
      </c>
      <c r="AB13">
        <v>7.2</v>
      </c>
      <c r="AC13">
        <v>0.2</v>
      </c>
      <c r="AD13" s="7">
        <v>34.6</v>
      </c>
      <c r="AE13" s="7">
        <f>(I13+J13+K13+3*(L13+M13+N13)-(O13+P13+Q13))/15</f>
        <v>41.919999999999995</v>
      </c>
      <c r="AF13" s="7">
        <f>0.5*(AD13+AE13)</f>
        <v>38.26</v>
      </c>
      <c r="AG13" s="7">
        <v>76.8</v>
      </c>
      <c r="AH13" s="7">
        <f>(I13+J13+K13+2*(O13+P13+Q13))/9</f>
        <v>84.2</v>
      </c>
      <c r="AI13" s="7">
        <f>0.5*(AG13+AH13)</f>
        <v>80.5</v>
      </c>
      <c r="AJ13" s="4">
        <f>AI13/AF13</f>
        <v>2.1040250914793521</v>
      </c>
      <c r="AK13" s="4">
        <f>(3*AI13-2*AF13)/(2*(3*AI13+AF13))</f>
        <v>0.29485987989705464</v>
      </c>
      <c r="AL13" s="4">
        <f t="shared" si="10"/>
        <v>99.082678009722613</v>
      </c>
      <c r="AM13" s="4">
        <f>SQRT((AI13+4/3*AF13)/H13)</f>
        <v>6.8904091072637552</v>
      </c>
      <c r="AN13" s="4">
        <f>SQRT(AI13/H13)</f>
        <v>5.3908600279691212</v>
      </c>
      <c r="AO13" s="4">
        <f>SQRT(AF13/H13)</f>
        <v>3.716486831435172</v>
      </c>
      <c r="AP13" s="4">
        <f>AM13/AN13</f>
        <v>1.2781650926780885</v>
      </c>
      <c r="AQ13" s="4">
        <f>5*AE13/AD13 +AH13/AG13 - 6</f>
        <v>1.1541576348747586</v>
      </c>
      <c r="AR13" s="8">
        <f t="shared" si="4"/>
        <v>0.43887153035719678</v>
      </c>
      <c r="AS13" s="8">
        <f>(AE13-AD13)/(AE13+AD13)</f>
        <v>9.5661265028750567E-2</v>
      </c>
      <c r="AT13" s="8">
        <f>(AH13-AG13)/(AH13+AG13)</f>
        <v>4.5962732919254692E-2</v>
      </c>
      <c r="AU13">
        <v>0.32</v>
      </c>
    </row>
    <row r="14" spans="1:63">
      <c r="AD14" s="7"/>
      <c r="AE14" s="7"/>
      <c r="AF14" s="7"/>
      <c r="AG14" s="7"/>
      <c r="AH14" s="7"/>
      <c r="AI14" s="7"/>
      <c r="AJ14" s="4"/>
      <c r="AK14" s="4"/>
      <c r="AL14" s="4"/>
      <c r="AM14" s="4"/>
      <c r="AN14" s="4"/>
      <c r="AO14" s="4"/>
      <c r="AP14" s="4"/>
      <c r="AQ14" s="4"/>
      <c r="AR14" s="8" t="e">
        <f t="shared" si="4"/>
        <v>#DIV/0!</v>
      </c>
      <c r="AS14" s="8"/>
      <c r="AT14" s="8"/>
    </row>
    <row r="15" spans="1:63" ht="16.8">
      <c r="A15" s="66" t="s">
        <v>678</v>
      </c>
      <c r="B15" t="s">
        <v>679</v>
      </c>
      <c r="C15" t="s">
        <v>239</v>
      </c>
      <c r="E15" s="57" t="s">
        <v>23</v>
      </c>
      <c r="F15" s="57">
        <v>1</v>
      </c>
      <c r="G15" s="57">
        <v>9</v>
      </c>
      <c r="H15">
        <v>2.544</v>
      </c>
      <c r="I15">
        <v>178.5</v>
      </c>
      <c r="J15">
        <v>200.9</v>
      </c>
      <c r="K15">
        <v>32.1</v>
      </c>
      <c r="L15">
        <v>11.2</v>
      </c>
      <c r="M15">
        <v>22.2</v>
      </c>
      <c r="N15">
        <v>60.1</v>
      </c>
      <c r="O15">
        <v>71.5</v>
      </c>
      <c r="P15" s="7">
        <v>2</v>
      </c>
      <c r="Q15">
        <v>-2.9</v>
      </c>
      <c r="R15">
        <v>-0.4</v>
      </c>
      <c r="S15">
        <v>-41.7</v>
      </c>
      <c r="T15">
        <v>-2.2999999999999998</v>
      </c>
      <c r="U15">
        <v>-2.8</v>
      </c>
      <c r="V15">
        <v>-19.8</v>
      </c>
      <c r="W15">
        <v>1.9</v>
      </c>
      <c r="X15">
        <v>-0.2</v>
      </c>
      <c r="Y15">
        <v>1.7</v>
      </c>
      <c r="Z15">
        <v>3.4</v>
      </c>
      <c r="AA15">
        <v>-1.2</v>
      </c>
      <c r="AB15">
        <v>-12.9</v>
      </c>
      <c r="AC15">
        <v>0.8</v>
      </c>
      <c r="AD15" s="7">
        <v>16.899999999999999</v>
      </c>
      <c r="AE15" s="7">
        <f>(I15+J15+K15+3*(L15+M15+N15)-(O15+P15+Q15))/15</f>
        <v>41.426666666666662</v>
      </c>
      <c r="AF15" s="7">
        <f>0.5*(AD15+AE15)</f>
        <v>29.16333333333333</v>
      </c>
      <c r="AG15" s="7">
        <v>23.9</v>
      </c>
      <c r="AH15" s="7">
        <f>(I15+J15+K15+2*(O15+P15+Q15))/9</f>
        <v>61.411111111111119</v>
      </c>
      <c r="AI15" s="7">
        <f>0.5*(AG15+AH15)</f>
        <v>42.655555555555559</v>
      </c>
      <c r="AJ15" s="4">
        <f>AI15/AF15</f>
        <v>1.4626433497161584</v>
      </c>
      <c r="AK15" s="4">
        <f>(3*AI15-2*AF15)/(2*(3*AI15+AF15))</f>
        <v>0.22159994908674352</v>
      </c>
      <c r="AL15" s="4">
        <f t="shared" si="10"/>
        <v>71.251853030399459</v>
      </c>
      <c r="AM15" s="4">
        <f>SQRT((AI15+4/3*AF15)/H15)</f>
        <v>5.6614385797651137</v>
      </c>
      <c r="AN15" s="4">
        <f>SQRT(AI15/H15)</f>
        <v>4.0947675018832737</v>
      </c>
      <c r="AO15" s="4">
        <f>SQRT(AF15/H15)</f>
        <v>3.3857900737464637</v>
      </c>
      <c r="AP15" s="4">
        <f>AM15/AN15</f>
        <v>1.3826031825155625</v>
      </c>
      <c r="AQ15" s="4">
        <f>5*AE15/AD15 +AH15/AG15 - 6</f>
        <v>8.8259128133605138</v>
      </c>
      <c r="AR15" s="8">
        <f t="shared" si="4"/>
        <v>2.2158860380945034</v>
      </c>
      <c r="AS15" s="8">
        <f>(AE15-AD15)/(AE15+AD15)</f>
        <v>0.42050520059435365</v>
      </c>
      <c r="AT15" s="8">
        <f>(AH15-AG15)/(AH15+AG15)</f>
        <v>0.43969783797864037</v>
      </c>
    </row>
    <row r="16" spans="1:63" ht="16.8">
      <c r="A16" s="66" t="s">
        <v>683</v>
      </c>
      <c r="B16" t="s">
        <v>687</v>
      </c>
      <c r="C16" t="s">
        <v>239</v>
      </c>
      <c r="E16" s="57" t="s">
        <v>23</v>
      </c>
      <c r="F16" s="57">
        <v>1</v>
      </c>
      <c r="G16" s="57">
        <v>9</v>
      </c>
      <c r="H16">
        <v>2.5990000000000002</v>
      </c>
      <c r="I16">
        <v>169.1</v>
      </c>
      <c r="J16">
        <v>179.7</v>
      </c>
      <c r="K16">
        <v>81.099999999999994</v>
      </c>
      <c r="L16" s="7">
        <v>17</v>
      </c>
      <c r="M16">
        <v>26.6</v>
      </c>
      <c r="N16">
        <v>57.6</v>
      </c>
      <c r="O16">
        <v>66.099999999999994</v>
      </c>
      <c r="P16">
        <v>15.4</v>
      </c>
      <c r="Q16">
        <v>10.199999999999999</v>
      </c>
      <c r="R16">
        <v>-0.4</v>
      </c>
      <c r="S16" s="7">
        <v>-34</v>
      </c>
      <c r="T16">
        <v>-7.8</v>
      </c>
      <c r="U16">
        <v>-3.4</v>
      </c>
      <c r="V16">
        <v>-16.100000000000001</v>
      </c>
      <c r="W16">
        <v>-0.1</v>
      </c>
      <c r="X16">
        <v>-2.9</v>
      </c>
      <c r="Y16">
        <v>-6.7</v>
      </c>
      <c r="Z16">
        <v>-0.1</v>
      </c>
      <c r="AA16">
        <v>-0.7</v>
      </c>
      <c r="AB16">
        <v>-12.4</v>
      </c>
      <c r="AC16">
        <v>1.1000000000000001</v>
      </c>
      <c r="AD16" s="7">
        <v>27.1</v>
      </c>
      <c r="AE16" s="7">
        <f>(I16+J16+K16+3*(L16+M16+N16)-(O16+P16+Q16))/15</f>
        <v>42.786666666666662</v>
      </c>
      <c r="AF16" s="7">
        <f>0.5*(AD16+AE16)</f>
        <v>34.943333333333328</v>
      </c>
      <c r="AG16" s="7">
        <v>45.7</v>
      </c>
      <c r="AH16" s="7">
        <f>(I16+J16+K16+2*(O16+P16+Q16))/9</f>
        <v>68.144444444444446</v>
      </c>
      <c r="AI16" s="7">
        <f>0.5*(AG16+AH16)</f>
        <v>56.922222222222224</v>
      </c>
      <c r="AJ16" s="4">
        <f>AI16/AF16</f>
        <v>1.6289866132468445</v>
      </c>
      <c r="AK16" s="4">
        <f>(3*AI16-2*AF16)/(2*(3*AI16+AF16))</f>
        <v>0.2451995527684605</v>
      </c>
      <c r="AL16" s="4">
        <f t="shared" si="10"/>
        <v>87.022846077811792</v>
      </c>
      <c r="AM16" s="4">
        <f>SQRT((AI16+4/3*AF16)/H16)</f>
        <v>6.3109538920698194</v>
      </c>
      <c r="AN16" s="4">
        <f>SQRT(AI16/H16)</f>
        <v>4.6799130419395913</v>
      </c>
      <c r="AO16" s="4">
        <f>SQRT(AF16/H16)</f>
        <v>3.6667307933343287</v>
      </c>
      <c r="AP16" s="4">
        <f>AM16/AN16</f>
        <v>1.348519477929069</v>
      </c>
      <c r="AQ16" s="4">
        <f>5*AE16/AD16 +AH16/AG16 - 6</f>
        <v>3.3853446411925816</v>
      </c>
      <c r="AR16" s="8">
        <f t="shared" si="4"/>
        <v>1.0965704975034232</v>
      </c>
      <c r="AS16" s="8">
        <f>(AE16-AD16)/(AE16+AD16)</f>
        <v>0.22445864733377843</v>
      </c>
      <c r="AT16" s="8">
        <f>(AH16-AG16)/(AH16+AG16)</f>
        <v>0.19715010735896935</v>
      </c>
    </row>
    <row r="17" spans="1:46" ht="16.8">
      <c r="A17" s="66" t="s">
        <v>684</v>
      </c>
      <c r="B17" t="s">
        <v>688</v>
      </c>
      <c r="C17" t="s">
        <v>239</v>
      </c>
      <c r="E17" s="57" t="s">
        <v>23</v>
      </c>
      <c r="F17" s="57">
        <v>1</v>
      </c>
      <c r="G17" s="57">
        <v>9</v>
      </c>
      <c r="H17">
        <v>2.5990000000000002</v>
      </c>
      <c r="I17">
        <v>184.7</v>
      </c>
      <c r="J17" s="7">
        <v>185</v>
      </c>
      <c r="K17">
        <v>81.400000000000006</v>
      </c>
      <c r="L17">
        <v>16.7</v>
      </c>
      <c r="M17">
        <v>16.7</v>
      </c>
      <c r="N17" s="7">
        <v>57</v>
      </c>
      <c r="O17">
        <v>65.599999999999994</v>
      </c>
      <c r="P17">
        <v>6.6</v>
      </c>
      <c r="Q17">
        <v>9.3000000000000007</v>
      </c>
      <c r="R17" s="7">
        <v>-7</v>
      </c>
      <c r="S17">
        <v>-6.9</v>
      </c>
      <c r="T17">
        <v>-4.5</v>
      </c>
      <c r="U17">
        <v>-17.899999999999999</v>
      </c>
      <c r="V17">
        <v>-2.9</v>
      </c>
      <c r="W17">
        <v>-0.9</v>
      </c>
      <c r="X17">
        <v>3.2</v>
      </c>
      <c r="Y17">
        <v>4.5999999999999996</v>
      </c>
      <c r="Z17">
        <v>1.3</v>
      </c>
      <c r="AA17">
        <v>0.8</v>
      </c>
      <c r="AB17">
        <v>-3.2</v>
      </c>
      <c r="AC17">
        <v>-5.0999999999999996</v>
      </c>
      <c r="AD17" s="7">
        <v>26.3</v>
      </c>
      <c r="AE17" s="7">
        <f>(I17+J17+K17+3*(L17+M17+N17)-(O17+P17+Q17))/15</f>
        <v>42.720000000000006</v>
      </c>
      <c r="AF17" s="7">
        <f>0.5*(AD17+AE17)</f>
        <v>34.510000000000005</v>
      </c>
      <c r="AG17" s="7">
        <v>52.5</v>
      </c>
      <c r="AH17" s="7">
        <f>(I17+J17+K17+2*(O17+P17+Q17))/9</f>
        <v>68.233333333333334</v>
      </c>
      <c r="AI17" s="7">
        <f>0.5*(AG17+AH17)</f>
        <v>60.366666666666667</v>
      </c>
      <c r="AJ17" s="4">
        <f>AI17/AF17</f>
        <v>1.7492514247078139</v>
      </c>
      <c r="AK17" s="4">
        <f>(3*AI17-2*AF17)/(2*(3*AI17+AF17))</f>
        <v>0.25991373312926114</v>
      </c>
      <c r="AL17" s="4">
        <f t="shared" si="10"/>
        <v>86.959245860581618</v>
      </c>
      <c r="AM17" s="4">
        <f>SQRT((AI17+4/3*AF17)/H17)</f>
        <v>6.3977439270945844</v>
      </c>
      <c r="AN17" s="4">
        <f>SQRT(AI17/H17)</f>
        <v>4.8194275732864957</v>
      </c>
      <c r="AO17" s="4">
        <f>SQRT(AF17/H17)</f>
        <v>3.6439242468650623</v>
      </c>
      <c r="AP17" s="4">
        <f>AM17/AN17</f>
        <v>1.3274904186871705</v>
      </c>
      <c r="AQ17" s="4">
        <f>5*AE17/AD17 +AH17/AG17 - 6</f>
        <v>3.4213555434848217</v>
      </c>
      <c r="AR17" s="8">
        <f t="shared" si="4"/>
        <v>1.1159339136912312</v>
      </c>
      <c r="AS17" s="8">
        <f>(AE17-AD17)/(AE17+AD17)</f>
        <v>0.23790205737467404</v>
      </c>
      <c r="AT17" s="8">
        <f>(AH17-AG17)/(AH17+AG17)</f>
        <v>0.13031474323578135</v>
      </c>
    </row>
    <row r="18" spans="1:46" ht="16.8">
      <c r="A18" s="66" t="s">
        <v>685</v>
      </c>
      <c r="B18" t="s">
        <v>689</v>
      </c>
      <c r="C18" t="s">
        <v>239</v>
      </c>
      <c r="E18" s="57" t="s">
        <v>23</v>
      </c>
      <c r="F18" s="57">
        <v>1</v>
      </c>
      <c r="G18" s="57">
        <v>9</v>
      </c>
      <c r="H18">
        <v>2.5830000000000002</v>
      </c>
      <c r="I18">
        <v>184.2</v>
      </c>
      <c r="J18">
        <v>178.8</v>
      </c>
      <c r="K18">
        <v>67.5</v>
      </c>
      <c r="L18">
        <v>15.8</v>
      </c>
      <c r="M18">
        <v>17.100000000000001</v>
      </c>
      <c r="N18">
        <v>60.4</v>
      </c>
      <c r="O18">
        <v>69.099999999999994</v>
      </c>
      <c r="P18" s="7">
        <v>6</v>
      </c>
      <c r="Q18">
        <v>2.5</v>
      </c>
      <c r="R18">
        <v>0</v>
      </c>
      <c r="S18">
        <v>-17.8</v>
      </c>
      <c r="T18">
        <v>0</v>
      </c>
      <c r="U18">
        <v>0</v>
      </c>
      <c r="V18">
        <v>-6.3</v>
      </c>
      <c r="W18">
        <v>0</v>
      </c>
      <c r="X18">
        <v>0</v>
      </c>
      <c r="Y18">
        <v>5.8</v>
      </c>
      <c r="Z18">
        <v>0</v>
      </c>
      <c r="AA18">
        <v>0</v>
      </c>
      <c r="AB18">
        <v>-4.8</v>
      </c>
      <c r="AC18">
        <v>0</v>
      </c>
      <c r="AD18" s="7">
        <v>25.9</v>
      </c>
      <c r="AE18" s="7">
        <f>(I18+J18+K18+3*(L18+M18+N18)-(O18+P18+Q18))/15</f>
        <v>42.186666666666675</v>
      </c>
      <c r="AF18" s="7">
        <f>0.5*(AD18+AE18)</f>
        <v>34.043333333333337</v>
      </c>
      <c r="AG18" s="7">
        <v>45.75</v>
      </c>
      <c r="AH18" s="7">
        <f>(I18+J18+K18+2*(O18+P18+Q18))/9</f>
        <v>65.077777777777783</v>
      </c>
      <c r="AI18" s="7">
        <f>0.5*(AG18+AH18)</f>
        <v>55.413888888888891</v>
      </c>
      <c r="AJ18" s="4">
        <f>AI18/AF18</f>
        <v>1.6277456836058617</v>
      </c>
      <c r="AK18" s="4">
        <f>(3*AI18-2*AF18)/(2*(3*AI18+AF18))</f>
        <v>0.24503832039343931</v>
      </c>
      <c r="AL18" s="4">
        <f t="shared" si="10"/>
        <v>84.770509107854636</v>
      </c>
      <c r="AM18" s="4">
        <f>SQRT((AI18+4/3*AF18)/H18)</f>
        <v>6.2471054079105697</v>
      </c>
      <c r="AN18" s="4">
        <f>SQRT(AI18/H18)</f>
        <v>4.6317713461373824</v>
      </c>
      <c r="AO18" s="4">
        <f>SQRT(AF18/H18)</f>
        <v>3.6303946246909087</v>
      </c>
      <c r="AP18" s="4">
        <f>AM18/AN18</f>
        <v>1.3487508214584638</v>
      </c>
      <c r="AQ18" s="4">
        <f>5*AE18/AD18 +AH18/AG18 - 6</f>
        <v>3.566609232183005</v>
      </c>
      <c r="AR18" s="8">
        <f t="shared" si="4"/>
        <v>1.1463954986158085</v>
      </c>
      <c r="AS18" s="8">
        <f>(AE18-AD18)/(AE18+AD18)</f>
        <v>0.23920493488690894</v>
      </c>
      <c r="AT18" s="8">
        <f>(AH18-AG18)/(AH18+AG18)</f>
        <v>0.17439470650157907</v>
      </c>
    </row>
    <row r="19" spans="1:46" ht="16.8">
      <c r="A19" s="66" t="s">
        <v>686</v>
      </c>
      <c r="B19" t="s">
        <v>688</v>
      </c>
      <c r="C19" t="s">
        <v>239</v>
      </c>
      <c r="E19" s="57" t="s">
        <v>23</v>
      </c>
      <c r="F19" s="57">
        <v>1</v>
      </c>
      <c r="G19" s="57">
        <v>9</v>
      </c>
      <c r="H19">
        <v>2.6070000000000002</v>
      </c>
      <c r="I19">
        <v>131.80000000000001</v>
      </c>
      <c r="J19">
        <v>157.9</v>
      </c>
      <c r="K19" s="7">
        <v>75</v>
      </c>
      <c r="L19">
        <v>13.2</v>
      </c>
      <c r="M19">
        <v>17.7</v>
      </c>
      <c r="N19">
        <v>62.2</v>
      </c>
      <c r="O19">
        <v>41.5</v>
      </c>
      <c r="P19">
        <v>10.199999999999999</v>
      </c>
      <c r="Q19" s="7">
        <v>14</v>
      </c>
      <c r="R19">
        <v>0.6</v>
      </c>
      <c r="S19" s="7">
        <v>-16</v>
      </c>
      <c r="T19" s="7">
        <v>0.1</v>
      </c>
      <c r="U19" s="7">
        <v>0.4</v>
      </c>
      <c r="V19" s="7">
        <v>-3.8</v>
      </c>
      <c r="W19" s="7">
        <v>0.1</v>
      </c>
      <c r="X19" s="7">
        <v>0.5</v>
      </c>
      <c r="Y19" s="7">
        <v>9.3000000000000007</v>
      </c>
      <c r="Z19" s="7">
        <v>0.1</v>
      </c>
      <c r="AA19" s="7">
        <v>-0.5</v>
      </c>
      <c r="AB19" s="7">
        <v>-9.4</v>
      </c>
      <c r="AC19" s="7">
        <v>-0.1</v>
      </c>
      <c r="AD19" s="7">
        <v>22.49</v>
      </c>
      <c r="AE19" s="7">
        <f>(I19+J19+K19+3*(L19+M19+N19)-(O19+P19+Q19))/15</f>
        <v>38.553333333333327</v>
      </c>
      <c r="AF19" s="7">
        <f>0.5*(AD19+AE19)</f>
        <v>30.521666666666661</v>
      </c>
      <c r="AG19" s="7">
        <v>47.19</v>
      </c>
      <c r="AH19" s="7">
        <f>(I19+J19+K19+2*(O19+P19+Q19))/9</f>
        <v>55.122222222222227</v>
      </c>
      <c r="AI19" s="7">
        <f>0.5*(AG19+AH19)</f>
        <v>51.156111111111116</v>
      </c>
      <c r="AJ19" s="4">
        <f>AI19/AF19</f>
        <v>1.6760589016909668</v>
      </c>
      <c r="AK19" s="4">
        <f>(3*AI19-2*AF19)/(2*(3*AI19+AF19))</f>
        <v>0.25116854176857445</v>
      </c>
      <c r="AL19" s="4">
        <f t="shared" si="10"/>
        <v>76.375498351359667</v>
      </c>
      <c r="AM19" s="4">
        <f>SQRT((AI19+4/3*AF19)/H19)</f>
        <v>5.9357145159605924</v>
      </c>
      <c r="AN19" s="4">
        <f>SQRT(AI19/H19)</f>
        <v>4.4297400917915182</v>
      </c>
      <c r="AO19" s="4">
        <f>SQRT(AF19/H19)</f>
        <v>3.4216344267937395</v>
      </c>
      <c r="AP19" s="4">
        <f>AM19/AN19</f>
        <v>1.3399690259389492</v>
      </c>
      <c r="AQ19" s="4">
        <f>5*AE19/AD19 +AH19/AG19 - 6</f>
        <v>3.7393080052039593</v>
      </c>
      <c r="AR19" s="8">
        <f t="shared" si="4"/>
        <v>1.2151514817139371</v>
      </c>
      <c r="AS19" s="8">
        <f>(AE19-AD19)/(AE19+AD19)</f>
        <v>0.26314639873314039</v>
      </c>
      <c r="AT19" s="8">
        <f>(AH19-AG19)/(AH19+AG19)</f>
        <v>7.7529566360052621E-2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F4CE-230C-4242-A8B5-4C2B1C59ABC3}">
  <dimension ref="A1:F19"/>
  <sheetViews>
    <sheetView workbookViewId="0">
      <selection sqref="A1:A1048576"/>
    </sheetView>
  </sheetViews>
  <sheetFormatPr defaultRowHeight="14.4"/>
  <cols>
    <col min="1" max="1" width="13.41796875" customWidth="1"/>
  </cols>
  <sheetData>
    <row r="1" spans="1:6">
      <c r="A1" s="22" t="s">
        <v>242</v>
      </c>
      <c r="B1" s="22" t="s">
        <v>336</v>
      </c>
      <c r="C1" s="22" t="s">
        <v>386</v>
      </c>
      <c r="D1" s="22" t="s">
        <v>698</v>
      </c>
      <c r="E1" s="22" t="s">
        <v>611</v>
      </c>
      <c r="F1" s="24" t="s">
        <v>130</v>
      </c>
    </row>
    <row r="2" spans="1:6">
      <c r="A2" t="s">
        <v>218</v>
      </c>
      <c r="B2" t="s">
        <v>975</v>
      </c>
      <c r="C2" s="57" t="s">
        <v>389</v>
      </c>
      <c r="D2" s="57" t="s">
        <v>968</v>
      </c>
      <c r="E2" s="57" t="s">
        <v>628</v>
      </c>
      <c r="F2" s="57" t="s">
        <v>725</v>
      </c>
    </row>
    <row r="3" spans="1:6">
      <c r="A3" t="s">
        <v>661</v>
      </c>
      <c r="B3" t="s">
        <v>975</v>
      </c>
      <c r="C3" s="57" t="s">
        <v>389</v>
      </c>
      <c r="D3" s="57" t="s">
        <v>968</v>
      </c>
      <c r="E3" s="57" t="s">
        <v>628</v>
      </c>
    </row>
    <row r="4" spans="1:6">
      <c r="A4" t="s">
        <v>661</v>
      </c>
      <c r="B4" t="s">
        <v>975</v>
      </c>
      <c r="C4" s="57" t="s">
        <v>389</v>
      </c>
      <c r="D4" s="57" t="s">
        <v>968</v>
      </c>
      <c r="E4" s="57" t="s">
        <v>628</v>
      </c>
    </row>
    <row r="5" spans="1:6">
      <c r="A5" t="s">
        <v>661</v>
      </c>
      <c r="B5" t="s">
        <v>975</v>
      </c>
      <c r="C5" s="57" t="s">
        <v>389</v>
      </c>
      <c r="D5" s="57" t="s">
        <v>968</v>
      </c>
      <c r="E5" s="57" t="s">
        <v>628</v>
      </c>
    </row>
    <row r="6" spans="1:6">
      <c r="A6" t="s">
        <v>661</v>
      </c>
      <c r="B6" t="s">
        <v>975</v>
      </c>
      <c r="C6" s="57" t="s">
        <v>389</v>
      </c>
      <c r="D6" s="57" t="s">
        <v>968</v>
      </c>
      <c r="E6" s="57" t="s">
        <v>628</v>
      </c>
    </row>
    <row r="7" spans="1:6">
      <c r="A7" t="s">
        <v>661</v>
      </c>
      <c r="B7" t="s">
        <v>975</v>
      </c>
      <c r="C7" s="57" t="s">
        <v>389</v>
      </c>
      <c r="D7" s="57" t="s">
        <v>968</v>
      </c>
      <c r="E7" s="57" t="s">
        <v>628</v>
      </c>
    </row>
    <row r="8" spans="1:6">
      <c r="A8" t="s">
        <v>661</v>
      </c>
      <c r="B8" t="s">
        <v>975</v>
      </c>
      <c r="C8" s="57" t="s">
        <v>389</v>
      </c>
      <c r="D8" s="57" t="s">
        <v>968</v>
      </c>
      <c r="E8" s="57" t="s">
        <v>628</v>
      </c>
    </row>
    <row r="9" spans="1:6">
      <c r="A9" t="s">
        <v>661</v>
      </c>
      <c r="B9" t="s">
        <v>975</v>
      </c>
      <c r="C9" s="57" t="s">
        <v>389</v>
      </c>
      <c r="D9" s="57" t="s">
        <v>968</v>
      </c>
      <c r="E9" s="57" t="s">
        <v>628</v>
      </c>
    </row>
    <row r="10" spans="1:6">
      <c r="C10" s="57"/>
      <c r="D10" s="57"/>
      <c r="E10" s="57"/>
    </row>
    <row r="11" spans="1:6">
      <c r="A11" s="66" t="s">
        <v>661</v>
      </c>
      <c r="B11" t="s">
        <v>738</v>
      </c>
      <c r="C11" s="57" t="s">
        <v>596</v>
      </c>
      <c r="D11" s="57"/>
      <c r="E11" s="57" t="s">
        <v>628</v>
      </c>
    </row>
    <row r="12" spans="1:6">
      <c r="A12" s="66" t="s">
        <v>661</v>
      </c>
      <c r="B12" t="s">
        <v>738</v>
      </c>
      <c r="C12" s="57" t="s">
        <v>596</v>
      </c>
      <c r="D12" s="57"/>
      <c r="E12" s="57" t="s">
        <v>628</v>
      </c>
      <c r="F12" t="s">
        <v>693</v>
      </c>
    </row>
    <row r="13" spans="1:6">
      <c r="A13" s="66" t="s">
        <v>661</v>
      </c>
      <c r="B13" t="s">
        <v>738</v>
      </c>
      <c r="C13" s="57" t="s">
        <v>596</v>
      </c>
      <c r="D13" s="57"/>
      <c r="E13" s="57" t="s">
        <v>628</v>
      </c>
      <c r="F13" t="s">
        <v>693</v>
      </c>
    </row>
    <row r="15" spans="1:6">
      <c r="A15" s="66" t="s">
        <v>678</v>
      </c>
      <c r="B15" t="s">
        <v>739</v>
      </c>
      <c r="C15" s="57" t="s">
        <v>118</v>
      </c>
      <c r="E15" s="57" t="s">
        <v>628</v>
      </c>
    </row>
    <row r="16" spans="1:6">
      <c r="A16" s="66" t="s">
        <v>683</v>
      </c>
      <c r="B16" t="s">
        <v>734</v>
      </c>
      <c r="C16" s="57" t="s">
        <v>118</v>
      </c>
      <c r="E16" s="57" t="s">
        <v>628</v>
      </c>
    </row>
    <row r="17" spans="1:5">
      <c r="A17" s="66" t="s">
        <v>684</v>
      </c>
      <c r="B17" t="s">
        <v>734</v>
      </c>
      <c r="C17" s="57" t="s">
        <v>118</v>
      </c>
      <c r="E17" s="57" t="s">
        <v>628</v>
      </c>
    </row>
    <row r="18" spans="1:5">
      <c r="A18" s="66" t="s">
        <v>685</v>
      </c>
      <c r="B18" t="s">
        <v>734</v>
      </c>
      <c r="C18" s="57" t="s">
        <v>118</v>
      </c>
      <c r="E18" s="57" t="s">
        <v>628</v>
      </c>
    </row>
    <row r="19" spans="1:5">
      <c r="A19" s="66" t="s">
        <v>686</v>
      </c>
      <c r="B19" t="s">
        <v>734</v>
      </c>
      <c r="C19" s="57" t="s">
        <v>118</v>
      </c>
      <c r="E19" s="57" t="s">
        <v>628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59E-0E26-43A0-857A-163DBE48A5BD}">
  <dimension ref="A1:D62"/>
  <sheetViews>
    <sheetView workbookViewId="0">
      <selection sqref="A1:C2"/>
    </sheetView>
  </sheetViews>
  <sheetFormatPr defaultColWidth="8.83984375" defaultRowHeight="14.4"/>
  <cols>
    <col min="1" max="1" width="16.83984375" style="57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123" t="s">
        <v>1393</v>
      </c>
    </row>
    <row r="2" spans="1:4" ht="15">
      <c r="A2" s="123" t="s">
        <v>1392</v>
      </c>
    </row>
    <row r="3" spans="1:4">
      <c r="A3" s="133" t="s">
        <v>1783</v>
      </c>
    </row>
    <row r="4" spans="1:4">
      <c r="A4" s="113" t="s">
        <v>1782</v>
      </c>
      <c r="B4" s="34" t="s">
        <v>1781</v>
      </c>
    </row>
    <row r="5" spans="1:4">
      <c r="A5" s="113" t="s">
        <v>703</v>
      </c>
      <c r="B5" s="34" t="s">
        <v>1780</v>
      </c>
    </row>
    <row r="6" spans="1:4">
      <c r="A6" s="57" t="s">
        <v>704</v>
      </c>
      <c r="B6" t="s">
        <v>1779</v>
      </c>
    </row>
    <row r="7" spans="1:4" ht="14.7">
      <c r="A7" s="134" t="s">
        <v>1391</v>
      </c>
      <c r="B7" t="s">
        <v>1778</v>
      </c>
    </row>
    <row r="8" spans="1:4" ht="16.8">
      <c r="A8" s="57" t="s">
        <v>1777</v>
      </c>
      <c r="B8" t="s">
        <v>1776</v>
      </c>
    </row>
    <row r="9" spans="1:4">
      <c r="A9" s="57" t="s">
        <v>121</v>
      </c>
      <c r="B9" t="s">
        <v>1775</v>
      </c>
    </row>
    <row r="10" spans="1:4" ht="16.8">
      <c r="A10" s="57" t="s">
        <v>1774</v>
      </c>
      <c r="B10" t="s">
        <v>1773</v>
      </c>
    </row>
    <row r="11" spans="1:4" ht="16.8">
      <c r="A11" s="57" t="s">
        <v>1772</v>
      </c>
      <c r="B11" t="s">
        <v>1771</v>
      </c>
    </row>
    <row r="12" spans="1:4">
      <c r="A12" s="57" t="s">
        <v>122</v>
      </c>
      <c r="B12" t="s">
        <v>1770</v>
      </c>
      <c r="D12" s="125"/>
    </row>
    <row r="13" spans="1:4" ht="16.8">
      <c r="A13" s="57" t="s">
        <v>1769</v>
      </c>
      <c r="B13" s="11" t="s">
        <v>1768</v>
      </c>
    </row>
    <row r="14" spans="1:4" ht="16.8">
      <c r="A14" s="57" t="s">
        <v>1767</v>
      </c>
      <c r="B14" s="11" t="s">
        <v>1766</v>
      </c>
    </row>
    <row r="15" spans="1:4">
      <c r="A15" s="57" t="s">
        <v>208</v>
      </c>
      <c r="B15" t="s">
        <v>1765</v>
      </c>
    </row>
    <row r="16" spans="1:4" ht="16.8">
      <c r="A16" s="57" t="s">
        <v>1764</v>
      </c>
      <c r="B16" t="s">
        <v>1763</v>
      </c>
    </row>
    <row r="17" spans="1:2" ht="16.8">
      <c r="A17" s="57" t="s">
        <v>1762</v>
      </c>
      <c r="B17" t="s">
        <v>1761</v>
      </c>
    </row>
    <row r="18" spans="1:2" ht="16.8">
      <c r="A18" s="57" t="s">
        <v>1760</v>
      </c>
      <c r="B18" t="s">
        <v>1759</v>
      </c>
    </row>
    <row r="19" spans="1:2" ht="16.8">
      <c r="A19" s="57" t="s">
        <v>1758</v>
      </c>
      <c r="B19" t="s">
        <v>1757</v>
      </c>
    </row>
    <row r="20" spans="1:2" ht="16.8">
      <c r="A20" s="57" t="s">
        <v>1756</v>
      </c>
      <c r="B20" t="s">
        <v>1755</v>
      </c>
    </row>
    <row r="21" spans="1:2" ht="16.8">
      <c r="A21" s="57" t="s">
        <v>1754</v>
      </c>
      <c r="B21" t="s">
        <v>1753</v>
      </c>
    </row>
    <row r="22" spans="1:2" ht="16.8">
      <c r="A22" s="57" t="s">
        <v>1752</v>
      </c>
      <c r="B22" t="s">
        <v>1750</v>
      </c>
    </row>
    <row r="23" spans="1:2" ht="16.8">
      <c r="A23" s="57" t="s">
        <v>1751</v>
      </c>
      <c r="B23" t="s">
        <v>1750</v>
      </c>
    </row>
    <row r="24" spans="1:2" ht="16.5">
      <c r="A24" s="57" t="s">
        <v>1749</v>
      </c>
      <c r="B24" t="s">
        <v>1748</v>
      </c>
    </row>
    <row r="25" spans="1:2" ht="16.5">
      <c r="A25" s="57" t="s">
        <v>1747</v>
      </c>
      <c r="B25" t="s">
        <v>1746</v>
      </c>
    </row>
    <row r="26" spans="1:2" ht="16.5">
      <c r="A26" s="57" t="s">
        <v>1745</v>
      </c>
      <c r="B26" s="11" t="s">
        <v>1744</v>
      </c>
    </row>
    <row r="27" spans="1:2" ht="16.5">
      <c r="A27" s="57" t="s">
        <v>1743</v>
      </c>
      <c r="B27" s="11" t="s">
        <v>1742</v>
      </c>
    </row>
    <row r="28" spans="1:2" ht="14.7">
      <c r="A28" s="57" t="s">
        <v>1741</v>
      </c>
      <c r="B28" s="11" t="s">
        <v>1740</v>
      </c>
    </row>
    <row r="29" spans="1:2" ht="14.7">
      <c r="A29" s="57" t="s">
        <v>1739</v>
      </c>
      <c r="B29" s="11" t="s">
        <v>1738</v>
      </c>
    </row>
    <row r="30" spans="1:2" ht="16.8">
      <c r="A30" s="57" t="s">
        <v>1737</v>
      </c>
      <c r="B30" s="11" t="s">
        <v>1736</v>
      </c>
    </row>
    <row r="32" spans="1:2">
      <c r="A32" s="133" t="s">
        <v>1735</v>
      </c>
    </row>
    <row r="33" spans="1:2">
      <c r="A33" s="57" t="s">
        <v>1362</v>
      </c>
      <c r="B33" s="11" t="s">
        <v>1734</v>
      </c>
    </row>
    <row r="34" spans="1:2">
      <c r="A34" s="57" t="s">
        <v>1733</v>
      </c>
      <c r="B34" t="s">
        <v>1732</v>
      </c>
    </row>
    <row r="35" spans="1:2">
      <c r="A35" s="57" t="s">
        <v>1323</v>
      </c>
      <c r="B35" t="s">
        <v>1731</v>
      </c>
    </row>
    <row r="36" spans="1:2">
      <c r="A36" s="57" t="s">
        <v>1326</v>
      </c>
      <c r="B36" s="11" t="s">
        <v>1730</v>
      </c>
    </row>
    <row r="37" spans="1:2">
      <c r="A37" s="57" t="s">
        <v>1311</v>
      </c>
      <c r="B37" t="s">
        <v>1729</v>
      </c>
    </row>
    <row r="38" spans="1:2">
      <c r="A38" s="57" t="s">
        <v>1309</v>
      </c>
      <c r="B38" t="s">
        <v>1728</v>
      </c>
    </row>
    <row r="39" spans="1:2">
      <c r="A39" s="57" t="s">
        <v>1307</v>
      </c>
      <c r="B39" t="s">
        <v>1727</v>
      </c>
    </row>
    <row r="40" spans="1:2">
      <c r="A40" s="57" t="s">
        <v>1726</v>
      </c>
      <c r="B40" t="s">
        <v>450</v>
      </c>
    </row>
    <row r="42" spans="1:2">
      <c r="A42" s="133" t="s">
        <v>1725</v>
      </c>
    </row>
    <row r="43" spans="1:2">
      <c r="A43" s="57" t="s">
        <v>1724</v>
      </c>
      <c r="B43" t="s">
        <v>1723</v>
      </c>
    </row>
    <row r="45" spans="1:2">
      <c r="A45" s="133" t="s">
        <v>386</v>
      </c>
    </row>
    <row r="46" spans="1:2">
      <c r="A46" s="57" t="s">
        <v>388</v>
      </c>
      <c r="B46" t="s">
        <v>1722</v>
      </c>
    </row>
    <row r="47" spans="1:2">
      <c r="A47" s="57" t="s">
        <v>1548</v>
      </c>
      <c r="B47" t="s">
        <v>1721</v>
      </c>
    </row>
    <row r="48" spans="1:2">
      <c r="A48" s="57" t="s">
        <v>390</v>
      </c>
      <c r="B48" t="s">
        <v>1720</v>
      </c>
    </row>
    <row r="49" spans="1:2">
      <c r="A49" s="57" t="s">
        <v>389</v>
      </c>
      <c r="B49" t="s">
        <v>1719</v>
      </c>
    </row>
    <row r="50" spans="1:2">
      <c r="A50" s="57" t="s">
        <v>1405</v>
      </c>
      <c r="B50" t="s">
        <v>1718</v>
      </c>
    </row>
    <row r="51" spans="1:2">
      <c r="A51" s="57" t="s">
        <v>387</v>
      </c>
      <c r="B51" t="s">
        <v>1717</v>
      </c>
    </row>
    <row r="52" spans="1:2">
      <c r="A52" s="57" t="s">
        <v>1532</v>
      </c>
      <c r="B52" t="s">
        <v>1716</v>
      </c>
    </row>
    <row r="53" spans="1:2">
      <c r="A53" s="57" t="s">
        <v>857</v>
      </c>
      <c r="B53" t="s">
        <v>1715</v>
      </c>
    </row>
    <row r="54" spans="1:2">
      <c r="A54" s="57" t="s">
        <v>1425</v>
      </c>
      <c r="B54" t="s">
        <v>1714</v>
      </c>
    </row>
    <row r="55" spans="1:2">
      <c r="A55" s="57" t="s">
        <v>118</v>
      </c>
      <c r="B55" t="s">
        <v>1713</v>
      </c>
    </row>
    <row r="57" spans="1:2">
      <c r="A57" s="133" t="s">
        <v>1712</v>
      </c>
    </row>
    <row r="58" spans="1:2">
      <c r="A58" s="35" t="s">
        <v>1711</v>
      </c>
    </row>
    <row r="59" spans="1:2">
      <c r="A59" s="35"/>
    </row>
    <row r="60" spans="1:2">
      <c r="A60" s="133"/>
    </row>
    <row r="61" spans="1:2">
      <c r="A61" s="35"/>
    </row>
    <row r="62" spans="1:2">
      <c r="A62" s="35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6EC7-67F4-4D76-9EB8-9DC217E1A560}">
  <dimension ref="A1:Z249"/>
  <sheetViews>
    <sheetView workbookViewId="0">
      <selection activeCell="H13" sqref="H13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57" customWidth="1" collapsed="1"/>
    <col min="4" max="4" width="66.41796875" style="35" customWidth="1"/>
    <col min="5" max="5" width="23.83984375" style="35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123" t="s">
        <v>1393</v>
      </c>
    </row>
    <row r="2" spans="1:5" ht="15">
      <c r="A2" s="123" t="s">
        <v>1392</v>
      </c>
    </row>
    <row r="3" spans="1:5" ht="15">
      <c r="A3" s="123"/>
    </row>
    <row r="4" spans="1:5" ht="15">
      <c r="A4" s="123"/>
    </row>
    <row r="5" spans="1:5">
      <c r="A5" s="22" t="s">
        <v>242</v>
      </c>
      <c r="B5" s="22" t="s">
        <v>1710</v>
      </c>
      <c r="C5" s="22" t="s">
        <v>386</v>
      </c>
      <c r="D5" s="22" t="s">
        <v>130</v>
      </c>
      <c r="E5" s="22" t="s">
        <v>336</v>
      </c>
    </row>
    <row r="6" spans="1:5">
      <c r="A6" s="118" t="s">
        <v>592</v>
      </c>
      <c r="B6" s="132"/>
      <c r="C6" s="131"/>
      <c r="D6" s="130"/>
      <c r="E6" s="130"/>
    </row>
    <row r="7" spans="1:5">
      <c r="A7" t="s">
        <v>1362</v>
      </c>
      <c r="B7" s="11" t="s">
        <v>1363</v>
      </c>
      <c r="C7" s="57" t="s">
        <v>390</v>
      </c>
      <c r="D7" s="35" t="s">
        <v>1709</v>
      </c>
      <c r="E7" s="124" t="s">
        <v>1708</v>
      </c>
    </row>
    <row r="8" spans="1:5">
      <c r="A8" t="s">
        <v>1362</v>
      </c>
      <c r="B8" s="11" t="s">
        <v>1361</v>
      </c>
      <c r="C8" s="57" t="s">
        <v>390</v>
      </c>
      <c r="E8" s="124" t="s">
        <v>1707</v>
      </c>
    </row>
    <row r="9" spans="1:5">
      <c r="A9" t="s">
        <v>1350</v>
      </c>
      <c r="B9" s="11" t="s">
        <v>1360</v>
      </c>
      <c r="C9" s="57" t="s">
        <v>390</v>
      </c>
      <c r="E9" s="124" t="s">
        <v>1707</v>
      </c>
    </row>
    <row r="10" spans="1:5">
      <c r="A10" t="s">
        <v>1348</v>
      </c>
      <c r="B10" s="11" t="s">
        <v>1359</v>
      </c>
      <c r="C10" s="57" t="s">
        <v>387</v>
      </c>
      <c r="D10" s="35" t="s">
        <v>1706</v>
      </c>
      <c r="E10" s="124" t="s">
        <v>1674</v>
      </c>
    </row>
    <row r="11" spans="1:5">
      <c r="A11" t="s">
        <v>1348</v>
      </c>
      <c r="B11" s="11" t="s">
        <v>1358</v>
      </c>
      <c r="C11" s="57" t="s">
        <v>387</v>
      </c>
      <c r="D11" s="35" t="s">
        <v>1705</v>
      </c>
      <c r="E11" s="124" t="s">
        <v>1674</v>
      </c>
    </row>
    <row r="12" spans="1:5">
      <c r="A12" t="s">
        <v>1350</v>
      </c>
      <c r="B12" s="11" t="s">
        <v>1357</v>
      </c>
      <c r="C12" s="57" t="s">
        <v>387</v>
      </c>
      <c r="D12" s="35" t="s">
        <v>1704</v>
      </c>
      <c r="E12" s="124" t="s">
        <v>1674</v>
      </c>
    </row>
    <row r="13" spans="1:5">
      <c r="A13" t="s">
        <v>1356</v>
      </c>
      <c r="B13" s="11" t="s">
        <v>1355</v>
      </c>
      <c r="C13" s="57" t="s">
        <v>387</v>
      </c>
      <c r="D13" s="35" t="s">
        <v>1703</v>
      </c>
      <c r="E13" s="124" t="s">
        <v>1674</v>
      </c>
    </row>
    <row r="14" spans="1:5">
      <c r="A14" t="s">
        <v>1348</v>
      </c>
      <c r="B14" s="11" t="s">
        <v>1354</v>
      </c>
      <c r="C14" s="57" t="s">
        <v>390</v>
      </c>
      <c r="D14" s="35" t="s">
        <v>1702</v>
      </c>
      <c r="E14" s="124" t="s">
        <v>1701</v>
      </c>
    </row>
    <row r="15" spans="1:5">
      <c r="A15" t="s">
        <v>1350</v>
      </c>
      <c r="B15" s="11" t="s">
        <v>1353</v>
      </c>
      <c r="C15" s="57" t="s">
        <v>388</v>
      </c>
      <c r="D15" s="35" t="s">
        <v>1700</v>
      </c>
      <c r="E15" s="124" t="s">
        <v>355</v>
      </c>
    </row>
    <row r="16" spans="1:5">
      <c r="A16" t="s">
        <v>1348</v>
      </c>
      <c r="B16" s="11" t="s">
        <v>1352</v>
      </c>
      <c r="C16" s="57" t="s">
        <v>387</v>
      </c>
      <c r="D16" s="35" t="s">
        <v>1699</v>
      </c>
      <c r="E16" s="124" t="s">
        <v>1695</v>
      </c>
    </row>
    <row r="17" spans="1:5">
      <c r="A17" t="s">
        <v>1348</v>
      </c>
      <c r="B17" s="11" t="s">
        <v>1351</v>
      </c>
      <c r="C17" s="57" t="s">
        <v>389</v>
      </c>
      <c r="D17" s="35" t="s">
        <v>1698</v>
      </c>
      <c r="E17" s="124" t="s">
        <v>762</v>
      </c>
    </row>
    <row r="18" spans="1:5">
      <c r="A18" t="s">
        <v>1350</v>
      </c>
      <c r="B18" s="11" t="s">
        <v>1349</v>
      </c>
      <c r="C18" s="57" t="s">
        <v>387</v>
      </c>
      <c r="D18" s="35" t="s">
        <v>1697</v>
      </c>
      <c r="E18" s="124" t="s">
        <v>1674</v>
      </c>
    </row>
    <row r="19" spans="1:5">
      <c r="A19" t="s">
        <v>1348</v>
      </c>
      <c r="B19" s="11" t="s">
        <v>1347</v>
      </c>
      <c r="C19" s="57" t="s">
        <v>387</v>
      </c>
      <c r="D19" s="35" t="s">
        <v>1696</v>
      </c>
      <c r="E19" s="124" t="s">
        <v>1695</v>
      </c>
    </row>
    <row r="20" spans="1:5">
      <c r="A20" t="s">
        <v>1344</v>
      </c>
      <c r="B20" s="11" t="s">
        <v>1346</v>
      </c>
      <c r="C20" s="57" t="s">
        <v>387</v>
      </c>
      <c r="D20" s="35" t="s">
        <v>1694</v>
      </c>
      <c r="E20" s="124" t="s">
        <v>1674</v>
      </c>
    </row>
    <row r="21" spans="1:5">
      <c r="A21" t="s">
        <v>1344</v>
      </c>
      <c r="B21" s="11" t="s">
        <v>1345</v>
      </c>
      <c r="C21" s="57" t="s">
        <v>387</v>
      </c>
      <c r="D21" s="35" t="s">
        <v>1693</v>
      </c>
      <c r="E21" s="124" t="s">
        <v>1674</v>
      </c>
    </row>
    <row r="22" spans="1:5">
      <c r="A22" t="s">
        <v>1344</v>
      </c>
      <c r="B22" s="11" t="s">
        <v>1343</v>
      </c>
      <c r="C22" s="57" t="s">
        <v>387</v>
      </c>
      <c r="D22" s="35" t="s">
        <v>1692</v>
      </c>
      <c r="E22" s="124" t="s">
        <v>1674</v>
      </c>
    </row>
    <row r="23" spans="1:5">
      <c r="A23" t="s">
        <v>1341</v>
      </c>
      <c r="B23" s="11" t="s">
        <v>1342</v>
      </c>
      <c r="C23" s="57" t="s">
        <v>387</v>
      </c>
      <c r="D23" s="35" t="s">
        <v>1691</v>
      </c>
      <c r="E23" s="124" t="s">
        <v>1674</v>
      </c>
    </row>
    <row r="24" spans="1:5">
      <c r="A24" t="s">
        <v>1341</v>
      </c>
      <c r="B24" s="11" t="s">
        <v>1340</v>
      </c>
      <c r="C24" s="57" t="s">
        <v>387</v>
      </c>
      <c r="D24" s="35" t="s">
        <v>1690</v>
      </c>
      <c r="E24" s="124" t="s">
        <v>1674</v>
      </c>
    </row>
    <row r="25" spans="1:5">
      <c r="A25" t="s">
        <v>1336</v>
      </c>
      <c r="B25" s="11" t="s">
        <v>1339</v>
      </c>
      <c r="C25" s="57" t="s">
        <v>388</v>
      </c>
      <c r="E25" s="124" t="s">
        <v>1689</v>
      </c>
    </row>
    <row r="26" spans="1:5">
      <c r="A26" t="s">
        <v>1338</v>
      </c>
      <c r="B26" s="11" t="s">
        <v>1337</v>
      </c>
      <c r="C26" s="57" t="s">
        <v>390</v>
      </c>
      <c r="E26" s="124" t="s">
        <v>1673</v>
      </c>
    </row>
    <row r="27" spans="1:5">
      <c r="A27" t="s">
        <v>1336</v>
      </c>
      <c r="B27" s="11" t="s">
        <v>1335</v>
      </c>
      <c r="C27" s="57" t="s">
        <v>388</v>
      </c>
      <c r="E27" s="124" t="s">
        <v>354</v>
      </c>
    </row>
    <row r="28" spans="1:5">
      <c r="A28" t="s">
        <v>1334</v>
      </c>
      <c r="B28" s="11" t="s">
        <v>1333</v>
      </c>
      <c r="C28" s="57" t="s">
        <v>388</v>
      </c>
      <c r="D28" s="35" t="s">
        <v>1688</v>
      </c>
      <c r="E28" s="124" t="s">
        <v>1687</v>
      </c>
    </row>
    <row r="29" spans="1:5">
      <c r="A29" t="s">
        <v>1328</v>
      </c>
      <c r="B29" s="11" t="s">
        <v>1332</v>
      </c>
      <c r="C29" s="57" t="s">
        <v>388</v>
      </c>
      <c r="D29" s="35" t="s">
        <v>1686</v>
      </c>
      <c r="E29" s="124" t="s">
        <v>1685</v>
      </c>
    </row>
    <row r="30" spans="1:5">
      <c r="A30" t="s">
        <v>1328</v>
      </c>
      <c r="B30" s="11" t="s">
        <v>1331</v>
      </c>
      <c r="C30" s="57" t="s">
        <v>388</v>
      </c>
      <c r="E30" s="124" t="s">
        <v>354</v>
      </c>
    </row>
    <row r="31" spans="1:5">
      <c r="A31" t="s">
        <v>1330</v>
      </c>
      <c r="B31" s="11" t="s">
        <v>1329</v>
      </c>
      <c r="C31" s="57" t="s">
        <v>387</v>
      </c>
      <c r="D31" s="35" t="s">
        <v>1684</v>
      </c>
      <c r="E31" s="124" t="s">
        <v>1674</v>
      </c>
    </row>
    <row r="32" spans="1:5">
      <c r="A32" t="s">
        <v>1328</v>
      </c>
      <c r="B32" s="11" t="s">
        <v>1327</v>
      </c>
      <c r="C32" s="57" t="s">
        <v>390</v>
      </c>
      <c r="E32" s="124" t="s">
        <v>1612</v>
      </c>
    </row>
    <row r="33" spans="1:5">
      <c r="A33" t="s">
        <v>1326</v>
      </c>
      <c r="B33" s="11" t="s">
        <v>1325</v>
      </c>
      <c r="C33" s="57" t="s">
        <v>387</v>
      </c>
      <c r="D33" s="35" t="s">
        <v>1683</v>
      </c>
      <c r="E33" s="124" t="s">
        <v>1674</v>
      </c>
    </row>
    <row r="34" spans="1:5">
      <c r="A34" t="s">
        <v>1323</v>
      </c>
      <c r="B34" s="11" t="s">
        <v>1324</v>
      </c>
      <c r="C34" s="57" t="s">
        <v>387</v>
      </c>
      <c r="D34" s="35" t="s">
        <v>1682</v>
      </c>
      <c r="E34" s="124" t="s">
        <v>1681</v>
      </c>
    </row>
    <row r="35" spans="1:5">
      <c r="A35" t="s">
        <v>1323</v>
      </c>
      <c r="B35" s="11" t="s">
        <v>1322</v>
      </c>
      <c r="C35" s="57" t="s">
        <v>390</v>
      </c>
      <c r="E35" s="124" t="s">
        <v>1612</v>
      </c>
    </row>
    <row r="36" spans="1:5">
      <c r="A36" t="s">
        <v>1321</v>
      </c>
      <c r="B36" s="11" t="s">
        <v>1320</v>
      </c>
      <c r="C36" s="57" t="s">
        <v>388</v>
      </c>
      <c r="D36" s="35" t="s">
        <v>1680</v>
      </c>
      <c r="E36" s="129" t="s">
        <v>1679</v>
      </c>
    </row>
    <row r="37" spans="1:5">
      <c r="A37" t="s">
        <v>1319</v>
      </c>
      <c r="B37" s="11" t="s">
        <v>1318</v>
      </c>
      <c r="C37" s="57" t="s">
        <v>390</v>
      </c>
      <c r="D37" s="35" t="s">
        <v>1678</v>
      </c>
      <c r="E37" s="124" t="s">
        <v>1677</v>
      </c>
    </row>
    <row r="38" spans="1:5">
      <c r="A38" t="s">
        <v>1316</v>
      </c>
      <c r="B38" s="11" t="s">
        <v>1317</v>
      </c>
      <c r="C38" s="57" t="s">
        <v>390</v>
      </c>
      <c r="E38" s="124" t="s">
        <v>1673</v>
      </c>
    </row>
    <row r="39" spans="1:5">
      <c r="A39" t="s">
        <v>1316</v>
      </c>
      <c r="B39" s="11" t="s">
        <v>1315</v>
      </c>
      <c r="C39" s="57" t="s">
        <v>387</v>
      </c>
      <c r="D39" s="35" t="s">
        <v>1676</v>
      </c>
      <c r="E39" s="124" t="s">
        <v>1674</v>
      </c>
    </row>
    <row r="40" spans="1:5">
      <c r="A40" t="s">
        <v>1314</v>
      </c>
      <c r="B40" s="11" t="s">
        <v>1313</v>
      </c>
      <c r="C40" s="57" t="s">
        <v>387</v>
      </c>
      <c r="D40" s="35" t="s">
        <v>1675</v>
      </c>
      <c r="E40" s="124" t="s">
        <v>1674</v>
      </c>
    </row>
    <row r="41" spans="1:5">
      <c r="A41" t="s">
        <v>1311</v>
      </c>
      <c r="B41" s="11" t="s">
        <v>1312</v>
      </c>
      <c r="C41" s="57" t="s">
        <v>390</v>
      </c>
      <c r="E41" s="124" t="s">
        <v>1672</v>
      </c>
    </row>
    <row r="42" spans="1:5">
      <c r="A42" t="s">
        <v>1311</v>
      </c>
      <c r="B42" s="11" t="s">
        <v>1310</v>
      </c>
      <c r="C42" s="57" t="s">
        <v>390</v>
      </c>
      <c r="E42" s="124" t="s">
        <v>1673</v>
      </c>
    </row>
    <row r="43" spans="1:5">
      <c r="A43" t="s">
        <v>1309</v>
      </c>
      <c r="B43" s="11" t="s">
        <v>1308</v>
      </c>
      <c r="C43" s="57" t="s">
        <v>390</v>
      </c>
      <c r="E43" s="124" t="s">
        <v>1672</v>
      </c>
    </row>
    <row r="44" spans="1:5">
      <c r="A44" t="s">
        <v>1307</v>
      </c>
      <c r="B44" s="11" t="s">
        <v>1306</v>
      </c>
      <c r="C44" s="57" t="s">
        <v>390</v>
      </c>
      <c r="E44" s="124" t="s">
        <v>1671</v>
      </c>
    </row>
    <row r="45" spans="1:5">
      <c r="A45" t="s">
        <v>1303</v>
      </c>
      <c r="B45" s="11" t="s">
        <v>1305</v>
      </c>
      <c r="C45" s="57" t="s">
        <v>390</v>
      </c>
      <c r="D45" s="35" t="s">
        <v>1670</v>
      </c>
      <c r="E45" s="124" t="s">
        <v>1668</v>
      </c>
    </row>
    <row r="46" spans="1:5">
      <c r="A46" t="s">
        <v>1303</v>
      </c>
      <c r="B46" s="11" t="s">
        <v>1304</v>
      </c>
      <c r="C46" s="57" t="s">
        <v>390</v>
      </c>
      <c r="D46" s="35" t="s">
        <v>1669</v>
      </c>
      <c r="E46" s="124" t="s">
        <v>1668</v>
      </c>
    </row>
    <row r="47" spans="1:5">
      <c r="A47" t="s">
        <v>1303</v>
      </c>
      <c r="B47" s="11" t="s">
        <v>1302</v>
      </c>
      <c r="C47" s="57" t="s">
        <v>390</v>
      </c>
      <c r="E47" s="124" t="s">
        <v>1667</v>
      </c>
    </row>
    <row r="48" spans="1:5">
      <c r="A48" t="s">
        <v>1301</v>
      </c>
      <c r="B48" s="11" t="s">
        <v>1300</v>
      </c>
      <c r="C48" s="57" t="s">
        <v>390</v>
      </c>
      <c r="D48" s="35" t="s">
        <v>1666</v>
      </c>
      <c r="E48" s="124" t="s">
        <v>1665</v>
      </c>
    </row>
    <row r="49" spans="1:7">
      <c r="A49" t="s">
        <v>1299</v>
      </c>
      <c r="B49" t="s">
        <v>1298</v>
      </c>
      <c r="C49" s="57" t="s">
        <v>390</v>
      </c>
      <c r="D49" t="s">
        <v>1664</v>
      </c>
      <c r="E49" s="124" t="s">
        <v>1623</v>
      </c>
    </row>
    <row r="50" spans="1:7">
      <c r="A50" t="s">
        <v>1297</v>
      </c>
      <c r="B50" t="s">
        <v>1296</v>
      </c>
      <c r="C50" s="57" t="s">
        <v>390</v>
      </c>
      <c r="E50" s="124" t="s">
        <v>1663</v>
      </c>
    </row>
    <row r="51" spans="1:7">
      <c r="B51" s="11"/>
      <c r="E51" s="129"/>
    </row>
    <row r="52" spans="1:7" ht="14.7">
      <c r="A52" s="11" t="s">
        <v>1290</v>
      </c>
      <c r="B52" t="s">
        <v>1295</v>
      </c>
      <c r="C52" s="57" t="s">
        <v>390</v>
      </c>
      <c r="E52" s="35" t="s">
        <v>1423</v>
      </c>
      <c r="F52" s="124" t="s">
        <v>1662</v>
      </c>
      <c r="G52" s="125" t="s">
        <v>1661</v>
      </c>
    </row>
    <row r="53" spans="1:7" ht="14.7">
      <c r="A53" s="11" t="s">
        <v>1290</v>
      </c>
      <c r="B53" t="s">
        <v>1294</v>
      </c>
      <c r="C53" s="57" t="s">
        <v>390</v>
      </c>
      <c r="D53" s="35" t="s">
        <v>1660</v>
      </c>
      <c r="E53" s="124" t="s">
        <v>1659</v>
      </c>
    </row>
    <row r="54" spans="1:7" ht="14.7">
      <c r="A54" s="11" t="s">
        <v>1290</v>
      </c>
      <c r="B54" t="s">
        <v>1293</v>
      </c>
      <c r="C54" s="57" t="s">
        <v>390</v>
      </c>
      <c r="D54" s="35" t="s">
        <v>1658</v>
      </c>
      <c r="E54" s="124" t="s">
        <v>1657</v>
      </c>
    </row>
    <row r="55" spans="1:7" ht="14.7">
      <c r="A55" s="11" t="s">
        <v>1290</v>
      </c>
      <c r="B55" t="s">
        <v>1292</v>
      </c>
      <c r="C55" s="57" t="s">
        <v>390</v>
      </c>
      <c r="D55" s="35" t="s">
        <v>1656</v>
      </c>
      <c r="E55" s="124" t="s">
        <v>1655</v>
      </c>
    </row>
    <row r="56" spans="1:7" ht="14.7">
      <c r="A56" s="11" t="s">
        <v>1290</v>
      </c>
      <c r="B56" t="s">
        <v>1291</v>
      </c>
      <c r="C56" s="57" t="s">
        <v>1548</v>
      </c>
      <c r="D56" s="35" t="s">
        <v>1654</v>
      </c>
      <c r="E56" s="124" t="s">
        <v>1653</v>
      </c>
    </row>
    <row r="57" spans="1:7" ht="17.7">
      <c r="A57" s="11" t="s">
        <v>1290</v>
      </c>
      <c r="B57" t="s">
        <v>1289</v>
      </c>
      <c r="C57" s="57" t="s">
        <v>390</v>
      </c>
      <c r="D57" s="35" t="s">
        <v>1652</v>
      </c>
      <c r="E57" s="124" t="s">
        <v>1651</v>
      </c>
    </row>
    <row r="58" spans="1:7">
      <c r="A58" s="11" t="s">
        <v>19</v>
      </c>
      <c r="B58" t="s">
        <v>19</v>
      </c>
      <c r="C58" s="57" t="s">
        <v>1650</v>
      </c>
      <c r="E58" s="124" t="s">
        <v>671</v>
      </c>
    </row>
    <row r="59" spans="1:7">
      <c r="A59" s="11" t="s">
        <v>18</v>
      </c>
      <c r="B59" t="s">
        <v>18</v>
      </c>
      <c r="C59" s="57" t="s">
        <v>390</v>
      </c>
      <c r="E59" s="124" t="s">
        <v>1649</v>
      </c>
    </row>
    <row r="60" spans="1:7">
      <c r="A60" s="11"/>
    </row>
    <row r="61" spans="1:7">
      <c r="A61" t="s">
        <v>1287</v>
      </c>
      <c r="B61" t="s">
        <v>1286</v>
      </c>
      <c r="C61" s="57" t="s">
        <v>390</v>
      </c>
      <c r="E61" s="124" t="s">
        <v>1648</v>
      </c>
    </row>
    <row r="62" spans="1:7">
      <c r="A62" t="s">
        <v>1284</v>
      </c>
      <c r="B62" t="s">
        <v>1283</v>
      </c>
      <c r="C62" s="57" t="s">
        <v>390</v>
      </c>
      <c r="E62" s="124" t="s">
        <v>1647</v>
      </c>
    </row>
    <row r="64" spans="1:7">
      <c r="A64" t="s">
        <v>1280</v>
      </c>
      <c r="B64" t="s">
        <v>1279</v>
      </c>
      <c r="C64" s="57" t="s">
        <v>388</v>
      </c>
      <c r="D64" s="35" t="s">
        <v>1419</v>
      </c>
      <c r="E64" s="124" t="s">
        <v>1646</v>
      </c>
    </row>
    <row r="65" spans="1:11">
      <c r="A65" t="s">
        <v>1277</v>
      </c>
      <c r="B65" t="s">
        <v>1276</v>
      </c>
      <c r="C65" s="57" t="s">
        <v>388</v>
      </c>
      <c r="D65" s="35" t="s">
        <v>1419</v>
      </c>
      <c r="E65" s="124" t="s">
        <v>1646</v>
      </c>
    </row>
    <row r="67" spans="1:11">
      <c r="A67" s="38" t="s">
        <v>1274</v>
      </c>
    </row>
    <row r="68" spans="1:11">
      <c r="A68" t="s">
        <v>1273</v>
      </c>
      <c r="B68" t="s">
        <v>1272</v>
      </c>
      <c r="C68" s="57" t="s">
        <v>616</v>
      </c>
      <c r="E68" s="35" t="s">
        <v>1437</v>
      </c>
      <c r="F68" s="125" t="s">
        <v>1628</v>
      </c>
      <c r="G68" s="125" t="s">
        <v>1645</v>
      </c>
      <c r="H68" t="s">
        <v>1644</v>
      </c>
      <c r="I68" s="125" t="s">
        <v>1643</v>
      </c>
      <c r="J68" s="125" t="s">
        <v>1642</v>
      </c>
      <c r="K68" s="125" t="s">
        <v>1640</v>
      </c>
    </row>
    <row r="69" spans="1:11">
      <c r="A69" t="s">
        <v>1271</v>
      </c>
      <c r="B69" t="s">
        <v>1270</v>
      </c>
      <c r="C69" s="57" t="s">
        <v>390</v>
      </c>
      <c r="D69" s="35" t="s">
        <v>1630</v>
      </c>
      <c r="E69" s="124" t="s">
        <v>1623</v>
      </c>
    </row>
    <row r="70" spans="1:11">
      <c r="A70" t="s">
        <v>1267</v>
      </c>
      <c r="B70" t="s">
        <v>1269</v>
      </c>
      <c r="C70" s="57" t="s">
        <v>388</v>
      </c>
      <c r="E70" s="125" t="s">
        <v>1641</v>
      </c>
    </row>
    <row r="71" spans="1:11">
      <c r="A71" t="s">
        <v>1267</v>
      </c>
      <c r="B71" t="s">
        <v>1268</v>
      </c>
      <c r="C71" s="57" t="s">
        <v>388</v>
      </c>
      <c r="E71" s="125" t="s">
        <v>1641</v>
      </c>
    </row>
    <row r="72" spans="1:11">
      <c r="A72" t="s">
        <v>1267</v>
      </c>
      <c r="B72" t="s">
        <v>1266</v>
      </c>
      <c r="C72" s="57" t="s">
        <v>388</v>
      </c>
      <c r="E72" s="125" t="s">
        <v>1641</v>
      </c>
    </row>
    <row r="73" spans="1:11">
      <c r="A73" t="s">
        <v>1264</v>
      </c>
      <c r="B73" t="s">
        <v>1265</v>
      </c>
      <c r="C73" s="57" t="s">
        <v>390</v>
      </c>
      <c r="E73" s="124" t="s">
        <v>1640</v>
      </c>
    </row>
    <row r="74" spans="1:11">
      <c r="A74" t="s">
        <v>1264</v>
      </c>
      <c r="B74" t="s">
        <v>1263</v>
      </c>
      <c r="C74" s="57" t="s">
        <v>390</v>
      </c>
      <c r="E74" s="124" t="s">
        <v>1640</v>
      </c>
    </row>
    <row r="75" spans="1:11">
      <c r="A75" t="s">
        <v>1262</v>
      </c>
      <c r="B75" t="s">
        <v>1261</v>
      </c>
      <c r="C75" s="57" t="s">
        <v>390</v>
      </c>
      <c r="E75" s="124" t="s">
        <v>1640</v>
      </c>
    </row>
    <row r="76" spans="1:11">
      <c r="A76" t="s">
        <v>1260</v>
      </c>
      <c r="B76" t="s">
        <v>1259</v>
      </c>
      <c r="C76" s="57" t="s">
        <v>390</v>
      </c>
      <c r="E76" s="125" t="s">
        <v>1639</v>
      </c>
    </row>
    <row r="77" spans="1:11">
      <c r="A77" t="s">
        <v>1258</v>
      </c>
      <c r="B77" t="s">
        <v>1257</v>
      </c>
      <c r="C77" s="57" t="s">
        <v>616</v>
      </c>
      <c r="E77" s="35" t="s">
        <v>1503</v>
      </c>
      <c r="F77" s="125" t="s">
        <v>1638</v>
      </c>
      <c r="G77" s="125" t="s">
        <v>1634</v>
      </c>
      <c r="H77" s="125" t="s">
        <v>1629</v>
      </c>
      <c r="I77" s="125" t="s">
        <v>1637</v>
      </c>
    </row>
    <row r="78" spans="1:11">
      <c r="A78" t="s">
        <v>1256</v>
      </c>
      <c r="B78" t="s">
        <v>1255</v>
      </c>
      <c r="C78" s="57" t="s">
        <v>388</v>
      </c>
      <c r="D78" s="35" t="s">
        <v>1636</v>
      </c>
      <c r="E78" s="124" t="s">
        <v>1635</v>
      </c>
    </row>
    <row r="79" spans="1:11">
      <c r="A79" t="s">
        <v>1254</v>
      </c>
      <c r="B79" t="s">
        <v>1253</v>
      </c>
      <c r="C79" s="57" t="s">
        <v>616</v>
      </c>
      <c r="E79" s="35" t="s">
        <v>1423</v>
      </c>
      <c r="F79" s="125" t="s">
        <v>1634</v>
      </c>
      <c r="G79" s="125" t="s">
        <v>1633</v>
      </c>
    </row>
    <row r="80" spans="1:11">
      <c r="A80" t="s">
        <v>1252</v>
      </c>
      <c r="B80" t="s">
        <v>1251</v>
      </c>
      <c r="C80" s="57" t="s">
        <v>388</v>
      </c>
      <c r="E80" s="124" t="s">
        <v>1632</v>
      </c>
    </row>
    <row r="81" spans="1:20">
      <c r="A81" t="s">
        <v>1250</v>
      </c>
      <c r="B81" t="s">
        <v>1249</v>
      </c>
      <c r="C81" s="57" t="s">
        <v>616</v>
      </c>
      <c r="E81" s="124" t="s">
        <v>1631</v>
      </c>
    </row>
    <row r="82" spans="1:20">
      <c r="A82" t="s">
        <v>1248</v>
      </c>
      <c r="B82" t="s">
        <v>1247</v>
      </c>
      <c r="C82" s="57" t="s">
        <v>390</v>
      </c>
      <c r="D82" t="s">
        <v>1630</v>
      </c>
      <c r="E82" s="124" t="s">
        <v>1623</v>
      </c>
    </row>
    <row r="83" spans="1:20">
      <c r="A83" t="s">
        <v>1246</v>
      </c>
      <c r="B83" t="s">
        <v>1245</v>
      </c>
      <c r="C83" s="57" t="s">
        <v>388</v>
      </c>
      <c r="E83" s="124" t="s">
        <v>1629</v>
      </c>
    </row>
    <row r="84" spans="1:20">
      <c r="A84" t="s">
        <v>1244</v>
      </c>
      <c r="B84" t="s">
        <v>1243</v>
      </c>
      <c r="C84" s="57" t="s">
        <v>388</v>
      </c>
      <c r="E84" s="124" t="s">
        <v>1629</v>
      </c>
    </row>
    <row r="85" spans="1:20">
      <c r="A85" t="s">
        <v>1242</v>
      </c>
      <c r="B85" t="s">
        <v>1241</v>
      </c>
      <c r="C85" s="57" t="s">
        <v>388</v>
      </c>
      <c r="E85" s="124" t="s">
        <v>1628</v>
      </c>
    </row>
    <row r="86" spans="1:20">
      <c r="A86" t="s">
        <v>1240</v>
      </c>
      <c r="B86" t="s">
        <v>1239</v>
      </c>
      <c r="C86" s="57" t="s">
        <v>616</v>
      </c>
      <c r="E86" s="35" t="s">
        <v>1423</v>
      </c>
      <c r="F86" s="125" t="s">
        <v>1627</v>
      </c>
      <c r="G86" s="125" t="s">
        <v>1626</v>
      </c>
    </row>
    <row r="87" spans="1:20">
      <c r="A87" t="s">
        <v>1238</v>
      </c>
      <c r="B87" t="s">
        <v>1237</v>
      </c>
      <c r="C87" s="57" t="s">
        <v>390</v>
      </c>
      <c r="D87" s="35" t="s">
        <v>1625</v>
      </c>
      <c r="E87" s="124" t="s">
        <v>1623</v>
      </c>
    </row>
    <row r="88" spans="1:20">
      <c r="A88" t="s">
        <v>1236</v>
      </c>
      <c r="B88" t="s">
        <v>1235</v>
      </c>
      <c r="C88" s="57" t="s">
        <v>390</v>
      </c>
      <c r="D88" s="35" t="s">
        <v>1624</v>
      </c>
      <c r="E88" s="124" t="s">
        <v>1623</v>
      </c>
    </row>
    <row r="90" spans="1:20">
      <c r="A90" t="s">
        <v>1233</v>
      </c>
      <c r="B90" t="s">
        <v>1232</v>
      </c>
      <c r="C90" s="57" t="s">
        <v>616</v>
      </c>
      <c r="D90" s="35" t="s">
        <v>1622</v>
      </c>
      <c r="E90" s="35" t="s">
        <v>1621</v>
      </c>
      <c r="F90" s="125" t="s">
        <v>1620</v>
      </c>
      <c r="G90" s="125" t="s">
        <v>1619</v>
      </c>
      <c r="H90" s="125" t="s">
        <v>1618</v>
      </c>
      <c r="I90" s="125" t="s">
        <v>1617</v>
      </c>
      <c r="J90" s="125" t="s">
        <v>1616</v>
      </c>
      <c r="K90" s="125" t="s">
        <v>1615</v>
      </c>
      <c r="L90" s="125" t="s">
        <v>1614</v>
      </c>
      <c r="M90" s="125" t="s">
        <v>1613</v>
      </c>
      <c r="N90" s="125" t="s">
        <v>743</v>
      </c>
      <c r="O90" s="125" t="s">
        <v>1612</v>
      </c>
      <c r="P90" s="125" t="s">
        <v>1575</v>
      </c>
      <c r="Q90" s="125" t="s">
        <v>713</v>
      </c>
      <c r="R90" s="125" t="s">
        <v>1611</v>
      </c>
      <c r="S90" s="125" t="s">
        <v>1610</v>
      </c>
      <c r="T90" s="125" t="s">
        <v>1606</v>
      </c>
    </row>
    <row r="91" spans="1:20">
      <c r="A91" t="s">
        <v>1223</v>
      </c>
      <c r="B91" t="s">
        <v>1231</v>
      </c>
      <c r="C91" s="57" t="s">
        <v>1548</v>
      </c>
      <c r="E91" s="124" t="s">
        <v>1606</v>
      </c>
    </row>
    <row r="92" spans="1:20">
      <c r="A92" t="s">
        <v>1223</v>
      </c>
      <c r="B92" t="s">
        <v>1230</v>
      </c>
      <c r="C92" s="57" t="s">
        <v>1548</v>
      </c>
      <c r="E92" s="124" t="s">
        <v>1606</v>
      </c>
    </row>
    <row r="93" spans="1:20">
      <c r="A93" t="s">
        <v>1223</v>
      </c>
      <c r="B93" t="s">
        <v>1229</v>
      </c>
      <c r="C93" s="57" t="s">
        <v>1548</v>
      </c>
      <c r="E93" s="124" t="s">
        <v>1606</v>
      </c>
    </row>
    <row r="94" spans="1:20">
      <c r="A94" t="s">
        <v>1223</v>
      </c>
      <c r="B94" t="s">
        <v>1228</v>
      </c>
      <c r="C94" s="57" t="s">
        <v>1548</v>
      </c>
      <c r="E94" s="124" t="s">
        <v>1606</v>
      </c>
    </row>
    <row r="95" spans="1:20">
      <c r="A95" t="s">
        <v>1223</v>
      </c>
      <c r="B95" t="s">
        <v>1227</v>
      </c>
      <c r="C95" s="57" t="s">
        <v>1548</v>
      </c>
      <c r="E95" s="124" t="s">
        <v>1606</v>
      </c>
    </row>
    <row r="96" spans="1:20">
      <c r="A96" t="s">
        <v>1223</v>
      </c>
      <c r="B96" t="s">
        <v>1226</v>
      </c>
      <c r="C96" s="57" t="s">
        <v>1548</v>
      </c>
      <c r="E96" s="124" t="s">
        <v>1606</v>
      </c>
    </row>
    <row r="97" spans="1:11">
      <c r="A97" t="s">
        <v>1223</v>
      </c>
      <c r="B97" t="s">
        <v>1225</v>
      </c>
      <c r="C97" s="57" t="s">
        <v>1548</v>
      </c>
      <c r="E97" s="124" t="s">
        <v>1606</v>
      </c>
    </row>
    <row r="98" spans="1:11">
      <c r="A98" t="s">
        <v>1223</v>
      </c>
      <c r="B98" t="s">
        <v>1224</v>
      </c>
      <c r="C98" s="57" t="s">
        <v>1548</v>
      </c>
      <c r="E98" s="124" t="s">
        <v>1606</v>
      </c>
    </row>
    <row r="99" spans="1:11">
      <c r="A99" t="s">
        <v>1223</v>
      </c>
      <c r="B99" t="s">
        <v>1222</v>
      </c>
      <c r="C99" s="57" t="s">
        <v>1548</v>
      </c>
      <c r="E99" s="124" t="s">
        <v>1606</v>
      </c>
    </row>
    <row r="100" spans="1:11">
      <c r="A100" t="s">
        <v>1221</v>
      </c>
      <c r="B100" t="s">
        <v>1220</v>
      </c>
      <c r="C100" s="57" t="s">
        <v>616</v>
      </c>
      <c r="D100" s="35" t="s">
        <v>1609</v>
      </c>
      <c r="E100" s="35" t="s">
        <v>1484</v>
      </c>
      <c r="F100" s="125" t="s">
        <v>1608</v>
      </c>
      <c r="G100" s="125" t="s">
        <v>1607</v>
      </c>
      <c r="H100" s="125" t="s">
        <v>1606</v>
      </c>
      <c r="I100" s="125" t="s">
        <v>1605</v>
      </c>
      <c r="J100" s="125" t="s">
        <v>1604</v>
      </c>
    </row>
    <row r="101" spans="1:11">
      <c r="A101" s="11" t="s">
        <v>1219</v>
      </c>
      <c r="B101" s="11" t="s">
        <v>1219</v>
      </c>
      <c r="C101" s="57" t="s">
        <v>616</v>
      </c>
      <c r="D101" s="128" t="s">
        <v>1603</v>
      </c>
      <c r="E101" s="35" t="s">
        <v>1423</v>
      </c>
      <c r="F101" s="125" t="s">
        <v>1602</v>
      </c>
      <c r="G101" s="125" t="s">
        <v>1590</v>
      </c>
    </row>
    <row r="102" spans="1:11">
      <c r="A102" s="11" t="s">
        <v>1218</v>
      </c>
      <c r="B102" s="11" t="s">
        <v>1217</v>
      </c>
      <c r="C102" s="113" t="s">
        <v>616</v>
      </c>
      <c r="D102" s="127"/>
      <c r="E102" s="127" t="s">
        <v>1484</v>
      </c>
      <c r="F102" s="125" t="s">
        <v>1592</v>
      </c>
      <c r="G102" s="125" t="s">
        <v>1590</v>
      </c>
      <c r="H102" s="125" t="s">
        <v>1601</v>
      </c>
      <c r="I102" s="125" t="s">
        <v>1600</v>
      </c>
      <c r="J102" s="125" t="s">
        <v>1599</v>
      </c>
    </row>
    <row r="103" spans="1:11">
      <c r="A103" t="s">
        <v>1216</v>
      </c>
      <c r="B103" t="s">
        <v>1215</v>
      </c>
      <c r="C103" s="57" t="s">
        <v>616</v>
      </c>
      <c r="E103" s="124" t="s">
        <v>812</v>
      </c>
    </row>
    <row r="104" spans="1:11">
      <c r="A104" s="11" t="s">
        <v>1214</v>
      </c>
      <c r="B104" s="11" t="s">
        <v>1213</v>
      </c>
      <c r="C104" s="57" t="s">
        <v>388</v>
      </c>
      <c r="E104" s="35" t="s">
        <v>1437</v>
      </c>
      <c r="F104" s="125" t="s">
        <v>1598</v>
      </c>
      <c r="G104" s="125" t="s">
        <v>1597</v>
      </c>
      <c r="H104" s="125" t="s">
        <v>1596</v>
      </c>
      <c r="I104" s="125" t="s">
        <v>1595</v>
      </c>
      <c r="J104" s="125" t="s">
        <v>1594</v>
      </c>
      <c r="K104" s="125" t="s">
        <v>1593</v>
      </c>
    </row>
    <row r="105" spans="1:11">
      <c r="A105" s="11" t="s">
        <v>1212</v>
      </c>
      <c r="B105" s="11" t="s">
        <v>1212</v>
      </c>
      <c r="C105" s="57" t="s">
        <v>616</v>
      </c>
      <c r="E105" s="35" t="s">
        <v>1402</v>
      </c>
      <c r="F105" s="125" t="s">
        <v>1592</v>
      </c>
      <c r="G105" s="125" t="s">
        <v>1591</v>
      </c>
      <c r="H105" s="125" t="s">
        <v>1590</v>
      </c>
    </row>
    <row r="106" spans="1:11">
      <c r="A106" s="66" t="s">
        <v>1211</v>
      </c>
      <c r="B106" s="11" t="s">
        <v>1210</v>
      </c>
      <c r="C106" s="57" t="s">
        <v>1425</v>
      </c>
      <c r="E106" s="124" t="s">
        <v>1589</v>
      </c>
    </row>
    <row r="107" spans="1:11">
      <c r="A107" s="11"/>
      <c r="B107" s="11"/>
    </row>
    <row r="108" spans="1:11">
      <c r="A108" s="11" t="s">
        <v>1207</v>
      </c>
      <c r="B108" s="11" t="s">
        <v>1206</v>
      </c>
      <c r="E108" s="124" t="s">
        <v>812</v>
      </c>
    </row>
    <row r="109" spans="1:11">
      <c r="A109" s="11"/>
      <c r="B109" s="11"/>
    </row>
    <row r="110" spans="1:11">
      <c r="A110" t="s">
        <v>1202</v>
      </c>
      <c r="B110" t="s">
        <v>1201</v>
      </c>
      <c r="C110" s="57" t="s">
        <v>388</v>
      </c>
      <c r="D110" s="35" t="s">
        <v>1588</v>
      </c>
      <c r="E110" s="124" t="s">
        <v>1587</v>
      </c>
    </row>
    <row r="111" spans="1:11">
      <c r="A111" s="11" t="s">
        <v>1200</v>
      </c>
      <c r="B111" s="11" t="s">
        <v>1199</v>
      </c>
      <c r="C111" s="57" t="s">
        <v>388</v>
      </c>
      <c r="E111" s="124" t="s">
        <v>1586</v>
      </c>
    </row>
    <row r="112" spans="1:11">
      <c r="A112" s="11" t="s">
        <v>1198</v>
      </c>
      <c r="B112" s="11" t="s">
        <v>1197</v>
      </c>
      <c r="C112" s="57" t="s">
        <v>390</v>
      </c>
      <c r="E112" s="124" t="s">
        <v>1585</v>
      </c>
    </row>
    <row r="113" spans="1:14">
      <c r="A113" s="11" t="s">
        <v>1194</v>
      </c>
      <c r="B113" t="s">
        <v>1195</v>
      </c>
      <c r="C113" s="57" t="s">
        <v>388</v>
      </c>
      <c r="E113" s="124" t="s">
        <v>1584</v>
      </c>
    </row>
    <row r="114" spans="1:14">
      <c r="A114" s="11" t="s">
        <v>1194</v>
      </c>
      <c r="B114" t="s">
        <v>1193</v>
      </c>
      <c r="C114" s="57" t="s">
        <v>388</v>
      </c>
      <c r="E114" s="124" t="s">
        <v>1584</v>
      </c>
    </row>
    <row r="115" spans="1:14">
      <c r="A115" s="11"/>
    </row>
    <row r="116" spans="1:14">
      <c r="A116" t="s">
        <v>1191</v>
      </c>
      <c r="B116" t="s">
        <v>1190</v>
      </c>
      <c r="C116" s="57" t="s">
        <v>390</v>
      </c>
      <c r="E116" s="124" t="s">
        <v>1583</v>
      </c>
    </row>
    <row r="117" spans="1:14">
      <c r="A117" s="66" t="s">
        <v>1189</v>
      </c>
      <c r="B117" t="s">
        <v>1188</v>
      </c>
      <c r="C117" s="57" t="s">
        <v>1425</v>
      </c>
      <c r="D117" s="35" t="s">
        <v>1582</v>
      </c>
      <c r="E117" s="124" t="s">
        <v>1581</v>
      </c>
    </row>
    <row r="119" spans="1:14">
      <c r="A119" s="11" t="s">
        <v>1580</v>
      </c>
      <c r="B119" t="s">
        <v>931</v>
      </c>
      <c r="C119" s="57" t="s">
        <v>616</v>
      </c>
      <c r="D119" s="35" t="s">
        <v>1579</v>
      </c>
      <c r="E119" t="s">
        <v>1452</v>
      </c>
      <c r="F119" s="125" t="s">
        <v>1578</v>
      </c>
      <c r="G119" t="s">
        <v>1577</v>
      </c>
      <c r="H119" s="125" t="s">
        <v>849</v>
      </c>
      <c r="I119" s="125" t="s">
        <v>1576</v>
      </c>
      <c r="J119" s="125" t="s">
        <v>1575</v>
      </c>
      <c r="K119" s="125" t="s">
        <v>1574</v>
      </c>
      <c r="L119" s="125" t="s">
        <v>1573</v>
      </c>
      <c r="M119" s="125" t="s">
        <v>1572</v>
      </c>
    </row>
    <row r="120" spans="1:14">
      <c r="A120" s="11" t="s">
        <v>1184</v>
      </c>
      <c r="B120" t="s">
        <v>931</v>
      </c>
      <c r="C120" s="57" t="s">
        <v>387</v>
      </c>
      <c r="D120" s="35" t="s">
        <v>1571</v>
      </c>
      <c r="E120" s="124" t="s">
        <v>1570</v>
      </c>
    </row>
    <row r="121" spans="1:14">
      <c r="A121" s="11" t="s">
        <v>1183</v>
      </c>
      <c r="B121" t="s">
        <v>1183</v>
      </c>
      <c r="C121" s="57" t="s">
        <v>388</v>
      </c>
      <c r="E121" s="124" t="s">
        <v>354</v>
      </c>
      <c r="G121" s="125"/>
      <c r="I121" s="125"/>
      <c r="J121" s="125"/>
      <c r="K121" s="125"/>
      <c r="L121" s="125"/>
      <c r="M121" s="125"/>
      <c r="N121" s="125"/>
    </row>
    <row r="122" spans="1:14">
      <c r="A122" s="11" t="s">
        <v>1182</v>
      </c>
      <c r="B122" t="s">
        <v>1182</v>
      </c>
      <c r="C122" s="57" t="s">
        <v>388</v>
      </c>
      <c r="E122" s="124" t="s">
        <v>1569</v>
      </c>
    </row>
    <row r="123" spans="1:14">
      <c r="A123" s="11" t="s">
        <v>1181</v>
      </c>
      <c r="B123" t="s">
        <v>1181</v>
      </c>
      <c r="C123" s="57" t="s">
        <v>388</v>
      </c>
      <c r="E123" s="124" t="s">
        <v>1568</v>
      </c>
    </row>
    <row r="124" spans="1:14">
      <c r="A124" s="11" t="s">
        <v>1179</v>
      </c>
      <c r="B124" t="s">
        <v>1180</v>
      </c>
      <c r="C124" s="57" t="s">
        <v>387</v>
      </c>
      <c r="D124" s="35" t="s">
        <v>1567</v>
      </c>
      <c r="E124" s="124" t="s">
        <v>1566</v>
      </c>
    </row>
    <row r="125" spans="1:14">
      <c r="A125" s="11" t="s">
        <v>1179</v>
      </c>
      <c r="B125" t="s">
        <v>1178</v>
      </c>
      <c r="C125" s="57" t="s">
        <v>1565</v>
      </c>
      <c r="D125" s="35" t="s">
        <v>1564</v>
      </c>
      <c r="E125" s="124" t="s">
        <v>1562</v>
      </c>
    </row>
    <row r="126" spans="1:14">
      <c r="A126" s="11" t="s">
        <v>1177</v>
      </c>
      <c r="B126" s="34" t="s">
        <v>1176</v>
      </c>
      <c r="C126" s="57" t="s">
        <v>388</v>
      </c>
      <c r="D126" s="35" t="s">
        <v>1563</v>
      </c>
      <c r="E126" s="124" t="s">
        <v>1562</v>
      </c>
    </row>
    <row r="127" spans="1:14">
      <c r="A127" s="11" t="s">
        <v>1173</v>
      </c>
      <c r="B127" t="s">
        <v>1175</v>
      </c>
      <c r="C127" s="57" t="s">
        <v>390</v>
      </c>
      <c r="E127" s="124" t="s">
        <v>1561</v>
      </c>
    </row>
    <row r="128" spans="1:14">
      <c r="A128" s="11" t="s">
        <v>1173</v>
      </c>
      <c r="B128" t="s">
        <v>1174</v>
      </c>
      <c r="C128" s="57" t="s">
        <v>390</v>
      </c>
      <c r="E128" s="124" t="s">
        <v>1561</v>
      </c>
    </row>
    <row r="129" spans="1:5">
      <c r="A129" s="11" t="s">
        <v>1173</v>
      </c>
      <c r="B129" t="s">
        <v>1172</v>
      </c>
      <c r="C129" s="57" t="s">
        <v>390</v>
      </c>
      <c r="E129" s="124" t="s">
        <v>1561</v>
      </c>
    </row>
    <row r="130" spans="1:5">
      <c r="A130" s="11" t="s">
        <v>1171</v>
      </c>
      <c r="B130" t="s">
        <v>1170</v>
      </c>
      <c r="C130" s="57" t="s">
        <v>390</v>
      </c>
      <c r="E130" s="124" t="s">
        <v>1561</v>
      </c>
    </row>
    <row r="131" spans="1:5">
      <c r="A131" s="11" t="s">
        <v>1169</v>
      </c>
      <c r="B131" t="s">
        <v>1168</v>
      </c>
      <c r="C131" s="57" t="s">
        <v>1548</v>
      </c>
      <c r="E131" s="124" t="s">
        <v>1560</v>
      </c>
    </row>
    <row r="132" spans="1:5">
      <c r="A132" s="11" t="s">
        <v>1167</v>
      </c>
      <c r="B132" t="s">
        <v>1167</v>
      </c>
      <c r="C132" s="57" t="s">
        <v>388</v>
      </c>
      <c r="E132" s="124" t="s">
        <v>1559</v>
      </c>
    </row>
    <row r="133" spans="1:5">
      <c r="A133" s="11" t="s">
        <v>1166</v>
      </c>
      <c r="B133" t="s">
        <v>1166</v>
      </c>
      <c r="C133" s="57" t="s">
        <v>388</v>
      </c>
      <c r="E133" s="124" t="s">
        <v>1559</v>
      </c>
    </row>
    <row r="134" spans="1:5">
      <c r="A134" s="11" t="s">
        <v>1165</v>
      </c>
      <c r="B134" t="s">
        <v>1164</v>
      </c>
      <c r="E134" s="124" t="s">
        <v>1558</v>
      </c>
    </row>
    <row r="135" spans="1:5">
      <c r="A135" s="11" t="s">
        <v>1163</v>
      </c>
      <c r="B135" t="s">
        <v>1162</v>
      </c>
      <c r="C135" s="57" t="s">
        <v>1548</v>
      </c>
      <c r="D135" s="35" t="s">
        <v>1557</v>
      </c>
      <c r="E135" s="124" t="s">
        <v>1556</v>
      </c>
    </row>
    <row r="136" spans="1:5">
      <c r="A136" s="11" t="s">
        <v>1160</v>
      </c>
      <c r="B136" t="s">
        <v>1161</v>
      </c>
      <c r="C136" s="57" t="s">
        <v>388</v>
      </c>
      <c r="E136" s="124" t="s">
        <v>1555</v>
      </c>
    </row>
    <row r="137" spans="1:5" ht="28.8">
      <c r="A137" s="11" t="s">
        <v>1160</v>
      </c>
      <c r="B137" t="s">
        <v>1159</v>
      </c>
      <c r="C137" s="57" t="s">
        <v>616</v>
      </c>
      <c r="D137" s="126" t="s">
        <v>1554</v>
      </c>
      <c r="E137" s="124" t="s">
        <v>1553</v>
      </c>
    </row>
    <row r="138" spans="1:5">
      <c r="A138" s="11" t="s">
        <v>1158</v>
      </c>
      <c r="B138" t="s">
        <v>1157</v>
      </c>
      <c r="C138" s="57" t="s">
        <v>1552</v>
      </c>
      <c r="D138" s="35" t="s">
        <v>1551</v>
      </c>
      <c r="E138" s="124" t="s">
        <v>1550</v>
      </c>
    </row>
    <row r="139" spans="1:5">
      <c r="A139" s="11" t="s">
        <v>1156</v>
      </c>
      <c r="B139" s="11" t="s">
        <v>1155</v>
      </c>
      <c r="C139" s="57" t="s">
        <v>388</v>
      </c>
      <c r="E139" s="124" t="s">
        <v>1549</v>
      </c>
    </row>
    <row r="140" spans="1:5">
      <c r="A140" s="11" t="s">
        <v>1154</v>
      </c>
      <c r="B140" s="11" t="s">
        <v>1153</v>
      </c>
      <c r="C140" s="57" t="s">
        <v>1548</v>
      </c>
      <c r="D140" s="35" t="s">
        <v>1547</v>
      </c>
      <c r="E140" s="124" t="s">
        <v>1546</v>
      </c>
    </row>
    <row r="141" spans="1:5">
      <c r="A141" s="11" t="s">
        <v>1152</v>
      </c>
      <c r="B141" t="s">
        <v>1151</v>
      </c>
      <c r="C141" s="57" t="s">
        <v>388</v>
      </c>
      <c r="E141" s="124" t="s">
        <v>1545</v>
      </c>
    </row>
    <row r="142" spans="1:5">
      <c r="A142" s="11" t="s">
        <v>1150</v>
      </c>
      <c r="B142" t="s">
        <v>1149</v>
      </c>
      <c r="E142" s="124" t="s">
        <v>1544</v>
      </c>
    </row>
    <row r="143" spans="1:5">
      <c r="A143" s="11" t="s">
        <v>1148</v>
      </c>
      <c r="B143" s="11" t="s">
        <v>1148</v>
      </c>
      <c r="C143" s="57" t="s">
        <v>388</v>
      </c>
      <c r="D143" s="35" t="s">
        <v>1543</v>
      </c>
      <c r="E143" s="124" t="s">
        <v>1540</v>
      </c>
    </row>
    <row r="144" spans="1:5">
      <c r="A144" s="11" t="s">
        <v>1146</v>
      </c>
      <c r="B144" s="11" t="s">
        <v>1542</v>
      </c>
      <c r="C144" s="57" t="s">
        <v>388</v>
      </c>
      <c r="D144" s="35" t="s">
        <v>1541</v>
      </c>
      <c r="E144" s="124" t="s">
        <v>1540</v>
      </c>
    </row>
    <row r="145" spans="1:9">
      <c r="A145" s="11" t="s">
        <v>1146</v>
      </c>
      <c r="B145" s="11" t="s">
        <v>1145</v>
      </c>
      <c r="C145" s="57" t="s">
        <v>388</v>
      </c>
      <c r="D145" s="35" t="s">
        <v>1541</v>
      </c>
      <c r="E145" s="124" t="s">
        <v>1540</v>
      </c>
    </row>
    <row r="146" spans="1:9">
      <c r="A146" s="11" t="s">
        <v>1144</v>
      </c>
      <c r="B146" t="s">
        <v>1143</v>
      </c>
      <c r="C146" s="57" t="s">
        <v>388</v>
      </c>
      <c r="D146" s="35" t="s">
        <v>1541</v>
      </c>
      <c r="E146" s="124" t="s">
        <v>1540</v>
      </c>
    </row>
    <row r="147" spans="1:9">
      <c r="A147" s="11"/>
      <c r="B147" s="11"/>
    </row>
    <row r="148" spans="1:9">
      <c r="A148" t="s">
        <v>1141</v>
      </c>
      <c r="B148" t="s">
        <v>1140</v>
      </c>
      <c r="C148" s="57" t="s">
        <v>616</v>
      </c>
      <c r="E148" s="35" t="s">
        <v>1503</v>
      </c>
      <c r="F148" s="125" t="s">
        <v>1539</v>
      </c>
      <c r="G148" s="125" t="s">
        <v>1538</v>
      </c>
      <c r="H148" s="125" t="s">
        <v>1537</v>
      </c>
      <c r="I148" s="125" t="s">
        <v>1536</v>
      </c>
    </row>
    <row r="149" spans="1:9">
      <c r="A149" t="s">
        <v>1138</v>
      </c>
      <c r="B149" t="s">
        <v>1138</v>
      </c>
      <c r="C149" s="57" t="s">
        <v>1535</v>
      </c>
      <c r="D149" s="35" t="s">
        <v>1534</v>
      </c>
      <c r="E149" s="124" t="s">
        <v>1533</v>
      </c>
    </row>
    <row r="150" spans="1:9">
      <c r="A150" t="s">
        <v>1137</v>
      </c>
      <c r="B150" t="s">
        <v>1137</v>
      </c>
      <c r="C150" s="57" t="s">
        <v>1532</v>
      </c>
      <c r="D150" s="35" t="s">
        <v>1531</v>
      </c>
      <c r="E150" s="124" t="s">
        <v>1530</v>
      </c>
    </row>
    <row r="152" spans="1:9">
      <c r="A152" t="s">
        <v>1136</v>
      </c>
      <c r="B152" t="s">
        <v>1135</v>
      </c>
      <c r="C152" s="57" t="s">
        <v>616</v>
      </c>
      <c r="D152" s="35" t="s">
        <v>1529</v>
      </c>
      <c r="E152" s="124" t="s">
        <v>1526</v>
      </c>
    </row>
    <row r="153" spans="1:9">
      <c r="A153" t="s">
        <v>1133</v>
      </c>
      <c r="B153" t="s">
        <v>1132</v>
      </c>
      <c r="C153" s="57" t="s">
        <v>616</v>
      </c>
      <c r="D153" s="35" t="s">
        <v>1528</v>
      </c>
      <c r="E153" s="124" t="s">
        <v>1440</v>
      </c>
      <c r="F153" s="125"/>
      <c r="G153" s="125"/>
    </row>
    <row r="154" spans="1:9">
      <c r="A154" t="s">
        <v>1131</v>
      </c>
      <c r="B154" t="s">
        <v>1130</v>
      </c>
      <c r="C154" s="57" t="s">
        <v>388</v>
      </c>
      <c r="E154" s="124" t="s">
        <v>1527</v>
      </c>
    </row>
    <row r="156" spans="1:9">
      <c r="A156" s="38" t="s">
        <v>1127</v>
      </c>
    </row>
    <row r="157" spans="1:9">
      <c r="A157" t="s">
        <v>1126</v>
      </c>
      <c r="B157" t="s">
        <v>1125</v>
      </c>
      <c r="C157" s="57" t="s">
        <v>616</v>
      </c>
      <c r="E157" s="125" t="s">
        <v>1526</v>
      </c>
    </row>
    <row r="158" spans="1:9">
      <c r="A158" t="s">
        <v>1124</v>
      </c>
      <c r="B158" t="s">
        <v>1124</v>
      </c>
      <c r="C158" s="57" t="s">
        <v>616</v>
      </c>
      <c r="E158" s="125" t="s">
        <v>812</v>
      </c>
    </row>
    <row r="159" spans="1:9">
      <c r="A159" t="s">
        <v>1123</v>
      </c>
      <c r="B159" t="s">
        <v>1122</v>
      </c>
      <c r="E159" s="125" t="s">
        <v>851</v>
      </c>
    </row>
    <row r="160" spans="1:9">
      <c r="A160" t="s">
        <v>1121</v>
      </c>
      <c r="B160" t="s">
        <v>1120</v>
      </c>
      <c r="E160" s="125" t="s">
        <v>811</v>
      </c>
    </row>
    <row r="161" spans="1:16">
      <c r="A161" t="s">
        <v>1118</v>
      </c>
      <c r="B161" t="s">
        <v>1117</v>
      </c>
      <c r="C161" s="57" t="s">
        <v>616</v>
      </c>
      <c r="E161" t="s">
        <v>1437</v>
      </c>
      <c r="F161" s="125" t="s">
        <v>1525</v>
      </c>
      <c r="G161" s="125" t="s">
        <v>1524</v>
      </c>
      <c r="H161" s="125" t="s">
        <v>1523</v>
      </c>
      <c r="I161" s="125" t="s">
        <v>1522</v>
      </c>
      <c r="J161" s="125" t="s">
        <v>1521</v>
      </c>
      <c r="K161" s="125" t="s">
        <v>1520</v>
      </c>
    </row>
    <row r="163" spans="1:16">
      <c r="A163" t="s">
        <v>1114</v>
      </c>
      <c r="B163" t="s">
        <v>1113</v>
      </c>
      <c r="C163" s="57" t="s">
        <v>616</v>
      </c>
      <c r="E163" s="124" t="s">
        <v>1415</v>
      </c>
    </row>
    <row r="164" spans="1:16">
      <c r="A164" t="s">
        <v>1112</v>
      </c>
      <c r="B164" t="s">
        <v>1112</v>
      </c>
      <c r="C164" s="57" t="s">
        <v>388</v>
      </c>
      <c r="E164" s="124" t="s">
        <v>1519</v>
      </c>
    </row>
    <row r="165" spans="1:16">
      <c r="A165" t="s">
        <v>1111</v>
      </c>
      <c r="B165" t="s">
        <v>1111</v>
      </c>
      <c r="C165" s="57" t="s">
        <v>388</v>
      </c>
      <c r="E165" s="124" t="s">
        <v>1518</v>
      </c>
    </row>
    <row r="166" spans="1:16">
      <c r="A166" t="s">
        <v>1110</v>
      </c>
      <c r="B166" t="s">
        <v>1110</v>
      </c>
      <c r="C166" s="57" t="s">
        <v>616</v>
      </c>
      <c r="E166" s="124" t="s">
        <v>1517</v>
      </c>
    </row>
    <row r="167" spans="1:16">
      <c r="A167" t="s">
        <v>1109</v>
      </c>
      <c r="B167" t="s">
        <v>1109</v>
      </c>
      <c r="C167" s="57" t="s">
        <v>388</v>
      </c>
      <c r="E167" s="124" t="s">
        <v>1510</v>
      </c>
    </row>
    <row r="168" spans="1:16">
      <c r="A168" t="s">
        <v>1108</v>
      </c>
      <c r="B168" t="s">
        <v>1108</v>
      </c>
      <c r="C168" s="57" t="s">
        <v>388</v>
      </c>
      <c r="E168" s="124" t="s">
        <v>1516</v>
      </c>
    </row>
    <row r="169" spans="1:16">
      <c r="A169" t="s">
        <v>1107</v>
      </c>
      <c r="B169" t="s">
        <v>1107</v>
      </c>
      <c r="C169" s="57" t="s">
        <v>388</v>
      </c>
      <c r="D169" s="35" t="s">
        <v>1515</v>
      </c>
      <c r="E169" s="124" t="s">
        <v>1514</v>
      </c>
    </row>
    <row r="170" spans="1:16">
      <c r="A170" t="s">
        <v>1106</v>
      </c>
      <c r="B170" t="s">
        <v>1106</v>
      </c>
      <c r="C170" s="57" t="s">
        <v>616</v>
      </c>
      <c r="E170" s="124" t="s">
        <v>1415</v>
      </c>
    </row>
    <row r="171" spans="1:16">
      <c r="A171" t="s">
        <v>1105</v>
      </c>
      <c r="B171" t="s">
        <v>1105</v>
      </c>
      <c r="C171" s="57" t="s">
        <v>388</v>
      </c>
      <c r="E171" s="124" t="s">
        <v>1510</v>
      </c>
    </row>
    <row r="172" spans="1:16" ht="28.8">
      <c r="A172" t="s">
        <v>1104</v>
      </c>
      <c r="B172" t="s">
        <v>1104</v>
      </c>
      <c r="C172" s="57" t="s">
        <v>1513</v>
      </c>
      <c r="D172" s="126" t="s">
        <v>1512</v>
      </c>
      <c r="E172" s="35" t="s">
        <v>1511</v>
      </c>
    </row>
    <row r="173" spans="1:16">
      <c r="A173" t="s">
        <v>1103</v>
      </c>
      <c r="B173" t="s">
        <v>1103</v>
      </c>
      <c r="C173" s="57" t="s">
        <v>388</v>
      </c>
      <c r="E173" s="124" t="s">
        <v>1510</v>
      </c>
    </row>
    <row r="174" spans="1:16">
      <c r="A174" t="s">
        <v>1102</v>
      </c>
      <c r="B174" t="s">
        <v>1102</v>
      </c>
      <c r="C174" s="57" t="s">
        <v>388</v>
      </c>
      <c r="E174" s="124" t="s">
        <v>1509</v>
      </c>
    </row>
    <row r="176" spans="1:16">
      <c r="A176" t="s">
        <v>1099</v>
      </c>
      <c r="B176" t="s">
        <v>1098</v>
      </c>
      <c r="D176" t="s">
        <v>1508</v>
      </c>
      <c r="E176" s="35" t="s">
        <v>1471</v>
      </c>
      <c r="F176" s="125" t="s">
        <v>1449</v>
      </c>
      <c r="G176" s="125" t="s">
        <v>1507</v>
      </c>
      <c r="H176" s="125" t="s">
        <v>1451</v>
      </c>
      <c r="I176" s="125" t="s">
        <v>1492</v>
      </c>
      <c r="J176" t="s">
        <v>1506</v>
      </c>
      <c r="K176" s="125" t="s">
        <v>1498</v>
      </c>
      <c r="L176" s="125" t="s">
        <v>1478</v>
      </c>
      <c r="M176" s="125" t="s">
        <v>1466</v>
      </c>
      <c r="N176" s="125" t="s">
        <v>1495</v>
      </c>
      <c r="O176" s="125" t="s">
        <v>1505</v>
      </c>
      <c r="P176" s="125" t="s">
        <v>1464</v>
      </c>
    </row>
    <row r="177" spans="1:26">
      <c r="A177" t="s">
        <v>1097</v>
      </c>
      <c r="B177" t="s">
        <v>1097</v>
      </c>
      <c r="D177" t="s">
        <v>1504</v>
      </c>
      <c r="E177" s="35" t="s">
        <v>1484</v>
      </c>
      <c r="F177" s="125" t="s">
        <v>1449</v>
      </c>
      <c r="G177" s="125" t="s">
        <v>1436</v>
      </c>
      <c r="H177" s="125" t="s">
        <v>1448</v>
      </c>
      <c r="I177" t="s">
        <v>1454</v>
      </c>
      <c r="J177" s="125" t="s">
        <v>1501</v>
      </c>
    </row>
    <row r="178" spans="1:26">
      <c r="A178" t="s">
        <v>1096</v>
      </c>
      <c r="B178" t="s">
        <v>1096</v>
      </c>
      <c r="E178" s="35" t="s">
        <v>1503</v>
      </c>
      <c r="F178" s="125" t="s">
        <v>1449</v>
      </c>
      <c r="G178" s="125" t="s">
        <v>1436</v>
      </c>
      <c r="H178" s="125" t="s">
        <v>1502</v>
      </c>
      <c r="I178" s="125" t="s">
        <v>1501</v>
      </c>
      <c r="J178" s="125"/>
    </row>
    <row r="179" spans="1:26">
      <c r="A179" t="s">
        <v>1095</v>
      </c>
      <c r="B179" t="s">
        <v>1095</v>
      </c>
      <c r="E179" s="124" t="s">
        <v>1500</v>
      </c>
      <c r="F179" s="125"/>
      <c r="G179" s="125"/>
      <c r="H179" s="125"/>
      <c r="I179" s="125"/>
      <c r="J179" s="125"/>
    </row>
    <row r="180" spans="1:26">
      <c r="A180" t="s">
        <v>1094</v>
      </c>
      <c r="B180" t="s">
        <v>1093</v>
      </c>
      <c r="D180" t="s">
        <v>1499</v>
      </c>
      <c r="E180" s="35" t="s">
        <v>1450</v>
      </c>
      <c r="F180" s="125" t="s">
        <v>1449</v>
      </c>
      <c r="G180" s="125" t="s">
        <v>1451</v>
      </c>
      <c r="H180" s="125" t="s">
        <v>1436</v>
      </c>
      <c r="I180" s="125" t="s">
        <v>1498</v>
      </c>
      <c r="J180" t="s">
        <v>1497</v>
      </c>
      <c r="K180" s="125" t="s">
        <v>1448</v>
      </c>
      <c r="L180" s="125" t="s">
        <v>1477</v>
      </c>
      <c r="M180" s="125" t="s">
        <v>1496</v>
      </c>
      <c r="N180" s="125" t="s">
        <v>1495</v>
      </c>
    </row>
    <row r="181" spans="1:26">
      <c r="A181" t="s">
        <v>1092</v>
      </c>
      <c r="B181" t="s">
        <v>1091</v>
      </c>
      <c r="E181" s="35" t="s">
        <v>1494</v>
      </c>
      <c r="F181" s="125" t="s">
        <v>1470</v>
      </c>
      <c r="G181" s="125" t="s">
        <v>1469</v>
      </c>
      <c r="H181" s="125" t="s">
        <v>1493</v>
      </c>
      <c r="I181" s="125" t="s">
        <v>1449</v>
      </c>
      <c r="J181" s="125" t="s">
        <v>1451</v>
      </c>
      <c r="K181" s="125" t="s">
        <v>1492</v>
      </c>
      <c r="L181" s="125" t="s">
        <v>1479</v>
      </c>
      <c r="M181" s="125" t="s">
        <v>1478</v>
      </c>
      <c r="N181" s="125" t="s">
        <v>1432</v>
      </c>
      <c r="O181" s="125" t="s">
        <v>1448</v>
      </c>
      <c r="P181" s="125" t="s">
        <v>1477</v>
      </c>
      <c r="Q181" s="125" t="s">
        <v>1476</v>
      </c>
      <c r="R181" s="125" t="s">
        <v>1455</v>
      </c>
      <c r="S181" s="125" t="s">
        <v>1491</v>
      </c>
      <c r="T181" s="125" t="s">
        <v>1490</v>
      </c>
      <c r="U181" s="125" t="s">
        <v>1475</v>
      </c>
      <c r="V181" s="125" t="s">
        <v>1474</v>
      </c>
      <c r="W181" s="125" t="s">
        <v>1489</v>
      </c>
      <c r="X181" s="125" t="s">
        <v>1488</v>
      </c>
      <c r="Y181" s="125" t="s">
        <v>1464</v>
      </c>
      <c r="Z181" s="125" t="s">
        <v>1487</v>
      </c>
    </row>
    <row r="182" spans="1:26">
      <c r="A182" t="s">
        <v>1090</v>
      </c>
      <c r="B182" t="s">
        <v>1090</v>
      </c>
      <c r="E182" s="35" t="s">
        <v>1484</v>
      </c>
      <c r="F182" s="125" t="s">
        <v>1449</v>
      </c>
      <c r="G182" s="125" t="s">
        <v>1451</v>
      </c>
      <c r="H182" s="125" t="s">
        <v>1436</v>
      </c>
      <c r="I182" s="125" t="s">
        <v>1483</v>
      </c>
      <c r="J182" s="125" t="s">
        <v>1448</v>
      </c>
    </row>
    <row r="183" spans="1:26">
      <c r="A183" t="s">
        <v>1089</v>
      </c>
      <c r="B183" t="s">
        <v>1089</v>
      </c>
      <c r="E183" s="35" t="s">
        <v>1484</v>
      </c>
      <c r="F183" s="125" t="s">
        <v>1449</v>
      </c>
      <c r="G183" s="125" t="s">
        <v>1480</v>
      </c>
      <c r="H183" s="125" t="s">
        <v>1486</v>
      </c>
      <c r="I183" s="125" t="s">
        <v>1436</v>
      </c>
      <c r="J183" s="125" t="s">
        <v>1485</v>
      </c>
    </row>
    <row r="184" spans="1:26">
      <c r="A184" t="s">
        <v>1088</v>
      </c>
      <c r="B184" t="s">
        <v>1087</v>
      </c>
      <c r="E184" s="35" t="s">
        <v>1484</v>
      </c>
      <c r="F184" s="125" t="s">
        <v>1449</v>
      </c>
      <c r="G184" s="125" t="s">
        <v>1436</v>
      </c>
      <c r="H184" s="125" t="s">
        <v>1448</v>
      </c>
      <c r="I184" s="125" t="s">
        <v>1483</v>
      </c>
      <c r="J184" s="125" t="s">
        <v>1482</v>
      </c>
    </row>
    <row r="185" spans="1:26">
      <c r="A185" t="s">
        <v>1086</v>
      </c>
      <c r="B185" t="s">
        <v>1085</v>
      </c>
      <c r="E185" s="35" t="s">
        <v>1481</v>
      </c>
      <c r="F185" s="125" t="s">
        <v>1449</v>
      </c>
      <c r="G185" s="125" t="s">
        <v>1451</v>
      </c>
      <c r="H185" s="125" t="s">
        <v>1480</v>
      </c>
      <c r="I185" s="125" t="s">
        <v>1436</v>
      </c>
      <c r="J185" s="125" t="s">
        <v>1479</v>
      </c>
      <c r="K185" s="125" t="s">
        <v>1462</v>
      </c>
      <c r="L185" s="125" t="s">
        <v>1478</v>
      </c>
      <c r="M185" s="125" t="s">
        <v>1432</v>
      </c>
      <c r="N185" s="125" t="s">
        <v>1477</v>
      </c>
      <c r="O185" s="125" t="s">
        <v>1476</v>
      </c>
      <c r="P185" s="125" t="s">
        <v>1475</v>
      </c>
      <c r="Q185" s="125" t="s">
        <v>1474</v>
      </c>
      <c r="R185" s="125" t="s">
        <v>1473</v>
      </c>
    </row>
    <row r="186" spans="1:26">
      <c r="A186" t="s">
        <v>1084</v>
      </c>
      <c r="B186" t="s">
        <v>1084</v>
      </c>
      <c r="D186" s="34" t="s">
        <v>1472</v>
      </c>
      <c r="E186" s="35" t="s">
        <v>1471</v>
      </c>
      <c r="F186" s="125" t="s">
        <v>1470</v>
      </c>
      <c r="G186" s="125" t="s">
        <v>1469</v>
      </c>
      <c r="H186" s="125" t="s">
        <v>1449</v>
      </c>
      <c r="I186" s="125" t="s">
        <v>1451</v>
      </c>
      <c r="J186" s="125" t="s">
        <v>1436</v>
      </c>
      <c r="K186" t="s">
        <v>1468</v>
      </c>
      <c r="L186" s="125" t="s">
        <v>1432</v>
      </c>
      <c r="M186" s="125" t="s">
        <v>1467</v>
      </c>
      <c r="N186" s="125" t="s">
        <v>1466</v>
      </c>
      <c r="O186" s="125" t="s">
        <v>1465</v>
      </c>
      <c r="P186" s="125" t="s">
        <v>1464</v>
      </c>
    </row>
    <row r="187" spans="1:26">
      <c r="A187" t="s">
        <v>1083</v>
      </c>
      <c r="B187" t="s">
        <v>1083</v>
      </c>
      <c r="E187" s="35" t="s">
        <v>1452</v>
      </c>
      <c r="F187" s="125" t="s">
        <v>1449</v>
      </c>
      <c r="G187" s="125" t="s">
        <v>1451</v>
      </c>
      <c r="H187" s="125" t="s">
        <v>1463</v>
      </c>
      <c r="I187" s="125" t="s">
        <v>1436</v>
      </c>
      <c r="J187" s="125" t="s">
        <v>1435</v>
      </c>
      <c r="K187" s="125" t="s">
        <v>1462</v>
      </c>
      <c r="L187" s="125" t="s">
        <v>1461</v>
      </c>
      <c r="M187" s="125" t="s">
        <v>1460</v>
      </c>
    </row>
    <row r="188" spans="1:26">
      <c r="A188" t="s">
        <v>1082</v>
      </c>
      <c r="B188" t="s">
        <v>1082</v>
      </c>
      <c r="E188" s="35" t="s">
        <v>1423</v>
      </c>
      <c r="F188" s="125" t="s">
        <v>1436</v>
      </c>
      <c r="G188" s="125" t="s">
        <v>1459</v>
      </c>
    </row>
    <row r="189" spans="1:26">
      <c r="A189" t="s">
        <v>1081</v>
      </c>
      <c r="B189" t="s">
        <v>1081</v>
      </c>
      <c r="D189" t="s">
        <v>1458</v>
      </c>
      <c r="E189" s="35" t="s">
        <v>1457</v>
      </c>
      <c r="F189" s="125" t="s">
        <v>1449</v>
      </c>
      <c r="G189" s="125" t="s">
        <v>1451</v>
      </c>
      <c r="H189" s="125" t="s">
        <v>1436</v>
      </c>
      <c r="I189" s="125" t="s">
        <v>1448</v>
      </c>
      <c r="J189" s="125" t="s">
        <v>1456</v>
      </c>
      <c r="K189" s="125" t="s">
        <v>1455</v>
      </c>
      <c r="L189" s="125" t="s">
        <v>1447</v>
      </c>
      <c r="M189" s="125" t="s">
        <v>1445</v>
      </c>
      <c r="N189" t="s">
        <v>1454</v>
      </c>
      <c r="O189" s="125" t="s">
        <v>1453</v>
      </c>
    </row>
    <row r="190" spans="1:26">
      <c r="A190" t="s">
        <v>1080</v>
      </c>
      <c r="B190" t="s">
        <v>1080</v>
      </c>
      <c r="E190" s="35" t="s">
        <v>1452</v>
      </c>
      <c r="F190" s="125" t="s">
        <v>1449</v>
      </c>
      <c r="G190" s="125" t="s">
        <v>1451</v>
      </c>
      <c r="H190" s="125" t="s">
        <v>1436</v>
      </c>
      <c r="I190" s="125" t="s">
        <v>1435</v>
      </c>
      <c r="J190" s="125" t="s">
        <v>1434</v>
      </c>
      <c r="K190" s="125" t="s">
        <v>1448</v>
      </c>
      <c r="L190" s="125" t="s">
        <v>1447</v>
      </c>
      <c r="M190" s="125" t="s">
        <v>1445</v>
      </c>
    </row>
    <row r="191" spans="1:26">
      <c r="A191" t="s">
        <v>1079</v>
      </c>
      <c r="B191" t="s">
        <v>1079</v>
      </c>
      <c r="E191" s="35" t="s">
        <v>1450</v>
      </c>
      <c r="F191" s="125" t="s">
        <v>1449</v>
      </c>
      <c r="G191" s="125" t="s">
        <v>1436</v>
      </c>
      <c r="H191" s="125" t="s">
        <v>1435</v>
      </c>
      <c r="I191" s="125" t="s">
        <v>1434</v>
      </c>
      <c r="J191" s="125" t="s">
        <v>1448</v>
      </c>
      <c r="K191" s="125" t="s">
        <v>1447</v>
      </c>
      <c r="L191" s="125" t="s">
        <v>1446</v>
      </c>
      <c r="M191" s="125" t="s">
        <v>1445</v>
      </c>
      <c r="N191" s="125" t="s">
        <v>1444</v>
      </c>
    </row>
    <row r="192" spans="1:26">
      <c r="A192" t="s">
        <v>1078</v>
      </c>
      <c r="B192" t="s">
        <v>1078</v>
      </c>
      <c r="E192" s="35" t="s">
        <v>1402</v>
      </c>
      <c r="F192" s="125" t="s">
        <v>1443</v>
      </c>
      <c r="G192" s="125" t="s">
        <v>1442</v>
      </c>
      <c r="H192" s="125" t="s">
        <v>1441</v>
      </c>
    </row>
    <row r="193" spans="1:12">
      <c r="A193" t="s">
        <v>1077</v>
      </c>
      <c r="B193" t="s">
        <v>1076</v>
      </c>
      <c r="E193" s="124" t="s">
        <v>811</v>
      </c>
    </row>
    <row r="194" spans="1:12">
      <c r="A194" t="s">
        <v>1075</v>
      </c>
      <c r="B194" t="s">
        <v>1074</v>
      </c>
      <c r="E194" s="124" t="s">
        <v>1440</v>
      </c>
    </row>
    <row r="196" spans="1:12">
      <c r="A196" t="s">
        <v>1073</v>
      </c>
      <c r="B196" t="s">
        <v>1073</v>
      </c>
      <c r="E196" s="35" t="s">
        <v>1402</v>
      </c>
      <c r="F196" s="125" t="s">
        <v>1436</v>
      </c>
      <c r="G196" s="125" t="s">
        <v>1432</v>
      </c>
      <c r="H196" s="125" t="s">
        <v>1431</v>
      </c>
    </row>
    <row r="197" spans="1:12">
      <c r="A197" t="s">
        <v>1072</v>
      </c>
      <c r="B197" t="s">
        <v>1072</v>
      </c>
      <c r="E197" s="35" t="s">
        <v>1439</v>
      </c>
      <c r="F197" s="125" t="s">
        <v>1436</v>
      </c>
      <c r="G197" s="125" t="s">
        <v>1435</v>
      </c>
      <c r="H197" s="125" t="s">
        <v>1434</v>
      </c>
      <c r="I197" s="125" t="s">
        <v>1438</v>
      </c>
      <c r="J197" s="125" t="s">
        <v>1433</v>
      </c>
      <c r="K197" s="125" t="s">
        <v>1432</v>
      </c>
      <c r="L197" s="125" t="s">
        <v>1431</v>
      </c>
    </row>
    <row r="198" spans="1:12">
      <c r="A198" t="s">
        <v>1071</v>
      </c>
      <c r="B198" t="s">
        <v>1071</v>
      </c>
      <c r="E198" s="35" t="s">
        <v>1437</v>
      </c>
      <c r="F198" s="125" t="s">
        <v>1436</v>
      </c>
      <c r="G198" s="125" t="s">
        <v>1435</v>
      </c>
      <c r="H198" s="125" t="s">
        <v>1434</v>
      </c>
      <c r="I198" s="125" t="s">
        <v>1433</v>
      </c>
      <c r="J198" s="125" t="s">
        <v>1432</v>
      </c>
      <c r="K198" s="125" t="s">
        <v>1431</v>
      </c>
    </row>
    <row r="199" spans="1:12">
      <c r="A199" t="s">
        <v>1070</v>
      </c>
      <c r="B199" t="s">
        <v>1069</v>
      </c>
      <c r="C199" s="57" t="s">
        <v>616</v>
      </c>
      <c r="E199" s="124" t="s">
        <v>811</v>
      </c>
    </row>
    <row r="201" spans="1:12">
      <c r="A201" t="s">
        <v>1067</v>
      </c>
      <c r="B201" t="s">
        <v>1066</v>
      </c>
      <c r="C201" s="57" t="s">
        <v>388</v>
      </c>
      <c r="D201" s="35" t="s">
        <v>1430</v>
      </c>
      <c r="E201" s="124" t="s">
        <v>1429</v>
      </c>
    </row>
    <row r="202" spans="1:12">
      <c r="A202" t="s">
        <v>1065</v>
      </c>
      <c r="B202" t="s">
        <v>1065</v>
      </c>
      <c r="C202" s="57" t="s">
        <v>388</v>
      </c>
      <c r="D202" s="35" t="s">
        <v>1430</v>
      </c>
      <c r="E202" s="124" t="s">
        <v>1429</v>
      </c>
    </row>
    <row r="203" spans="1:12">
      <c r="A203" t="s">
        <v>1064</v>
      </c>
      <c r="B203" t="s">
        <v>1063</v>
      </c>
      <c r="C203" s="57" t="s">
        <v>388</v>
      </c>
      <c r="D203" s="35" t="s">
        <v>1430</v>
      </c>
      <c r="E203" s="124" t="s">
        <v>1429</v>
      </c>
    </row>
    <row r="205" spans="1:12">
      <c r="A205" s="38" t="s">
        <v>1060</v>
      </c>
    </row>
    <row r="206" spans="1:12">
      <c r="A206" t="s">
        <v>1059</v>
      </c>
      <c r="B206" t="s">
        <v>1058</v>
      </c>
      <c r="C206" s="57" t="s">
        <v>616</v>
      </c>
      <c r="E206" s="124" t="s">
        <v>1428</v>
      </c>
    </row>
    <row r="207" spans="1:12">
      <c r="A207" s="66" t="s">
        <v>1057</v>
      </c>
      <c r="B207" t="s">
        <v>1056</v>
      </c>
      <c r="C207" s="57" t="s">
        <v>1425</v>
      </c>
      <c r="D207" s="35" t="s">
        <v>118</v>
      </c>
      <c r="E207" s="124" t="s">
        <v>1427</v>
      </c>
    </row>
    <row r="208" spans="1:12">
      <c r="A208" s="66" t="s">
        <v>1055</v>
      </c>
      <c r="B208" t="s">
        <v>1054</v>
      </c>
      <c r="C208" s="57" t="s">
        <v>1425</v>
      </c>
      <c r="D208" s="35" t="s">
        <v>118</v>
      </c>
      <c r="E208" s="124" t="s">
        <v>1426</v>
      </c>
    </row>
    <row r="209" spans="1:7">
      <c r="A209" s="66" t="s">
        <v>1053</v>
      </c>
      <c r="B209" t="s">
        <v>1052</v>
      </c>
      <c r="C209" s="57" t="s">
        <v>1425</v>
      </c>
      <c r="D209" s="35" t="s">
        <v>118</v>
      </c>
      <c r="E209" s="124" t="s">
        <v>1424</v>
      </c>
    </row>
    <row r="210" spans="1:7">
      <c r="A210" t="s">
        <v>1051</v>
      </c>
      <c r="B210" t="s">
        <v>1050</v>
      </c>
      <c r="C210" s="57" t="s">
        <v>616</v>
      </c>
      <c r="E210" s="124" t="s">
        <v>811</v>
      </c>
    </row>
    <row r="211" spans="1:7">
      <c r="A211" t="s">
        <v>1049</v>
      </c>
      <c r="B211" t="s">
        <v>1048</v>
      </c>
      <c r="C211" s="57" t="s">
        <v>388</v>
      </c>
      <c r="E211" s="35" t="s">
        <v>1423</v>
      </c>
      <c r="F211" s="125" t="s">
        <v>1422</v>
      </c>
      <c r="G211" s="125" t="s">
        <v>1421</v>
      </c>
    </row>
    <row r="213" spans="1:7">
      <c r="A213" t="s">
        <v>1046</v>
      </c>
      <c r="B213" t="s">
        <v>535</v>
      </c>
      <c r="C213" s="57" t="s">
        <v>616</v>
      </c>
      <c r="D213" s="35" t="s">
        <v>1419</v>
      </c>
      <c r="E213" s="124" t="s">
        <v>1418</v>
      </c>
    </row>
    <row r="214" spans="1:7" ht="14.7">
      <c r="A214" t="s">
        <v>1045</v>
      </c>
      <c r="B214" t="s">
        <v>1044</v>
      </c>
      <c r="C214" s="57" t="s">
        <v>388</v>
      </c>
      <c r="D214" s="35" t="s">
        <v>1419</v>
      </c>
      <c r="E214" s="125" t="s">
        <v>1420</v>
      </c>
    </row>
    <row r="215" spans="1:7">
      <c r="A215" t="s">
        <v>1042</v>
      </c>
      <c r="B215" t="s">
        <v>1041</v>
      </c>
      <c r="C215" s="57" t="s">
        <v>616</v>
      </c>
      <c r="E215" s="124" t="s">
        <v>811</v>
      </c>
    </row>
    <row r="216" spans="1:7">
      <c r="A216" t="s">
        <v>1039</v>
      </c>
      <c r="B216" t="s">
        <v>1038</v>
      </c>
      <c r="C216" s="57" t="s">
        <v>616</v>
      </c>
      <c r="D216" s="35" t="s">
        <v>1419</v>
      </c>
      <c r="E216" s="124" t="s">
        <v>811</v>
      </c>
    </row>
    <row r="217" spans="1:7">
      <c r="A217" t="s">
        <v>1037</v>
      </c>
      <c r="B217" t="s">
        <v>1036</v>
      </c>
      <c r="C217" s="57" t="s">
        <v>616</v>
      </c>
      <c r="D217" s="35" t="s">
        <v>1419</v>
      </c>
      <c r="E217" s="124" t="s">
        <v>1418</v>
      </c>
    </row>
    <row r="219" spans="1:7">
      <c r="A219" t="s">
        <v>1033</v>
      </c>
      <c r="B219" t="s">
        <v>1032</v>
      </c>
      <c r="C219" s="57" t="s">
        <v>616</v>
      </c>
      <c r="E219" s="124" t="s">
        <v>1415</v>
      </c>
    </row>
    <row r="220" spans="1:7">
      <c r="A220" t="s">
        <v>1031</v>
      </c>
      <c r="B220" t="s">
        <v>1030</v>
      </c>
      <c r="C220" s="57" t="s">
        <v>616</v>
      </c>
      <c r="E220" s="124" t="s">
        <v>1417</v>
      </c>
    </row>
    <row r="222" spans="1:7">
      <c r="A222" s="66" t="s">
        <v>1027</v>
      </c>
      <c r="B222" s="11" t="s">
        <v>1026</v>
      </c>
      <c r="E222" s="124" t="s">
        <v>1416</v>
      </c>
    </row>
    <row r="223" spans="1:7">
      <c r="A223" s="66"/>
      <c r="B223" s="11"/>
    </row>
    <row r="224" spans="1:7">
      <c r="A224" s="38" t="s">
        <v>1023</v>
      </c>
    </row>
    <row r="225" spans="1:8">
      <c r="A225" t="s">
        <v>1022</v>
      </c>
      <c r="B225" t="s">
        <v>1021</v>
      </c>
      <c r="E225" s="124" t="s">
        <v>812</v>
      </c>
    </row>
    <row r="226" spans="1:8">
      <c r="A226" t="s">
        <v>1019</v>
      </c>
      <c r="B226" t="s">
        <v>1018</v>
      </c>
      <c r="E226" s="124" t="s">
        <v>1415</v>
      </c>
    </row>
    <row r="227" spans="1:8">
      <c r="A227" t="s">
        <v>1017</v>
      </c>
      <c r="B227" t="s">
        <v>1016</v>
      </c>
      <c r="E227" s="124" t="s">
        <v>811</v>
      </c>
    </row>
    <row r="229" spans="1:8">
      <c r="A229" s="38" t="s">
        <v>1014</v>
      </c>
    </row>
    <row r="230" spans="1:8">
      <c r="A230" s="66" t="s">
        <v>1013</v>
      </c>
      <c r="B230" t="s">
        <v>1012</v>
      </c>
      <c r="C230" s="57" t="s">
        <v>1414</v>
      </c>
      <c r="D230" s="35" t="s">
        <v>118</v>
      </c>
      <c r="E230" s="124" t="s">
        <v>1413</v>
      </c>
    </row>
    <row r="231" spans="1:8">
      <c r="A231" s="11" t="s">
        <v>1011</v>
      </c>
      <c r="B231" t="s">
        <v>1010</v>
      </c>
      <c r="C231" s="57" t="s">
        <v>388</v>
      </c>
      <c r="E231" s="124" t="s">
        <v>1412</v>
      </c>
    </row>
    <row r="232" spans="1:8">
      <c r="A232" s="11"/>
    </row>
    <row r="233" spans="1:8">
      <c r="A233" t="s">
        <v>1008</v>
      </c>
      <c r="B233" t="s">
        <v>914</v>
      </c>
      <c r="C233" s="57" t="s">
        <v>390</v>
      </c>
      <c r="D233" s="35" t="s">
        <v>1411</v>
      </c>
      <c r="E233" s="124" t="s">
        <v>1410</v>
      </c>
    </row>
    <row r="234" spans="1:8">
      <c r="A234" s="38"/>
    </row>
    <row r="235" spans="1:8">
      <c r="A235" t="s">
        <v>1005</v>
      </c>
      <c r="B235" t="s">
        <v>23</v>
      </c>
      <c r="C235" s="57" t="s">
        <v>390</v>
      </c>
      <c r="E235" t="s">
        <v>1402</v>
      </c>
      <c r="F235" s="125" t="s">
        <v>1409</v>
      </c>
      <c r="G235" s="125" t="s">
        <v>1408</v>
      </c>
      <c r="H235" s="125" t="s">
        <v>1407</v>
      </c>
    </row>
    <row r="237" spans="1:8">
      <c r="A237" s="99" t="s">
        <v>1002</v>
      </c>
    </row>
    <row r="238" spans="1:8">
      <c r="A238" t="s">
        <v>1001</v>
      </c>
      <c r="B238" t="s">
        <v>1000</v>
      </c>
      <c r="C238" s="57" t="s">
        <v>1405</v>
      </c>
      <c r="D238" s="35" t="s">
        <v>1404</v>
      </c>
      <c r="E238" s="124" t="s">
        <v>1403</v>
      </c>
    </row>
    <row r="239" spans="1:8">
      <c r="A239" t="s">
        <v>998</v>
      </c>
      <c r="B239" t="s">
        <v>998</v>
      </c>
      <c r="C239" s="57" t="s">
        <v>1405</v>
      </c>
      <c r="D239" s="35" t="s">
        <v>1406</v>
      </c>
      <c r="E239" s="124" t="s">
        <v>1403</v>
      </c>
    </row>
    <row r="240" spans="1:8">
      <c r="A240" t="s">
        <v>997</v>
      </c>
      <c r="B240" t="s">
        <v>997</v>
      </c>
      <c r="C240" s="57" t="s">
        <v>1405</v>
      </c>
      <c r="D240" s="35" t="s">
        <v>1404</v>
      </c>
      <c r="E240" s="124" t="s">
        <v>1403</v>
      </c>
    </row>
    <row r="242" spans="1:8">
      <c r="A242" t="s">
        <v>995</v>
      </c>
      <c r="B242" t="s">
        <v>994</v>
      </c>
      <c r="C242" s="57" t="s">
        <v>390</v>
      </c>
      <c r="E242" s="35" t="s">
        <v>1402</v>
      </c>
      <c r="F242" s="125" t="s">
        <v>1401</v>
      </c>
      <c r="G242" s="125" t="s">
        <v>1400</v>
      </c>
      <c r="H242" s="125" t="s">
        <v>1399</v>
      </c>
    </row>
    <row r="244" spans="1:8">
      <c r="A244" s="64" t="s">
        <v>992</v>
      </c>
      <c r="B244" t="s">
        <v>947</v>
      </c>
      <c r="C244" s="57" t="s">
        <v>390</v>
      </c>
      <c r="D244" s="35" t="s">
        <v>1398</v>
      </c>
      <c r="E244" s="124" t="s">
        <v>1397</v>
      </c>
    </row>
    <row r="245" spans="1:8">
      <c r="A245" s="64"/>
    </row>
    <row r="246" spans="1:8">
      <c r="A246" s="38" t="s">
        <v>989</v>
      </c>
      <c r="B246" s="10"/>
    </row>
    <row r="247" spans="1:8">
      <c r="A247" t="s">
        <v>988</v>
      </c>
      <c r="B247" t="s">
        <v>988</v>
      </c>
      <c r="C247" s="57" t="s">
        <v>390</v>
      </c>
      <c r="D247" s="35" t="s">
        <v>1396</v>
      </c>
      <c r="E247" s="124" t="s">
        <v>1395</v>
      </c>
    </row>
    <row r="249" spans="1:8">
      <c r="A249" s="38"/>
    </row>
  </sheetData>
  <hyperlinks>
    <hyperlink ref="E7" r:id="rId1" xr:uid="{00000000-0004-0000-0100-000000000000}"/>
    <hyperlink ref="E37" r:id="rId2" xr:uid="{00000000-0004-0000-0100-000001000000}"/>
    <hyperlink ref="E44" r:id="rId3" xr:uid="{00000000-0004-0000-0100-000002000000}"/>
    <hyperlink ref="E10" r:id="rId4" xr:uid="{00000000-0004-0000-0100-000003000000}"/>
    <hyperlink ref="E11" r:id="rId5" xr:uid="{00000000-0004-0000-0100-000004000000}"/>
    <hyperlink ref="E12" r:id="rId6" xr:uid="{00000000-0004-0000-0100-000005000000}"/>
    <hyperlink ref="E13" r:id="rId7" xr:uid="{00000000-0004-0000-0100-000006000000}"/>
    <hyperlink ref="E18" r:id="rId8" xr:uid="{00000000-0004-0000-0100-000007000000}"/>
    <hyperlink ref="E20:E24" r:id="rId9" display="Babuska et al 78" xr:uid="{00000000-0004-0000-0100-000008000000}"/>
    <hyperlink ref="E31" r:id="rId10" xr:uid="{00000000-0004-0000-0100-000009000000}"/>
    <hyperlink ref="E33" r:id="rId11" xr:uid="{00000000-0004-0000-0100-00000A000000}"/>
    <hyperlink ref="E39" r:id="rId12" xr:uid="{00000000-0004-0000-0100-00000B000000}"/>
    <hyperlink ref="E40" r:id="rId13" xr:uid="{00000000-0004-0000-0100-00000C000000}"/>
    <hyperlink ref="E14" r:id="rId14" xr:uid="{00000000-0004-0000-0100-00000D000000}"/>
    <hyperlink ref="E113" r:id="rId15" xr:uid="{00000000-0004-0000-0100-00000E000000}"/>
    <hyperlink ref="E114" r:id="rId16" xr:uid="{00000000-0004-0000-0100-00000F000000}"/>
    <hyperlink ref="E116" r:id="rId17" xr:uid="{00000000-0004-0000-0100-000010000000}"/>
    <hyperlink ref="E227" r:id="rId18" xr:uid="{00000000-0004-0000-0100-000011000000}"/>
    <hyperlink ref="E226" r:id="rId19" xr:uid="{00000000-0004-0000-0100-000012000000}"/>
    <hyperlink ref="E225" r:id="rId20" xr:uid="{00000000-0004-0000-0100-000013000000}"/>
    <hyperlink ref="E215:E217" r:id="rId21" display="EM92(4)" xr:uid="{00000000-0004-0000-0100-000014000000}"/>
    <hyperlink ref="E213" r:id="rId22" xr:uid="{00000000-0004-0000-0100-000015000000}"/>
    <hyperlink ref="E210" r:id="rId23" xr:uid="{00000000-0004-0000-0100-000016000000}"/>
    <hyperlink ref="E199" r:id="rId24" xr:uid="{00000000-0004-0000-0100-000017000000}"/>
    <hyperlink ref="E194" r:id="rId25" xr:uid="{00000000-0004-0000-0100-000018000000}"/>
    <hyperlink ref="E193" r:id="rId26" xr:uid="{00000000-0004-0000-0100-000019000000}"/>
    <hyperlink ref="E170" r:id="rId27" xr:uid="{00000000-0004-0000-0100-00001A000000}"/>
    <hyperlink ref="E166" r:id="rId28" xr:uid="{00000000-0004-0000-0100-00001B000000}"/>
    <hyperlink ref="E163" r:id="rId29" xr:uid="{00000000-0004-0000-0100-00001C000000}"/>
    <hyperlink ref="E152" r:id="rId30" xr:uid="{00000000-0004-0000-0100-00001D000000}"/>
    <hyperlink ref="E137" r:id="rId31" xr:uid="{00000000-0004-0000-0100-00001E000000}"/>
    <hyperlink ref="E110" r:id="rId32" xr:uid="{00000000-0004-0000-0100-00001F000000}"/>
    <hyperlink ref="E108" r:id="rId33" xr:uid="{00000000-0004-0000-0100-000020000000}"/>
    <hyperlink ref="E103" r:id="rId34" xr:uid="{00000000-0004-0000-0100-000021000000}"/>
    <hyperlink ref="E81" r:id="rId35" display="EM92(6)" xr:uid="{00000000-0004-0000-0100-000022000000}"/>
    <hyperlink ref="E15" r:id="rId36" xr:uid="{00000000-0004-0000-0100-000023000000}"/>
    <hyperlink ref="E16" r:id="rId37" xr:uid="{00000000-0004-0000-0100-000024000000}"/>
    <hyperlink ref="E17" r:id="rId38" xr:uid="{00000000-0004-0000-0100-000025000000}"/>
    <hyperlink ref="E19" r:id="rId39" xr:uid="{00000000-0004-0000-0100-000026000000}"/>
    <hyperlink ref="E25" r:id="rId40" xr:uid="{00000000-0004-0000-0100-000027000000}"/>
    <hyperlink ref="E26" r:id="rId41" xr:uid="{00000000-0004-0000-0100-000028000000}"/>
    <hyperlink ref="E27" r:id="rId42" xr:uid="{00000000-0004-0000-0100-000029000000}"/>
    <hyperlink ref="E28" r:id="rId43" xr:uid="{00000000-0004-0000-0100-00002A000000}"/>
    <hyperlink ref="E29" r:id="rId44" xr:uid="{00000000-0004-0000-0100-00002B000000}"/>
    <hyperlink ref="E30" r:id="rId45" xr:uid="{00000000-0004-0000-0100-00002C000000}"/>
    <hyperlink ref="E32" r:id="rId46" xr:uid="{00000000-0004-0000-0100-00002D000000}"/>
    <hyperlink ref="E35" r:id="rId47" xr:uid="{00000000-0004-0000-0100-00002E000000}"/>
    <hyperlink ref="E34" r:id="rId48" xr:uid="{00000000-0004-0000-0100-00002F000000}"/>
    <hyperlink ref="E38" r:id="rId49" xr:uid="{00000000-0004-0000-0100-000030000000}"/>
    <hyperlink ref="E41" r:id="rId50" xr:uid="{00000000-0004-0000-0100-000031000000}"/>
    <hyperlink ref="E43" r:id="rId51" xr:uid="{00000000-0004-0000-0100-000032000000}"/>
    <hyperlink ref="E42" r:id="rId52" xr:uid="{00000000-0004-0000-0100-000033000000}"/>
    <hyperlink ref="E45" r:id="rId53" xr:uid="{00000000-0004-0000-0100-000034000000}"/>
    <hyperlink ref="E46" r:id="rId54" xr:uid="{00000000-0004-0000-0100-000035000000}"/>
    <hyperlink ref="E47" r:id="rId55" xr:uid="{00000000-0004-0000-0100-000036000000}"/>
    <hyperlink ref="E48" r:id="rId56" xr:uid="{00000000-0004-0000-0100-000037000000}"/>
    <hyperlink ref="E49" r:id="rId57" xr:uid="{00000000-0004-0000-0100-000038000000}"/>
    <hyperlink ref="E50" r:id="rId58" xr:uid="{00000000-0004-0000-0100-000039000000}"/>
    <hyperlink ref="E53" r:id="rId59" xr:uid="{00000000-0004-0000-0100-00003A000000}"/>
    <hyperlink ref="E54" r:id="rId60" xr:uid="{00000000-0004-0000-0100-00003B000000}"/>
    <hyperlink ref="E55" r:id="rId61" xr:uid="{00000000-0004-0000-0100-00003C000000}"/>
    <hyperlink ref="E56" r:id="rId62" xr:uid="{00000000-0004-0000-0100-00003D000000}"/>
    <hyperlink ref="E57" r:id="rId63" xr:uid="{00000000-0004-0000-0100-00003E000000}"/>
    <hyperlink ref="E61" r:id="rId64" xr:uid="{00000000-0004-0000-0100-00003F000000}"/>
    <hyperlink ref="E62" r:id="rId65" xr:uid="{00000000-0004-0000-0100-000040000000}"/>
    <hyperlink ref="E73" r:id="rId66" xr:uid="{00000000-0004-0000-0100-000041000000}"/>
    <hyperlink ref="E74" r:id="rId67" xr:uid="{00000000-0004-0000-0100-000042000000}"/>
    <hyperlink ref="E75" r:id="rId68" xr:uid="{00000000-0004-0000-0100-000043000000}"/>
    <hyperlink ref="E85" r:id="rId69" xr:uid="{00000000-0004-0000-0100-000044000000}"/>
    <hyperlink ref="E91" r:id="rId70" xr:uid="{00000000-0004-0000-0100-000045000000}"/>
    <hyperlink ref="E92:E99" r:id="rId71" display="Jacobsen et al 02" xr:uid="{00000000-0004-0000-0100-000046000000}"/>
    <hyperlink ref="E106" r:id="rId72" xr:uid="{00000000-0004-0000-0100-000047000000}"/>
    <hyperlink ref="E111" r:id="rId73" xr:uid="{00000000-0004-0000-0100-000048000000}"/>
    <hyperlink ref="E117" r:id="rId74" xr:uid="{00000000-0004-0000-0100-000049000000}"/>
    <hyperlink ref="E120" r:id="rId75" xr:uid="{00000000-0004-0000-0100-00004A000000}"/>
    <hyperlink ref="E122" r:id="rId76" xr:uid="{00000000-0004-0000-0100-00004B000000}"/>
    <hyperlink ref="E123" r:id="rId77" xr:uid="{00000000-0004-0000-0100-00004C000000}"/>
    <hyperlink ref="E125" r:id="rId78" xr:uid="{00000000-0004-0000-0100-00004D000000}"/>
    <hyperlink ref="E70:E72" r:id="rId79" display="Hubbell et al 74" xr:uid="{00000000-0004-0000-0100-00004E000000}"/>
    <hyperlink ref="E64:E65" r:id="rId80" display="Rehwald and Widmer 73" xr:uid="{00000000-0004-0000-0100-00004F000000}"/>
    <hyperlink ref="E247" r:id="rId81" xr:uid="{00000000-0004-0000-0100-000050000000}"/>
    <hyperlink ref="E244" r:id="rId82" xr:uid="{00000000-0004-0000-0100-000051000000}"/>
    <hyperlink ref="E238:E240" r:id="rId83" display="Kim et al 92" xr:uid="{00000000-0004-0000-0100-000052000000}"/>
    <hyperlink ref="E233" r:id="rId84" xr:uid="{00000000-0004-0000-0100-000053000000}"/>
    <hyperlink ref="E231" r:id="rId85" xr:uid="{00000000-0004-0000-0100-000054000000}"/>
    <hyperlink ref="E230" r:id="rId86" xr:uid="{00000000-0004-0000-0100-000055000000}"/>
    <hyperlink ref="E222" r:id="rId87" xr:uid="{00000000-0004-0000-0100-000056000000}"/>
    <hyperlink ref="E219:E220" r:id="rId88" display="Every and McCurdy 1992  (3)" xr:uid="{00000000-0004-0000-0100-000057000000}"/>
    <hyperlink ref="E214" r:id="rId89" xr:uid="{00000000-0004-0000-0100-000058000000}"/>
    <hyperlink ref="E206" r:id="rId90" xr:uid="{00000000-0004-0000-0100-000059000000}"/>
    <hyperlink ref="E209" r:id="rId91" xr:uid="{00000000-0004-0000-0100-00005A000000}"/>
    <hyperlink ref="E220" r:id="rId92" xr:uid="{00000000-0004-0000-0100-00005B000000}"/>
    <hyperlink ref="E219" r:id="rId93" xr:uid="{00000000-0004-0000-0100-00005C000000}"/>
    <hyperlink ref="E217" r:id="rId94" xr:uid="{00000000-0004-0000-0100-00005D000000}"/>
    <hyperlink ref="E216" r:id="rId95" xr:uid="{00000000-0004-0000-0100-00005E000000}"/>
    <hyperlink ref="E215" r:id="rId96" xr:uid="{00000000-0004-0000-0100-00005F000000}"/>
    <hyperlink ref="E207" r:id="rId97" xr:uid="{00000000-0004-0000-0100-000060000000}"/>
    <hyperlink ref="E208" r:id="rId98" xr:uid="{00000000-0004-0000-0100-000061000000}"/>
    <hyperlink ref="E201:E203" r:id="rId99" display="Hanson et al 72" xr:uid="{00000000-0004-0000-0100-000062000000}"/>
    <hyperlink ref="E174" r:id="rId100" xr:uid="{00000000-0004-0000-0100-000063000000}"/>
    <hyperlink ref="E173" r:id="rId101" xr:uid="{00000000-0004-0000-0100-000064000000}"/>
    <hyperlink ref="E167" r:id="rId102" xr:uid="{00000000-0004-0000-0100-000065000000}"/>
    <hyperlink ref="E171" r:id="rId103" xr:uid="{00000000-0004-0000-0100-000066000000}"/>
    <hyperlink ref="E169" r:id="rId104" xr:uid="{00000000-0004-0000-0100-000067000000}"/>
    <hyperlink ref="E168" r:id="rId105" xr:uid="{00000000-0004-0000-0100-000068000000}"/>
    <hyperlink ref="E165" r:id="rId106" xr:uid="{00000000-0004-0000-0100-000069000000}"/>
    <hyperlink ref="E164" r:id="rId107" xr:uid="{00000000-0004-0000-0100-00006A000000}"/>
    <hyperlink ref="E154" r:id="rId108" xr:uid="{00000000-0004-0000-0100-00006B000000}"/>
    <hyperlink ref="E149" r:id="rId109" xr:uid="{00000000-0004-0000-0100-00006C000000}"/>
    <hyperlink ref="E83:E84" r:id="rId110" display="Haussuhl et al 76" xr:uid="{00000000-0004-0000-0100-00006D000000}"/>
    <hyperlink ref="E127:E130" r:id="rId111" display="Bruschini et al. 15" xr:uid="{00000000-0004-0000-0100-00006E000000}"/>
    <hyperlink ref="E121" r:id="rId112" xr:uid="{00000000-0004-0000-0100-00006F000000}"/>
    <hyperlink ref="E132" r:id="rId113" xr:uid="{00000000-0004-0000-0100-000070000000}"/>
    <hyperlink ref="E133" r:id="rId114" xr:uid="{00000000-0004-0000-0100-000071000000}"/>
    <hyperlink ref="E134" r:id="rId115" xr:uid="{00000000-0004-0000-0100-000072000000}"/>
    <hyperlink ref="E135" r:id="rId116" xr:uid="{00000000-0004-0000-0100-000073000000}"/>
    <hyperlink ref="E139" r:id="rId117" xr:uid="{00000000-0004-0000-0100-000074000000}"/>
    <hyperlink ref="E142" r:id="rId118" xr:uid="{00000000-0004-0000-0100-000075000000}"/>
    <hyperlink ref="E179" r:id="rId119" xr:uid="{00000000-0004-0000-0100-000076000000}"/>
    <hyperlink ref="E8" r:id="rId120" xr:uid="{00000000-0004-0000-0100-000077000000}"/>
    <hyperlink ref="E9" r:id="rId121" xr:uid="{00000000-0004-0000-0100-000078000000}"/>
    <hyperlink ref="E78" r:id="rId122" xr:uid="{00000000-0004-0000-0100-000079000000}"/>
    <hyperlink ref="E80" r:id="rId123" xr:uid="{00000000-0004-0000-0100-00007A000000}"/>
    <hyperlink ref="E82" r:id="rId124" xr:uid="{00000000-0004-0000-0100-00007B000000}"/>
    <hyperlink ref="E87" r:id="rId125" xr:uid="{00000000-0004-0000-0100-00007C000000}"/>
    <hyperlink ref="E69" r:id="rId126" xr:uid="{00000000-0004-0000-0100-00007D000000}"/>
    <hyperlink ref="E112" r:id="rId127" xr:uid="{00000000-0004-0000-0100-00007E000000}"/>
    <hyperlink ref="E136" r:id="rId128" xr:uid="{00000000-0004-0000-0100-00007F000000}"/>
    <hyperlink ref="E138" r:id="rId129" xr:uid="{00000000-0004-0000-0100-000080000000}"/>
    <hyperlink ref="E150" r:id="rId130" xr:uid="{00000000-0004-0000-0100-000081000000}"/>
    <hyperlink ref="P176" r:id="rId131" xr:uid="{00000000-0004-0000-0100-000082000000}"/>
    <hyperlink ref="H176" r:id="rId132" xr:uid="{00000000-0004-0000-0100-000083000000}"/>
    <hyperlink ref="K176" r:id="rId133" xr:uid="{00000000-0004-0000-0100-000084000000}"/>
    <hyperlink ref="L176" r:id="rId134" xr:uid="{00000000-0004-0000-0100-000085000000}"/>
    <hyperlink ref="M176" r:id="rId135" xr:uid="{00000000-0004-0000-0100-000086000000}"/>
    <hyperlink ref="N176" r:id="rId136" xr:uid="{00000000-0004-0000-0100-000087000000}"/>
    <hyperlink ref="O176" r:id="rId137" xr:uid="{00000000-0004-0000-0100-000088000000}"/>
    <hyperlink ref="I176" r:id="rId138" xr:uid="{00000000-0004-0000-0100-000089000000}"/>
    <hyperlink ref="H177" r:id="rId139" xr:uid="{00000000-0004-0000-0100-00008A000000}"/>
    <hyperlink ref="J177" r:id="rId140" xr:uid="{00000000-0004-0000-0100-00008B000000}"/>
    <hyperlink ref="H178" r:id="rId141" xr:uid="{00000000-0004-0000-0100-00008C000000}"/>
    <hyperlink ref="I178" r:id="rId142" xr:uid="{00000000-0004-0000-0100-00008D000000}"/>
    <hyperlink ref="H180" r:id="rId143" xr:uid="{00000000-0004-0000-0100-00008E000000}"/>
    <hyperlink ref="I180" r:id="rId144" xr:uid="{00000000-0004-0000-0100-00008F000000}"/>
    <hyperlink ref="M180" r:id="rId145" xr:uid="{00000000-0004-0000-0100-000090000000}"/>
    <hyperlink ref="N180" r:id="rId146" xr:uid="{00000000-0004-0000-0100-000091000000}"/>
    <hyperlink ref="K180" r:id="rId147" xr:uid="{00000000-0004-0000-0100-000092000000}"/>
    <hyperlink ref="L180" r:id="rId148" xr:uid="{00000000-0004-0000-0100-000093000000}"/>
    <hyperlink ref="I181" r:id="rId149" xr:uid="{00000000-0004-0000-0100-000094000000}"/>
    <hyperlink ref="J181" r:id="rId150" xr:uid="{00000000-0004-0000-0100-000095000000}"/>
    <hyperlink ref="K181" r:id="rId151" xr:uid="{00000000-0004-0000-0100-000096000000}"/>
    <hyperlink ref="M181" r:id="rId152" xr:uid="{00000000-0004-0000-0100-000097000000}"/>
    <hyperlink ref="O181" r:id="rId153" xr:uid="{00000000-0004-0000-0100-000098000000}"/>
    <hyperlink ref="Y181" r:id="rId154" xr:uid="{00000000-0004-0000-0100-000099000000}"/>
    <hyperlink ref="Z181" r:id="rId155" xr:uid="{00000000-0004-0000-0100-00009A000000}"/>
    <hyperlink ref="T181" r:id="rId156" xr:uid="{00000000-0004-0000-0100-00009B000000}"/>
    <hyperlink ref="L181" r:id="rId157" xr:uid="{00000000-0004-0000-0100-00009C000000}"/>
    <hyperlink ref="H181" r:id="rId158" xr:uid="{00000000-0004-0000-0100-00009D000000}"/>
    <hyperlink ref="P181" r:id="rId159" xr:uid="{00000000-0004-0000-0100-00009E000000}"/>
    <hyperlink ref="Q181" r:id="rId160" xr:uid="{00000000-0004-0000-0100-00009F000000}"/>
    <hyperlink ref="R181" r:id="rId161" xr:uid="{00000000-0004-0000-0100-0000A0000000}"/>
    <hyperlink ref="S181" r:id="rId162" xr:uid="{00000000-0004-0000-0100-0000A1000000}"/>
    <hyperlink ref="U181" r:id="rId163" xr:uid="{00000000-0004-0000-0100-0000A2000000}"/>
    <hyperlink ref="V181" r:id="rId164" xr:uid="{00000000-0004-0000-0100-0000A3000000}"/>
    <hyperlink ref="X181" r:id="rId165" xr:uid="{00000000-0004-0000-0100-0000A4000000}"/>
    <hyperlink ref="W181" r:id="rId166" xr:uid="{00000000-0004-0000-0100-0000A5000000}"/>
    <hyperlink ref="N181" r:id="rId167" xr:uid="{00000000-0004-0000-0100-0000A6000000}"/>
    <hyperlink ref="H182" r:id="rId168" xr:uid="{00000000-0004-0000-0100-0000A7000000}"/>
    <hyperlink ref="I182" r:id="rId169" xr:uid="{00000000-0004-0000-0100-0000A8000000}"/>
    <hyperlink ref="J182" r:id="rId170" xr:uid="{00000000-0004-0000-0100-0000A9000000}"/>
    <hyperlink ref="H183" r:id="rId171" xr:uid="{00000000-0004-0000-0100-0000AA000000}"/>
    <hyperlink ref="J183" r:id="rId172" xr:uid="{00000000-0004-0000-0100-0000AB000000}"/>
    <hyperlink ref="H184" r:id="rId173" xr:uid="{00000000-0004-0000-0100-0000AC000000}"/>
    <hyperlink ref="I184" r:id="rId174" xr:uid="{00000000-0004-0000-0100-0000AD000000}"/>
    <hyperlink ref="J184" r:id="rId175" xr:uid="{00000000-0004-0000-0100-0000AE000000}"/>
    <hyperlink ref="H185" r:id="rId176" xr:uid="{00000000-0004-0000-0100-0000AF000000}"/>
    <hyperlink ref="I185" r:id="rId177" xr:uid="{00000000-0004-0000-0100-0000B0000000}"/>
    <hyperlink ref="L185" r:id="rId178" xr:uid="{00000000-0004-0000-0100-0000B1000000}"/>
    <hyperlink ref="K185" r:id="rId179" xr:uid="{00000000-0004-0000-0100-0000B2000000}"/>
    <hyperlink ref="J185" r:id="rId180" xr:uid="{00000000-0004-0000-0100-0000B3000000}"/>
    <hyperlink ref="O185" r:id="rId181" xr:uid="{00000000-0004-0000-0100-0000B4000000}"/>
    <hyperlink ref="Q185" r:id="rId182" xr:uid="{00000000-0004-0000-0100-0000B5000000}"/>
    <hyperlink ref="R185" r:id="rId183" xr:uid="{00000000-0004-0000-0100-0000B6000000}"/>
    <hyperlink ref="P185" r:id="rId184" xr:uid="{00000000-0004-0000-0100-0000B7000000}"/>
    <hyperlink ref="H186" r:id="rId185" xr:uid="{00000000-0004-0000-0100-0000B8000000}"/>
    <hyperlink ref="I186" r:id="rId186" xr:uid="{00000000-0004-0000-0100-0000B9000000}"/>
    <hyperlink ref="J186" r:id="rId187" xr:uid="{00000000-0004-0000-0100-0000BA000000}"/>
    <hyperlink ref="L186" r:id="rId188" xr:uid="{00000000-0004-0000-0100-0000BB000000}"/>
    <hyperlink ref="N186" r:id="rId189" xr:uid="{00000000-0004-0000-0100-0000BC000000}"/>
    <hyperlink ref="P186" r:id="rId190" xr:uid="{00000000-0004-0000-0100-0000BD000000}"/>
    <hyperlink ref="O186" r:id="rId191" xr:uid="{00000000-0004-0000-0100-0000BE000000}"/>
    <hyperlink ref="M186" r:id="rId192" xr:uid="{00000000-0004-0000-0100-0000BF000000}"/>
    <hyperlink ref="I187" r:id="rId193" xr:uid="{00000000-0004-0000-0100-0000C0000000}"/>
    <hyperlink ref="K187" r:id="rId194" xr:uid="{00000000-0004-0000-0100-0000C1000000}"/>
    <hyperlink ref="H187" r:id="rId195" xr:uid="{00000000-0004-0000-0100-0000C2000000}"/>
    <hyperlink ref="J187" r:id="rId196" xr:uid="{00000000-0004-0000-0100-0000C3000000}"/>
    <hyperlink ref="L187" r:id="rId197" xr:uid="{00000000-0004-0000-0100-0000C4000000}"/>
    <hyperlink ref="M187" r:id="rId198" xr:uid="{00000000-0004-0000-0100-0000C5000000}"/>
    <hyperlink ref="H189" r:id="rId199" xr:uid="{00000000-0004-0000-0100-0000C6000000}"/>
    <hyperlink ref="I189" r:id="rId200" xr:uid="{00000000-0004-0000-0100-0000C7000000}"/>
    <hyperlink ref="J189" r:id="rId201" xr:uid="{00000000-0004-0000-0100-0000C8000000}"/>
    <hyperlink ref="K189" r:id="rId202" xr:uid="{00000000-0004-0000-0100-0000C9000000}"/>
    <hyperlink ref="L189" r:id="rId203" xr:uid="{00000000-0004-0000-0100-0000CA000000}"/>
    <hyperlink ref="M189" r:id="rId204" xr:uid="{00000000-0004-0000-0100-0000CB000000}"/>
    <hyperlink ref="O189" r:id="rId205" xr:uid="{00000000-0004-0000-0100-0000CC000000}"/>
    <hyperlink ref="H190" r:id="rId206" xr:uid="{00000000-0004-0000-0100-0000CD000000}"/>
    <hyperlink ref="I190" r:id="rId207" xr:uid="{00000000-0004-0000-0100-0000CE000000}"/>
    <hyperlink ref="K190" r:id="rId208" xr:uid="{00000000-0004-0000-0100-0000CF000000}"/>
    <hyperlink ref="L190" r:id="rId209" xr:uid="{00000000-0004-0000-0100-0000D0000000}"/>
    <hyperlink ref="M190" r:id="rId210" xr:uid="{00000000-0004-0000-0100-0000D1000000}"/>
    <hyperlink ref="J190" r:id="rId211" xr:uid="{00000000-0004-0000-0100-0000D2000000}"/>
    <hyperlink ref="H191" r:id="rId212" xr:uid="{00000000-0004-0000-0100-0000D3000000}"/>
    <hyperlink ref="I191" r:id="rId213" xr:uid="{00000000-0004-0000-0100-0000D4000000}"/>
    <hyperlink ref="J191" r:id="rId214" xr:uid="{00000000-0004-0000-0100-0000D5000000}"/>
    <hyperlink ref="K191" r:id="rId215" xr:uid="{00000000-0004-0000-0100-0000D6000000}"/>
    <hyperlink ref="L191" r:id="rId216" xr:uid="{00000000-0004-0000-0100-0000D7000000}"/>
    <hyperlink ref="M191" r:id="rId217" xr:uid="{00000000-0004-0000-0100-0000D8000000}"/>
    <hyperlink ref="N191" r:id="rId218" xr:uid="{00000000-0004-0000-0100-0000D9000000}"/>
    <hyperlink ref="I183" r:id="rId219" xr:uid="{00000000-0004-0000-0100-0000DA000000}"/>
    <hyperlink ref="H192" r:id="rId220" xr:uid="{00000000-0004-0000-0100-0000DB000000}"/>
    <hyperlink ref="H196" r:id="rId221" xr:uid="{00000000-0004-0000-0100-0000DC000000}"/>
    <hyperlink ref="H197" r:id="rId222" xr:uid="{00000000-0004-0000-0100-0000DD000000}"/>
    <hyperlink ref="I197" r:id="rId223" xr:uid="{00000000-0004-0000-0100-0000DE000000}"/>
    <hyperlink ref="K197" r:id="rId224" xr:uid="{00000000-0004-0000-0100-0000DF000000}"/>
    <hyperlink ref="L197" r:id="rId225" xr:uid="{00000000-0004-0000-0100-0000E0000000}"/>
    <hyperlink ref="J197" r:id="rId226" xr:uid="{00000000-0004-0000-0100-0000E1000000}"/>
    <hyperlink ref="H198" r:id="rId227" xr:uid="{00000000-0004-0000-0100-0000E2000000}"/>
    <hyperlink ref="J198" r:id="rId228" xr:uid="{00000000-0004-0000-0100-0000E3000000}"/>
    <hyperlink ref="K198" r:id="rId229" xr:uid="{00000000-0004-0000-0100-0000E4000000}"/>
    <hyperlink ref="I198" r:id="rId230" xr:uid="{00000000-0004-0000-0100-0000E5000000}"/>
    <hyperlink ref="K68" r:id="rId231" xr:uid="{00000000-0004-0000-0100-0000E6000000}"/>
    <hyperlink ref="I68" r:id="rId232" xr:uid="{00000000-0004-0000-0100-0000E7000000}"/>
    <hyperlink ref="J68" r:id="rId233" xr:uid="{00000000-0004-0000-0100-0000E8000000}"/>
    <hyperlink ref="I77" r:id="rId234" xr:uid="{00000000-0004-0000-0100-0000E9000000}"/>
    <hyperlink ref="H77" r:id="rId235" xr:uid="{00000000-0004-0000-0100-0000EA000000}"/>
    <hyperlink ref="H90" r:id="rId236" xr:uid="{00000000-0004-0000-0100-0000EB000000}"/>
    <hyperlink ref="I90" r:id="rId237" xr:uid="{00000000-0004-0000-0100-0000EC000000}"/>
    <hyperlink ref="J90" r:id="rId238" xr:uid="{00000000-0004-0000-0100-0000ED000000}"/>
    <hyperlink ref="K90" r:id="rId239" xr:uid="{00000000-0004-0000-0100-0000EE000000}"/>
    <hyperlink ref="L90" r:id="rId240" xr:uid="{00000000-0004-0000-0100-0000EF000000}"/>
    <hyperlink ref="M90" r:id="rId241" xr:uid="{00000000-0004-0000-0100-0000F0000000}"/>
    <hyperlink ref="N90" r:id="rId242" xr:uid="{00000000-0004-0000-0100-0000F1000000}"/>
    <hyperlink ref="R90" r:id="rId243" xr:uid="{00000000-0004-0000-0100-0000F2000000}"/>
    <hyperlink ref="T90" r:id="rId244" xr:uid="{00000000-0004-0000-0100-0000F3000000}"/>
    <hyperlink ref="S90" r:id="rId245" xr:uid="{00000000-0004-0000-0100-0000F4000000}"/>
    <hyperlink ref="Q90" r:id="rId246" xr:uid="{00000000-0004-0000-0100-0000F5000000}"/>
    <hyperlink ref="O90" r:id="rId247" xr:uid="{00000000-0004-0000-0100-0000F6000000}"/>
    <hyperlink ref="P90" r:id="rId248" xr:uid="{00000000-0004-0000-0100-0000F7000000}"/>
    <hyperlink ref="J100" r:id="rId249" xr:uid="{00000000-0004-0000-0100-0000F8000000}"/>
    <hyperlink ref="H100" r:id="rId250" xr:uid="{00000000-0004-0000-0100-0000F9000000}"/>
    <hyperlink ref="I100" r:id="rId251" xr:uid="{00000000-0004-0000-0100-0000FA000000}"/>
    <hyperlink ref="I102" r:id="rId252" xr:uid="{00000000-0004-0000-0100-0000FB000000}"/>
    <hyperlink ref="H102" r:id="rId253" xr:uid="{00000000-0004-0000-0100-0000FC000000}"/>
    <hyperlink ref="K104" r:id="rId254" xr:uid="{00000000-0004-0000-0100-0000FD000000}"/>
    <hyperlink ref="J104" r:id="rId255" xr:uid="{00000000-0004-0000-0100-0000FE000000}"/>
    <hyperlink ref="I104" r:id="rId256" xr:uid="{00000000-0004-0000-0100-0000FF000000}"/>
    <hyperlink ref="H104" r:id="rId257" xr:uid="{00000000-0004-0000-0100-000000010000}"/>
    <hyperlink ref="H105" r:id="rId258" xr:uid="{00000000-0004-0000-0100-000001010000}"/>
    <hyperlink ref="I148" r:id="rId259" xr:uid="{00000000-0004-0000-0100-000002010000}"/>
    <hyperlink ref="H148" r:id="rId260" xr:uid="{00000000-0004-0000-0100-000003010000}"/>
    <hyperlink ref="E157" r:id="rId261" xr:uid="{00000000-0004-0000-0100-000004010000}"/>
    <hyperlink ref="E158" r:id="rId262" xr:uid="{00000000-0004-0000-0100-000005010000}"/>
    <hyperlink ref="E159" r:id="rId263" xr:uid="{00000000-0004-0000-0100-000006010000}"/>
    <hyperlink ref="E160" r:id="rId264" xr:uid="{00000000-0004-0000-0100-000007010000}"/>
    <hyperlink ref="E153" r:id="rId265" xr:uid="{00000000-0004-0000-0100-000008010000}"/>
    <hyperlink ref="J161" r:id="rId266" xr:uid="{00000000-0004-0000-0100-000009010000}"/>
    <hyperlink ref="I161" r:id="rId267" xr:uid="{00000000-0004-0000-0100-00000A010000}"/>
    <hyperlink ref="H161" r:id="rId268" xr:uid="{00000000-0004-0000-0100-00000B010000}"/>
    <hyperlink ref="K161" r:id="rId269" xr:uid="{00000000-0004-0000-0100-00000C010000}"/>
    <hyperlink ref="J102" r:id="rId270" xr:uid="{00000000-0004-0000-0100-00000D010000}"/>
    <hyperlink ref="H242" r:id="rId271" xr:uid="{00000000-0004-0000-0100-00000E010000}"/>
    <hyperlink ref="F242" r:id="rId272" xr:uid="{00000000-0004-0000-0100-00000F010000}"/>
    <hyperlink ref="G242" r:id="rId273" xr:uid="{00000000-0004-0000-0100-000010010000}"/>
    <hyperlink ref="G161" r:id="rId274" xr:uid="{00000000-0004-0000-0100-000011010000}"/>
    <hyperlink ref="F161" r:id="rId275" xr:uid="{00000000-0004-0000-0100-000012010000}"/>
    <hyperlink ref="G148" r:id="rId276" xr:uid="{00000000-0004-0000-0100-000013010000}"/>
    <hyperlink ref="F148" r:id="rId277" xr:uid="{00000000-0004-0000-0100-000014010000}"/>
    <hyperlink ref="G105" r:id="rId278" xr:uid="{00000000-0004-0000-0100-000015010000}"/>
    <hyperlink ref="F105" r:id="rId279" xr:uid="{00000000-0004-0000-0100-000016010000}"/>
    <hyperlink ref="F104" r:id="rId280" xr:uid="{00000000-0004-0000-0100-000017010000}"/>
    <hyperlink ref="G104" r:id="rId281" xr:uid="{00000000-0004-0000-0100-000018010000}"/>
    <hyperlink ref="F102" r:id="rId282" xr:uid="{00000000-0004-0000-0100-000019010000}"/>
    <hyperlink ref="G102" r:id="rId283" xr:uid="{00000000-0004-0000-0100-00001A010000}"/>
    <hyperlink ref="G101" r:id="rId284" xr:uid="{00000000-0004-0000-0100-00001B010000}"/>
    <hyperlink ref="F101" r:id="rId285" xr:uid="{00000000-0004-0000-0100-00001C010000}"/>
    <hyperlink ref="G100" r:id="rId286" xr:uid="{00000000-0004-0000-0100-00001D010000}"/>
    <hyperlink ref="F100" r:id="rId287" xr:uid="{00000000-0004-0000-0100-00001E010000}"/>
    <hyperlink ref="G90" r:id="rId288" xr:uid="{00000000-0004-0000-0100-00001F010000}"/>
    <hyperlink ref="F90" r:id="rId289" xr:uid="{00000000-0004-0000-0100-000020010000}"/>
    <hyperlink ref="G86" r:id="rId290" xr:uid="{00000000-0004-0000-0100-000021010000}"/>
    <hyperlink ref="F86" r:id="rId291" xr:uid="{00000000-0004-0000-0100-000022010000}"/>
    <hyperlink ref="G79" r:id="rId292" xr:uid="{00000000-0004-0000-0100-000023010000}"/>
    <hyperlink ref="F79" r:id="rId293" xr:uid="{00000000-0004-0000-0100-000024010000}"/>
    <hyperlink ref="G77" r:id="rId294" xr:uid="{00000000-0004-0000-0100-000025010000}"/>
    <hyperlink ref="F77" r:id="rId295" xr:uid="{00000000-0004-0000-0100-000026010000}"/>
    <hyperlink ref="F68" r:id="rId296" xr:uid="{00000000-0004-0000-0100-000027010000}"/>
    <hyperlink ref="G68" r:id="rId297" xr:uid="{00000000-0004-0000-0100-000028010000}"/>
    <hyperlink ref="G211" r:id="rId298" xr:uid="{00000000-0004-0000-0100-000029010000}"/>
    <hyperlink ref="F211" r:id="rId299" xr:uid="{00000000-0004-0000-0100-00002A010000}"/>
    <hyperlink ref="G198" r:id="rId300" xr:uid="{00000000-0004-0000-0100-00002B010000}"/>
    <hyperlink ref="F198" r:id="rId301" xr:uid="{00000000-0004-0000-0100-00002C010000}"/>
    <hyperlink ref="G197" r:id="rId302" xr:uid="{00000000-0004-0000-0100-00002D010000}"/>
    <hyperlink ref="F197" r:id="rId303" xr:uid="{00000000-0004-0000-0100-00002E010000}"/>
    <hyperlink ref="G196" r:id="rId304" xr:uid="{00000000-0004-0000-0100-00002F010000}"/>
    <hyperlink ref="F196" r:id="rId305" xr:uid="{00000000-0004-0000-0100-000030010000}"/>
    <hyperlink ref="G192" r:id="rId306" xr:uid="{00000000-0004-0000-0100-000031010000}"/>
    <hyperlink ref="F192" r:id="rId307" xr:uid="{00000000-0004-0000-0100-000032010000}"/>
    <hyperlink ref="G191" r:id="rId308" xr:uid="{00000000-0004-0000-0100-000033010000}"/>
    <hyperlink ref="F191" r:id="rId309" xr:uid="{00000000-0004-0000-0100-000034010000}"/>
    <hyperlink ref="G190" r:id="rId310" xr:uid="{00000000-0004-0000-0100-000035010000}"/>
    <hyperlink ref="F190" r:id="rId311" xr:uid="{00000000-0004-0000-0100-000036010000}"/>
    <hyperlink ref="G189" r:id="rId312" xr:uid="{00000000-0004-0000-0100-000037010000}"/>
    <hyperlink ref="F189" r:id="rId313" xr:uid="{00000000-0004-0000-0100-000038010000}"/>
    <hyperlink ref="G188" r:id="rId314" xr:uid="{00000000-0004-0000-0100-000039010000}"/>
    <hyperlink ref="F188" r:id="rId315" xr:uid="{00000000-0004-0000-0100-00003A010000}"/>
    <hyperlink ref="G187" r:id="rId316" xr:uid="{00000000-0004-0000-0100-00003B010000}"/>
    <hyperlink ref="F187" r:id="rId317" xr:uid="{00000000-0004-0000-0100-00003C010000}"/>
    <hyperlink ref="G186" r:id="rId318" xr:uid="{00000000-0004-0000-0100-00003D010000}"/>
    <hyperlink ref="F186" r:id="rId319" xr:uid="{00000000-0004-0000-0100-00003E010000}"/>
    <hyperlink ref="G185" r:id="rId320" xr:uid="{00000000-0004-0000-0100-00003F010000}"/>
    <hyperlink ref="F185" r:id="rId321" xr:uid="{00000000-0004-0000-0100-000040010000}"/>
    <hyperlink ref="G184" r:id="rId322" xr:uid="{00000000-0004-0000-0100-000041010000}"/>
    <hyperlink ref="F184" r:id="rId323" xr:uid="{00000000-0004-0000-0100-000042010000}"/>
    <hyperlink ref="G183" r:id="rId324" xr:uid="{00000000-0004-0000-0100-000043010000}"/>
    <hyperlink ref="F183" r:id="rId325" xr:uid="{00000000-0004-0000-0100-000044010000}"/>
    <hyperlink ref="G182" r:id="rId326" xr:uid="{00000000-0004-0000-0100-000045010000}"/>
    <hyperlink ref="F182" r:id="rId327" xr:uid="{00000000-0004-0000-0100-000046010000}"/>
    <hyperlink ref="F181" r:id="rId328" xr:uid="{00000000-0004-0000-0100-000047010000}"/>
    <hyperlink ref="G181" r:id="rId329" xr:uid="{00000000-0004-0000-0100-000048010000}"/>
    <hyperlink ref="G180" r:id="rId330" xr:uid="{00000000-0004-0000-0100-000049010000}"/>
    <hyperlink ref="F180" r:id="rId331" xr:uid="{00000000-0004-0000-0100-00004A010000}"/>
    <hyperlink ref="G178" r:id="rId332" xr:uid="{00000000-0004-0000-0100-00004B010000}"/>
    <hyperlink ref="F178" r:id="rId333" xr:uid="{00000000-0004-0000-0100-00004C010000}"/>
    <hyperlink ref="G177" r:id="rId334" xr:uid="{00000000-0004-0000-0100-00004D010000}"/>
    <hyperlink ref="F177" r:id="rId335" xr:uid="{00000000-0004-0000-0100-00004E010000}"/>
    <hyperlink ref="F176" r:id="rId336" xr:uid="{00000000-0004-0000-0100-00004F010000}"/>
    <hyperlink ref="G176" r:id="rId337" xr:uid="{00000000-0004-0000-0100-000050010000}"/>
    <hyperlink ref="G52" r:id="rId338" xr:uid="{00000000-0004-0000-0100-000051010000}"/>
    <hyperlink ref="F52" r:id="rId339" xr:uid="{00000000-0004-0000-0100-000052010000}"/>
    <hyperlink ref="E124" r:id="rId340" xr:uid="{00000000-0004-0000-0100-000053010000}"/>
    <hyperlink ref="E140" r:id="rId341" xr:uid="{00000000-0004-0000-0100-000054010000}"/>
    <hyperlink ref="E141" r:id="rId342" xr:uid="{00000000-0004-0000-0100-000055010000}"/>
    <hyperlink ref="N185" r:id="rId343" xr:uid="{00000000-0004-0000-0100-000056010000}"/>
    <hyperlink ref="M185" r:id="rId344" xr:uid="{00000000-0004-0000-0100-000057010000}"/>
    <hyperlink ref="H235" r:id="rId345" xr:uid="{00000000-0004-0000-0100-000058010000}"/>
    <hyperlink ref="F235" r:id="rId346" xr:uid="{00000000-0004-0000-0100-000059010000}"/>
    <hyperlink ref="G235" r:id="rId347" xr:uid="{00000000-0004-0000-0100-00005A010000}"/>
    <hyperlink ref="L119" r:id="rId348" xr:uid="{00000000-0004-0000-0100-00005B010000}"/>
    <hyperlink ref="K119" r:id="rId349" xr:uid="{00000000-0004-0000-0100-00005C010000}"/>
    <hyperlink ref="J119" r:id="rId350" xr:uid="{00000000-0004-0000-0100-00005D010000}"/>
    <hyperlink ref="H119" r:id="rId351" xr:uid="{00000000-0004-0000-0100-00005E010000}"/>
    <hyperlink ref="F119" r:id="rId352" xr:uid="{00000000-0004-0000-0100-00005F010000}"/>
    <hyperlink ref="I119" r:id="rId353" xr:uid="{00000000-0004-0000-0100-000060010000}"/>
    <hyperlink ref="M119" r:id="rId354" xr:uid="{00000000-0004-0000-0100-000061010000}"/>
    <hyperlink ref="E76" r:id="rId355" xr:uid="{00000000-0004-0000-0100-000062010000}"/>
    <hyperlink ref="E126" r:id="rId356" xr:uid="{00000000-0004-0000-0100-000063010000}"/>
    <hyperlink ref="E131" r:id="rId357" xr:uid="{00000000-0004-0000-0100-000064010000}"/>
    <hyperlink ref="E58" r:id="rId358" xr:uid="{00000000-0004-0000-0100-000065010000}"/>
    <hyperlink ref="E59" r:id="rId359" xr:uid="{00000000-0004-0000-0100-000066010000}"/>
  </hyperlinks>
  <pageMargins left="0.7" right="0.7" top="0.75" bottom="0.75" header="0.3" footer="0.3"/>
  <pageSetup orientation="portrait" r:id="rId360"/>
  <drawing r:id="rId3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5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A3" sqref="AA3"/>
    </sheetView>
  </sheetViews>
  <sheetFormatPr defaultColWidth="8.83984375" defaultRowHeight="14.4" outlineLevelCol="1"/>
  <cols>
    <col min="1" max="1" width="14.83984375" style="50" customWidth="1"/>
    <col min="2" max="2" width="27.41796875" customWidth="1" outlineLevel="1"/>
    <col min="3" max="3" width="12.41796875" customWidth="1" outlineLevel="1"/>
    <col min="4" max="4" width="15.15625" customWidth="1" outlineLevel="1"/>
    <col min="5" max="5" width="2.68359375" style="57" customWidth="1" outlineLevel="1"/>
    <col min="6" max="6" width="3.83984375" style="57" customWidth="1" outlineLevel="1" collapsed="1"/>
    <col min="7" max="7" width="3.83984375" style="57" customWidth="1" outlineLevel="1"/>
    <col min="8" max="8" width="8.41796875" customWidth="1" outlineLevel="1"/>
    <col min="9" max="13" width="8.83984375" customWidth="1" outlineLevel="1"/>
    <col min="14" max="14" width="9.68359375" customWidth="1" outlineLevel="1"/>
    <col min="15" max="15" width="9" customWidth="1" outlineLevel="1"/>
    <col min="16" max="16" width="11.68359375" customWidth="1" outlineLevel="1"/>
    <col min="17" max="18" width="9.68359375" customWidth="1" outlineLevel="1"/>
    <col min="19" max="19" width="9.41796875" customWidth="1" outlineLevel="1"/>
    <col min="20" max="23" width="8.83984375" customWidth="1" outlineLevel="1"/>
    <col min="24" max="27" width="9.68359375" customWidth="1" outlineLevel="1"/>
    <col min="28" max="29" width="8.83984375" customWidth="1" outlineLevel="1"/>
    <col min="30" max="35" width="9.68359375" customWidth="1" outlineLevel="1"/>
    <col min="36" max="37" width="8.83984375" customWidth="1"/>
    <col min="38" max="38" width="13.3671875" customWidth="1" outlineLevel="1"/>
    <col min="39" max="39" width="12.41796875" style="57" customWidth="1" outlineLevel="1"/>
    <col min="40" max="40" width="1.41796875" customWidth="1" outlineLevel="1"/>
    <col min="41" max="41" width="8" style="57" customWidth="1" outlineLevel="1"/>
    <col min="42" max="42" width="22.68359375" customWidth="1" outlineLevel="1"/>
    <col min="43" max="44" width="8.83984375" customWidth="1" outlineLevel="1"/>
    <col min="45" max="45" width="4" style="46" customWidth="1"/>
    <col min="46" max="46" width="34.15625" customWidth="1"/>
  </cols>
  <sheetData>
    <row r="1" spans="1:38" s="22" customFormat="1" ht="16.8">
      <c r="A1" s="87" t="s">
        <v>242</v>
      </c>
      <c r="B1" s="22" t="s">
        <v>412</v>
      </c>
      <c r="C1" s="22" t="s">
        <v>241</v>
      </c>
      <c r="D1" s="22" t="s">
        <v>610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33</v>
      </c>
      <c r="K1" s="22">
        <v>44</v>
      </c>
      <c r="L1" s="22">
        <v>12</v>
      </c>
      <c r="M1" s="22">
        <v>13</v>
      </c>
      <c r="N1" s="22" t="s">
        <v>135</v>
      </c>
      <c r="O1" s="22" t="s">
        <v>134</v>
      </c>
      <c r="P1" s="22" t="s">
        <v>138</v>
      </c>
      <c r="Q1" s="22" t="s">
        <v>137</v>
      </c>
      <c r="R1" s="22" t="s">
        <v>136</v>
      </c>
      <c r="S1" s="22" t="s">
        <v>155</v>
      </c>
      <c r="T1" s="22" t="s">
        <v>157</v>
      </c>
      <c r="U1" s="22" t="s">
        <v>208</v>
      </c>
      <c r="V1" s="143" t="s">
        <v>1385</v>
      </c>
      <c r="W1" s="143" t="s">
        <v>1384</v>
      </c>
      <c r="X1" s="22" t="s">
        <v>166</v>
      </c>
      <c r="Y1" s="22" t="s">
        <v>167</v>
      </c>
      <c r="Z1" s="22" t="s">
        <v>168</v>
      </c>
      <c r="AA1" s="22" t="s">
        <v>169</v>
      </c>
      <c r="AB1" s="22" t="s">
        <v>1792</v>
      </c>
      <c r="AC1" s="22" t="s">
        <v>709</v>
      </c>
      <c r="AD1" s="22" t="s">
        <v>146</v>
      </c>
      <c r="AE1" s="22" t="s">
        <v>985</v>
      </c>
      <c r="AF1" s="22" t="s">
        <v>120</v>
      </c>
      <c r="AG1" s="22" t="s">
        <v>119</v>
      </c>
      <c r="AH1" s="22" t="s">
        <v>621</v>
      </c>
      <c r="AI1" s="22" t="s">
        <v>622</v>
      </c>
      <c r="AJ1" s="22" t="s">
        <v>1787</v>
      </c>
      <c r="AK1" s="22" t="s">
        <v>1788</v>
      </c>
    </row>
    <row r="2" spans="1:38">
      <c r="A2" s="50" t="s">
        <v>546</v>
      </c>
      <c r="B2" t="s">
        <v>534</v>
      </c>
      <c r="C2" t="s">
        <v>423</v>
      </c>
      <c r="D2" t="s">
        <v>598</v>
      </c>
      <c r="E2" s="57" t="s">
        <v>15</v>
      </c>
      <c r="F2" s="68">
        <v>6</v>
      </c>
      <c r="G2" s="68">
        <v>4</v>
      </c>
      <c r="H2" s="3">
        <v>5.6749999999999998</v>
      </c>
      <c r="I2">
        <v>208.3</v>
      </c>
      <c r="J2">
        <v>210.2</v>
      </c>
      <c r="K2">
        <v>43.6</v>
      </c>
      <c r="L2">
        <v>119.4</v>
      </c>
      <c r="M2">
        <v>105.6</v>
      </c>
      <c r="N2" s="4">
        <f t="shared" ref="N2:N9" si="0">((I2+L2)*J2-2*M2*M2)/(I2+L2+2*J2-4*M2)</f>
        <v>143.01449186367824</v>
      </c>
      <c r="O2" s="4">
        <f t="shared" ref="O2:O9" si="1">(2*I2+2*L2+4*M2+J2)/9</f>
        <v>143.11111111111114</v>
      </c>
      <c r="P2" s="4">
        <f t="shared" ref="P2:P9" si="2">(I2+L2)*J2-2*M2*M2</f>
        <v>46579.820000000007</v>
      </c>
      <c r="Q2" s="4">
        <f t="shared" ref="Q2:Q9" si="3">5/2*(K2*0.5*(I2-L2)*P2)/((K2+0.5*(I2-L2))*P2+3*O2*K2*0.5*(I2-L2))</f>
        <v>45.745553053888358</v>
      </c>
      <c r="R2" s="4">
        <f t="shared" ref="R2:R9" si="4">(I2+L2+2*J2-4*M2+12*K2+6*(I2-L2))/30</f>
        <v>46.076666666666675</v>
      </c>
      <c r="S2" s="7">
        <f t="shared" ref="S2:S9" si="5">0.5*(N2+O2)</f>
        <v>143.06280148739469</v>
      </c>
      <c r="T2" s="7">
        <f t="shared" ref="T2:T9" si="6">0.5*(Q2+R2)</f>
        <v>45.91110986027752</v>
      </c>
      <c r="U2" s="7">
        <f t="shared" ref="U2:U9" si="7">S2/T2</f>
        <v>3.1160824019018807</v>
      </c>
      <c r="V2" s="4">
        <f t="shared" ref="V2:V9" si="8">(3*S2-2*T2)/(2*(3*S2+T2))</f>
        <v>0.35504791582743062</v>
      </c>
      <c r="W2" s="4">
        <f>9*T2*S2/(T2+3*S2)</f>
        <v>124.42350745898652</v>
      </c>
      <c r="X2" s="4">
        <f t="shared" ref="X2:X7" si="9">SQRT((S2+4/3*T2)/H2)</f>
        <v>5.9996712778443584</v>
      </c>
      <c r="Y2" s="4">
        <f t="shared" ref="Y2:Y7" si="10">SQRT(S2/H2)</f>
        <v>5.0208867968570745</v>
      </c>
      <c r="Z2" s="4">
        <f t="shared" ref="Z2:Z7" si="11">SQRT(T2/H2)</f>
        <v>2.8443036777922726</v>
      </c>
      <c r="AA2" s="4">
        <f>X2/Z2</f>
        <v>2.1093638223965097</v>
      </c>
      <c r="AB2" s="4">
        <f t="shared" ref="AB2:AB9" si="12">J2/I2</f>
        <v>1.0091214594335092</v>
      </c>
      <c r="AC2" s="4">
        <f t="shared" ref="AC2:AC9" si="13">((I2-L2)/(2*K2))</f>
        <v>1.0194954128440368</v>
      </c>
      <c r="AD2" s="4">
        <f t="shared" ref="AD2:AD9" si="14">5*R2/Q2 +O2/N2 -6</f>
        <v>3.6866388474545708E-2</v>
      </c>
      <c r="AE2" s="18">
        <f t="shared" ref="AE2:AE33" si="15">SQRT((LN(O2/N2))^2+5*(LN(R2/Q2))^2)</f>
        <v>1.6140858474102692E-2</v>
      </c>
      <c r="AF2" s="18">
        <f t="shared" ref="AF2:AF9" si="16">(R2-Q2)/(R2+Q2)</f>
        <v>3.6060292790351168E-3</v>
      </c>
      <c r="AG2" s="18">
        <f t="shared" ref="AG2:AG9" si="17">(O2-N2)/(O2+N2)</f>
        <v>3.3768123659108857E-4</v>
      </c>
      <c r="AH2" s="4"/>
      <c r="AI2" s="4"/>
      <c r="AJ2" s="4">
        <v>0.26640000000000003</v>
      </c>
      <c r="AK2" s="4">
        <v>0.44159999999999999</v>
      </c>
    </row>
    <row r="3" spans="1:38" ht="15.3">
      <c r="A3" s="50" t="s">
        <v>541</v>
      </c>
      <c r="B3" t="s">
        <v>528</v>
      </c>
      <c r="C3" t="s">
        <v>423</v>
      </c>
      <c r="D3" t="s">
        <v>598</v>
      </c>
      <c r="E3" s="57" t="s">
        <v>15</v>
      </c>
      <c r="F3" s="68">
        <v>6</v>
      </c>
      <c r="G3" s="68">
        <v>4</v>
      </c>
      <c r="H3" s="3">
        <v>3.01</v>
      </c>
      <c r="I3">
        <v>460.6</v>
      </c>
      <c r="J3">
        <v>491.6</v>
      </c>
      <c r="K3">
        <v>147.69999999999999</v>
      </c>
      <c r="L3">
        <v>126.5</v>
      </c>
      <c r="M3" s="10">
        <v>88.5</v>
      </c>
      <c r="N3" s="4">
        <f t="shared" si="0"/>
        <v>224.41326975252815</v>
      </c>
      <c r="O3" s="4">
        <f t="shared" si="1"/>
        <v>224.42222222222225</v>
      </c>
      <c r="P3" s="4">
        <f t="shared" si="2"/>
        <v>272953.86000000004</v>
      </c>
      <c r="Q3" s="4">
        <f t="shared" si="3"/>
        <v>164.22186813566231</v>
      </c>
      <c r="R3" s="4">
        <f t="shared" si="4"/>
        <v>166.44333333333333</v>
      </c>
      <c r="S3" s="12">
        <f t="shared" si="5"/>
        <v>224.41774598737521</v>
      </c>
      <c r="T3" s="7">
        <f t="shared" si="6"/>
        <v>165.33260073449782</v>
      </c>
      <c r="U3" s="7">
        <f t="shared" si="7"/>
        <v>1.3573714136860418</v>
      </c>
      <c r="V3" s="4">
        <f t="shared" si="8"/>
        <v>0.20426533616737394</v>
      </c>
      <c r="W3" s="4">
        <f t="shared" ref="W3:W66" si="18">9*T3*S3/(T3+3*S3)</f>
        <v>398.2086400059124</v>
      </c>
      <c r="X3" s="4">
        <f t="shared" si="9"/>
        <v>12.157072967372152</v>
      </c>
      <c r="Y3" s="4">
        <f t="shared" si="10"/>
        <v>8.634662164409221</v>
      </c>
      <c r="Z3" s="4">
        <f t="shared" si="11"/>
        <v>7.4113274337596202</v>
      </c>
      <c r="AA3" s="4">
        <f t="shared" ref="AA3:AA67" si="19">X3/Z3</f>
        <v>1.6403367785364609</v>
      </c>
      <c r="AB3" s="4">
        <f t="shared" si="12"/>
        <v>1.0673035171515415</v>
      </c>
      <c r="AC3" s="4">
        <f t="shared" si="13"/>
        <v>1.1310088016249156</v>
      </c>
      <c r="AD3" s="4">
        <f t="shared" si="14"/>
        <v>6.7675988476716853E-2</v>
      </c>
      <c r="AE3" s="18">
        <f t="shared" si="15"/>
        <v>3.0045050291905625E-2</v>
      </c>
      <c r="AF3" s="18">
        <f t="shared" si="16"/>
        <v>6.7181704872543583E-3</v>
      </c>
      <c r="AG3" s="18">
        <f t="shared" si="17"/>
        <v>1.9945993251794272E-5</v>
      </c>
      <c r="AH3" s="4"/>
      <c r="AI3" s="4"/>
      <c r="AJ3" s="4">
        <v>0.1353</v>
      </c>
      <c r="AK3" s="4">
        <v>0.26939999999999997</v>
      </c>
      <c r="AL3" s="145"/>
    </row>
    <row r="4" spans="1:38">
      <c r="A4" s="50" t="s">
        <v>541</v>
      </c>
      <c r="B4" t="s">
        <v>528</v>
      </c>
      <c r="C4" t="s">
        <v>423</v>
      </c>
      <c r="D4" t="s">
        <v>598</v>
      </c>
      <c r="E4" s="57" t="s">
        <v>15</v>
      </c>
      <c r="F4" s="68">
        <v>6</v>
      </c>
      <c r="G4" s="68">
        <v>4</v>
      </c>
      <c r="H4" s="3">
        <v>3.01</v>
      </c>
      <c r="I4">
        <v>470</v>
      </c>
      <c r="J4">
        <v>494</v>
      </c>
      <c r="K4">
        <v>153</v>
      </c>
      <c r="L4" s="10">
        <v>168</v>
      </c>
      <c r="M4">
        <v>119</v>
      </c>
      <c r="N4" s="4">
        <f t="shared" si="0"/>
        <v>249.43478260869566</v>
      </c>
      <c r="O4" s="4">
        <f t="shared" si="1"/>
        <v>249.55555555555554</v>
      </c>
      <c r="P4" s="4">
        <f t="shared" si="2"/>
        <v>286850</v>
      </c>
      <c r="Q4" s="4">
        <f t="shared" si="3"/>
        <v>158.54470656068298</v>
      </c>
      <c r="R4" s="4">
        <f t="shared" si="4"/>
        <v>159.93333333333334</v>
      </c>
      <c r="S4" s="7">
        <f t="shared" si="5"/>
        <v>249.49516908212559</v>
      </c>
      <c r="T4" s="7">
        <f t="shared" si="6"/>
        <v>159.23901994700816</v>
      </c>
      <c r="U4" s="7">
        <f t="shared" si="7"/>
        <v>1.5667966881807802</v>
      </c>
      <c r="V4" s="4">
        <f t="shared" si="8"/>
        <v>0.23686011255083675</v>
      </c>
      <c r="W4" s="4">
        <f t="shared" si="18"/>
        <v>393.91278426828296</v>
      </c>
      <c r="X4" s="4">
        <f t="shared" si="9"/>
        <v>12.38654642507209</v>
      </c>
      <c r="Y4" s="4">
        <f t="shared" si="10"/>
        <v>9.1043264711015581</v>
      </c>
      <c r="Z4" s="4">
        <f t="shared" si="11"/>
        <v>7.2734674596130029</v>
      </c>
      <c r="AA4" s="4">
        <f t="shared" si="19"/>
        <v>1.7029768117957782</v>
      </c>
      <c r="AB4" s="4">
        <f t="shared" si="12"/>
        <v>1.0510638297872341</v>
      </c>
      <c r="AC4" s="4">
        <f t="shared" si="13"/>
        <v>0.98692810457516345</v>
      </c>
      <c r="AD4" s="4">
        <f t="shared" si="14"/>
        <v>4.4277095194942717E-2</v>
      </c>
      <c r="AE4" s="18">
        <f t="shared" si="15"/>
        <v>1.9505521744137947E-2</v>
      </c>
      <c r="AF4" s="18">
        <f t="shared" si="16"/>
        <v>4.3601963046257892E-3</v>
      </c>
      <c r="AG4" s="18">
        <f t="shared" si="17"/>
        <v>2.4203463999764374E-4</v>
      </c>
      <c r="AH4" s="4"/>
      <c r="AI4" s="4"/>
      <c r="AJ4" s="4">
        <v>0.1648</v>
      </c>
      <c r="AK4" s="4">
        <v>0.31569999999999998</v>
      </c>
    </row>
    <row r="5" spans="1:38">
      <c r="A5" s="50" t="s">
        <v>541</v>
      </c>
      <c r="B5" t="s">
        <v>528</v>
      </c>
      <c r="C5" t="s">
        <v>423</v>
      </c>
      <c r="D5" t="s">
        <v>598</v>
      </c>
      <c r="E5" s="57" t="s">
        <v>23</v>
      </c>
      <c r="F5" s="68">
        <v>6</v>
      </c>
      <c r="G5" s="68">
        <v>4</v>
      </c>
      <c r="H5" s="28">
        <v>3.01</v>
      </c>
      <c r="I5">
        <v>454</v>
      </c>
      <c r="J5">
        <v>488</v>
      </c>
      <c r="K5">
        <v>155</v>
      </c>
      <c r="L5" s="10">
        <v>85</v>
      </c>
      <c r="M5" s="10">
        <v>77</v>
      </c>
      <c r="N5" s="4">
        <f t="shared" si="0"/>
        <v>208.09776304888152</v>
      </c>
      <c r="O5" s="4">
        <f t="shared" si="1"/>
        <v>208.22222222222223</v>
      </c>
      <c r="P5" s="4">
        <f t="shared" si="2"/>
        <v>251174</v>
      </c>
      <c r="Q5" s="4">
        <f t="shared" si="3"/>
        <v>174.11101677801352</v>
      </c>
      <c r="R5" s="4">
        <f t="shared" si="4"/>
        <v>176.03333333333333</v>
      </c>
      <c r="S5" s="7">
        <f t="shared" si="5"/>
        <v>208.15999263555187</v>
      </c>
      <c r="T5" s="7">
        <f t="shared" si="6"/>
        <v>175.07217505567343</v>
      </c>
      <c r="U5" s="7">
        <f t="shared" si="7"/>
        <v>1.1889952961934496</v>
      </c>
      <c r="V5" s="4">
        <f t="shared" si="8"/>
        <v>0.17155580582135846</v>
      </c>
      <c r="W5" s="4">
        <f t="shared" si="18"/>
        <v>410.21364624849485</v>
      </c>
      <c r="X5" s="4">
        <f t="shared" si="9"/>
        <v>12.112286935564718</v>
      </c>
      <c r="Y5" s="4">
        <f t="shared" si="10"/>
        <v>8.3160172999303885</v>
      </c>
      <c r="Z5" s="4">
        <f t="shared" si="11"/>
        <v>7.626500724941466</v>
      </c>
      <c r="AA5" s="4">
        <f t="shared" si="19"/>
        <v>1.588184066639249</v>
      </c>
      <c r="AB5" s="4">
        <f t="shared" si="12"/>
        <v>1.0748898678414096</v>
      </c>
      <c r="AC5" s="4">
        <f t="shared" si="13"/>
        <v>1.1903225806451614</v>
      </c>
      <c r="AD5" s="4">
        <f t="shared" si="14"/>
        <v>5.5801840263748126E-2</v>
      </c>
      <c r="AE5" s="18">
        <f t="shared" si="15"/>
        <v>2.4559859477377748E-2</v>
      </c>
      <c r="AF5" s="18">
        <f t="shared" si="16"/>
        <v>5.4900687522403497E-3</v>
      </c>
      <c r="AG5" s="18">
        <f t="shared" si="17"/>
        <v>2.9895075361242597E-4</v>
      </c>
      <c r="AH5" s="4"/>
      <c r="AI5" s="4"/>
      <c r="AJ5" s="4"/>
      <c r="AK5" s="4"/>
    </row>
    <row r="6" spans="1:38">
      <c r="A6" s="50" t="s">
        <v>541</v>
      </c>
      <c r="B6" t="s">
        <v>528</v>
      </c>
      <c r="C6" t="s">
        <v>423</v>
      </c>
      <c r="D6" t="s">
        <v>598</v>
      </c>
      <c r="E6" s="57" t="s">
        <v>23</v>
      </c>
      <c r="F6" s="68">
        <v>6</v>
      </c>
      <c r="G6" s="68">
        <v>4</v>
      </c>
      <c r="H6" s="3">
        <v>3.01</v>
      </c>
      <c r="I6">
        <v>468</v>
      </c>
      <c r="J6">
        <v>497</v>
      </c>
      <c r="K6">
        <v>148</v>
      </c>
      <c r="L6">
        <v>130</v>
      </c>
      <c r="M6">
        <v>120</v>
      </c>
      <c r="N6" s="4">
        <f t="shared" si="0"/>
        <v>241.37230215827338</v>
      </c>
      <c r="O6" s="4">
        <f t="shared" si="1"/>
        <v>241.44444444444446</v>
      </c>
      <c r="P6" s="4">
        <f t="shared" si="2"/>
        <v>268406</v>
      </c>
      <c r="Q6" s="4">
        <f t="shared" si="3"/>
        <v>162.62738632068502</v>
      </c>
      <c r="R6" s="4">
        <f t="shared" si="4"/>
        <v>163.86666666666667</v>
      </c>
      <c r="S6" s="7">
        <f t="shared" si="5"/>
        <v>241.40837330135892</v>
      </c>
      <c r="T6" s="7">
        <f t="shared" si="6"/>
        <v>163.24702649367583</v>
      </c>
      <c r="U6" s="7">
        <f t="shared" si="7"/>
        <v>1.4787918560385604</v>
      </c>
      <c r="V6" s="4">
        <f t="shared" si="8"/>
        <v>0.22408087314690078</v>
      </c>
      <c r="W6" s="4">
        <f t="shared" si="18"/>
        <v>399.6551254580279</v>
      </c>
      <c r="X6" s="4">
        <f t="shared" si="9"/>
        <v>12.349708798440874</v>
      </c>
      <c r="Y6" s="4">
        <f t="shared" si="10"/>
        <v>8.9555634873449907</v>
      </c>
      <c r="Z6" s="4">
        <f t="shared" si="11"/>
        <v>7.3644342975422017</v>
      </c>
      <c r="AA6" s="4">
        <f t="shared" si="19"/>
        <v>1.6769392324624923</v>
      </c>
      <c r="AB6" s="4">
        <f t="shared" si="12"/>
        <v>1.061965811965812</v>
      </c>
      <c r="AC6" s="4">
        <f t="shared" si="13"/>
        <v>1.1418918918918919</v>
      </c>
      <c r="AD6" s="4">
        <f t="shared" si="14"/>
        <v>3.8400718185934934E-2</v>
      </c>
      <c r="AE6" s="18">
        <f t="shared" si="15"/>
        <v>1.6977692324825995E-2</v>
      </c>
      <c r="AF6" s="18">
        <f t="shared" si="16"/>
        <v>3.7957210388443563E-3</v>
      </c>
      <c r="AG6" s="18">
        <f t="shared" si="17"/>
        <v>1.4941960211341601E-4</v>
      </c>
      <c r="AH6" s="4"/>
      <c r="AI6" s="4"/>
      <c r="AJ6" s="4">
        <v>0.1648</v>
      </c>
      <c r="AK6" s="4">
        <v>0.31569999999999998</v>
      </c>
    </row>
    <row r="7" spans="1:38">
      <c r="A7" s="50" t="s">
        <v>548</v>
      </c>
      <c r="B7" t="s">
        <v>536</v>
      </c>
      <c r="E7" s="57" t="s">
        <v>23</v>
      </c>
      <c r="F7" s="57">
        <v>6</v>
      </c>
      <c r="G7" s="57">
        <v>4</v>
      </c>
      <c r="H7">
        <v>0.91949999999999998</v>
      </c>
      <c r="I7">
        <v>13.93</v>
      </c>
      <c r="J7">
        <v>15.01</v>
      </c>
      <c r="K7">
        <v>3.01</v>
      </c>
      <c r="L7">
        <v>7.08</v>
      </c>
      <c r="M7">
        <v>5.77</v>
      </c>
      <c r="N7" s="4">
        <f t="shared" si="0"/>
        <v>8.9006905187835397</v>
      </c>
      <c r="O7" s="4">
        <f t="shared" si="1"/>
        <v>8.9011111111111116</v>
      </c>
      <c r="P7" s="4">
        <f t="shared" si="2"/>
        <v>248.77429999999998</v>
      </c>
      <c r="Q7" s="4">
        <f t="shared" si="3"/>
        <v>3.4174653405452156</v>
      </c>
      <c r="R7" s="4">
        <f t="shared" si="4"/>
        <v>3.505666666666666</v>
      </c>
      <c r="S7" s="7">
        <f t="shared" si="5"/>
        <v>8.9009008149473257</v>
      </c>
      <c r="T7" s="7">
        <f t="shared" si="6"/>
        <v>3.4615660036059408</v>
      </c>
      <c r="U7" s="7">
        <f t="shared" si="7"/>
        <v>2.5713508873368833</v>
      </c>
      <c r="V7" s="4">
        <f t="shared" si="8"/>
        <v>0.32786424891149379</v>
      </c>
      <c r="W7" s="4">
        <f t="shared" si="18"/>
        <v>9.192979482871527</v>
      </c>
      <c r="X7" s="4">
        <f t="shared" si="9"/>
        <v>3.8340114046367688</v>
      </c>
      <c r="Y7" s="4">
        <f t="shared" si="10"/>
        <v>3.1112944481284992</v>
      </c>
      <c r="Z7" s="4">
        <f t="shared" si="11"/>
        <v>1.9402622840603767</v>
      </c>
      <c r="AA7" s="4">
        <f t="shared" si="19"/>
        <v>1.9760273835830862</v>
      </c>
      <c r="AB7" s="4">
        <f t="shared" si="12"/>
        <v>1.0775305096913137</v>
      </c>
      <c r="AC7" s="4">
        <f t="shared" si="13"/>
        <v>1.1378737541528239</v>
      </c>
      <c r="AD7" s="4">
        <f t="shared" si="14"/>
        <v>0.12909219998048727</v>
      </c>
      <c r="AE7" s="18">
        <f t="shared" si="15"/>
        <v>5.6978517829579391E-2</v>
      </c>
      <c r="AF7" s="18">
        <f t="shared" si="16"/>
        <v>1.2740090183109388E-2</v>
      </c>
      <c r="AG7" s="18">
        <f t="shared" si="17"/>
        <v>2.3626391098846099E-5</v>
      </c>
      <c r="AH7" s="4"/>
      <c r="AI7" s="4"/>
      <c r="AJ7" s="4">
        <v>0.24829999999999999</v>
      </c>
      <c r="AK7" s="4">
        <v>0.39810000000000001</v>
      </c>
    </row>
    <row r="8" spans="1:38">
      <c r="A8" s="50" t="s">
        <v>903</v>
      </c>
      <c r="B8" t="s">
        <v>536</v>
      </c>
      <c r="E8" s="57" t="s">
        <v>23</v>
      </c>
      <c r="F8" s="57">
        <v>6</v>
      </c>
      <c r="G8" s="57">
        <v>4</v>
      </c>
      <c r="I8">
        <v>13.7</v>
      </c>
      <c r="J8">
        <v>14.9</v>
      </c>
      <c r="K8">
        <v>3.1</v>
      </c>
      <c r="L8">
        <v>6.8</v>
      </c>
      <c r="M8">
        <v>5.9</v>
      </c>
      <c r="N8" s="4">
        <f t="shared" si="0"/>
        <v>8.832584269662922</v>
      </c>
      <c r="O8" s="4">
        <f t="shared" si="1"/>
        <v>8.8333333333333339</v>
      </c>
      <c r="P8" s="4">
        <f t="shared" si="2"/>
        <v>235.82999999999998</v>
      </c>
      <c r="Q8" s="4">
        <f t="shared" si="3"/>
        <v>3.4492045447086164</v>
      </c>
      <c r="R8" s="4">
        <f t="shared" si="4"/>
        <v>3.51</v>
      </c>
      <c r="S8" s="7">
        <f t="shared" si="5"/>
        <v>8.832958801498128</v>
      </c>
      <c r="T8" s="7">
        <f t="shared" si="6"/>
        <v>3.4796022723543079</v>
      </c>
      <c r="U8" s="7">
        <f t="shared" si="7"/>
        <v>2.5384966758059178</v>
      </c>
      <c r="V8" s="4">
        <f t="shared" si="8"/>
        <v>0.3258949873743186</v>
      </c>
      <c r="W8" s="4">
        <f t="shared" si="18"/>
        <v>9.2271744219417311</v>
      </c>
      <c r="X8" s="4"/>
      <c r="Y8" s="4"/>
      <c r="Z8" s="4"/>
      <c r="AA8" s="4"/>
      <c r="AB8" s="4">
        <f t="shared" si="12"/>
        <v>1.0875912408759125</v>
      </c>
      <c r="AC8" s="4">
        <f t="shared" si="13"/>
        <v>1.1129032258064515</v>
      </c>
      <c r="AD8" s="4">
        <f t="shared" si="14"/>
        <v>8.8214482120056559E-2</v>
      </c>
      <c r="AE8" s="18">
        <f t="shared" si="15"/>
        <v>3.9069565652131891E-2</v>
      </c>
      <c r="AF8" s="18">
        <f t="shared" si="16"/>
        <v>8.7359776395146815E-3</v>
      </c>
      <c r="AG8" s="18">
        <f t="shared" si="17"/>
        <v>4.2401628222521329E-5</v>
      </c>
      <c r="AH8" s="4"/>
      <c r="AI8" s="4"/>
      <c r="AJ8" s="4"/>
      <c r="AK8" s="4"/>
    </row>
    <row r="9" spans="1:38">
      <c r="A9" s="50" t="s">
        <v>549</v>
      </c>
      <c r="B9" t="s">
        <v>536</v>
      </c>
      <c r="E9" s="57" t="s">
        <v>23</v>
      </c>
      <c r="F9" s="57">
        <v>6</v>
      </c>
      <c r="G9" s="57">
        <v>4</v>
      </c>
      <c r="H9">
        <v>0.91710000000000003</v>
      </c>
      <c r="I9">
        <v>13.7</v>
      </c>
      <c r="J9">
        <v>14.85</v>
      </c>
      <c r="K9">
        <v>3.99</v>
      </c>
      <c r="L9">
        <v>6.99</v>
      </c>
      <c r="M9">
        <v>5.67</v>
      </c>
      <c r="N9" s="4">
        <f t="shared" si="0"/>
        <v>8.7675460122699373</v>
      </c>
      <c r="O9" s="4">
        <f t="shared" si="1"/>
        <v>8.767777777777777</v>
      </c>
      <c r="P9" s="4">
        <f t="shared" si="2"/>
        <v>242.94869999999997</v>
      </c>
      <c r="Q9" s="4">
        <f t="shared" si="3"/>
        <v>3.8054288142285806</v>
      </c>
      <c r="R9" s="4">
        <f t="shared" si="4"/>
        <v>3.8616666666666664</v>
      </c>
      <c r="S9" s="7">
        <f t="shared" si="5"/>
        <v>8.7676618950238563</v>
      </c>
      <c r="T9" s="7">
        <f t="shared" si="6"/>
        <v>3.8335477404476235</v>
      </c>
      <c r="U9" s="7">
        <f t="shared" si="7"/>
        <v>2.287088224444572</v>
      </c>
      <c r="V9" s="4">
        <f t="shared" si="8"/>
        <v>0.3091910064943918</v>
      </c>
      <c r="W9" s="4">
        <f t="shared" si="18"/>
        <v>10.037692449521851</v>
      </c>
      <c r="X9" s="4">
        <f>SQRT((S9+4/3*T9)/H9)</f>
        <v>3.8901976074235058</v>
      </c>
      <c r="Y9" s="4">
        <f>SQRT(S9/H9)</f>
        <v>3.0919577453047853</v>
      </c>
      <c r="Z9" s="4">
        <f>SQRT(T9/H9)</f>
        <v>2.044523427241661</v>
      </c>
      <c r="AA9" s="4">
        <f t="shared" si="19"/>
        <v>1.9027405387435004</v>
      </c>
      <c r="AB9" s="4">
        <f t="shared" si="12"/>
        <v>1.083941605839416</v>
      </c>
      <c r="AC9" s="4">
        <f t="shared" si="13"/>
        <v>0.84085213032581441</v>
      </c>
      <c r="AD9" s="4">
        <f t="shared" si="14"/>
        <v>7.3918044575004949E-2</v>
      </c>
      <c r="AE9" s="18">
        <f t="shared" si="15"/>
        <v>3.280354533020223E-2</v>
      </c>
      <c r="AF9" s="18">
        <f t="shared" si="16"/>
        <v>7.3349617959262928E-3</v>
      </c>
      <c r="AG9" s="18">
        <f t="shared" si="17"/>
        <v>1.3217064629921128E-5</v>
      </c>
      <c r="AH9" s="4"/>
      <c r="AI9" s="4"/>
      <c r="AJ9" s="4">
        <v>0.2233</v>
      </c>
      <c r="AK9" s="4">
        <v>0.41699999999999998</v>
      </c>
    </row>
    <row r="10" spans="1:38">
      <c r="E10" s="57" t="s">
        <v>23</v>
      </c>
      <c r="N10" s="4"/>
      <c r="O10" s="4"/>
      <c r="P10" s="4"/>
      <c r="Q10" s="4"/>
      <c r="R10" s="4"/>
      <c r="S10" s="7"/>
      <c r="T10" s="7"/>
      <c r="U10" s="7"/>
      <c r="V10" s="4"/>
      <c r="W10" s="4"/>
      <c r="X10" s="4"/>
      <c r="Y10" s="4"/>
      <c r="Z10" s="4"/>
      <c r="AA10" s="4"/>
      <c r="AB10" s="4"/>
      <c r="AC10" s="4"/>
      <c r="AD10" s="4"/>
      <c r="AE10" s="18" t="e">
        <f t="shared" si="15"/>
        <v>#DIV/0!</v>
      </c>
      <c r="AF10" s="18"/>
      <c r="AG10" s="18"/>
      <c r="AH10" s="4"/>
      <c r="AI10" s="4"/>
      <c r="AJ10" s="4"/>
      <c r="AK10" s="4"/>
    </row>
    <row r="11" spans="1:38">
      <c r="A11" s="50" t="s">
        <v>547</v>
      </c>
      <c r="B11" t="s">
        <v>535</v>
      </c>
      <c r="C11" t="s">
        <v>520</v>
      </c>
      <c r="F11" s="68">
        <v>6</v>
      </c>
      <c r="G11" s="68">
        <v>2</v>
      </c>
      <c r="H11" s="3">
        <v>4.0839999999999996</v>
      </c>
      <c r="I11">
        <v>122</v>
      </c>
      <c r="J11">
        <v>138</v>
      </c>
      <c r="K11">
        <v>28.7</v>
      </c>
      <c r="L11">
        <v>58</v>
      </c>
      <c r="M11">
        <v>43</v>
      </c>
      <c r="N11" s="4">
        <f t="shared" ref="N11:N17" si="20">((I11+L11)*J11-2*M11*M11)/(I11+L11+2*J11-4*M11)</f>
        <v>74.443661971830991</v>
      </c>
      <c r="O11" s="4">
        <f t="shared" ref="O11:O17" si="21">(2*I11+2*L11+4*M11+J11)/9</f>
        <v>74.444444444444443</v>
      </c>
      <c r="P11" s="4">
        <f t="shared" ref="P11:P17" si="22">(I11+L11)*J11-2*M11*M11</f>
        <v>21142</v>
      </c>
      <c r="Q11" s="4">
        <f t="shared" ref="Q11:Q17" si="23">5/2*(K11*0.5*(I11-L11)*P11)/((K11+0.5*(I11-L11))*P11+3*O11*K11*0.5*(I11-L11))</f>
        <v>32.612936657901123</v>
      </c>
      <c r="R11" s="4">
        <f t="shared" ref="R11:R17" si="24">(I11+L11+2*J11-4*M11+12*K11+6*(I11-L11))/30</f>
        <v>33.746666666666663</v>
      </c>
      <c r="S11" s="7">
        <f t="shared" ref="S11:S17" si="25">0.5*(N11+O11)</f>
        <v>74.444053208137717</v>
      </c>
      <c r="T11" s="7">
        <f t="shared" ref="T11:T17" si="26">0.5*(Q11+R11)</f>
        <v>33.179801662283893</v>
      </c>
      <c r="U11" s="7">
        <f t="shared" ref="U11:U17" si="27">S11/T11</f>
        <v>2.2436557627998024</v>
      </c>
      <c r="V11" s="4">
        <f t="shared" ref="V11:V17" si="28">(3*S11-2*T11)/(2*(3*S11+T11))</f>
        <v>0.30597512005376043</v>
      </c>
      <c r="W11" s="4">
        <f t="shared" si="18"/>
        <v>86.663990918522344</v>
      </c>
      <c r="X11" s="4">
        <f t="shared" ref="X11:X17" si="29">SQRT((S11+4/3*T11)/H11)</f>
        <v>5.3907952154854737</v>
      </c>
      <c r="Y11" s="4">
        <f t="shared" ref="Y11:Y17" si="30">SQRT(S11/H11)</f>
        <v>4.2694520336931179</v>
      </c>
      <c r="Z11" s="4">
        <f t="shared" ref="Z11:Z17" si="31">SQRT(T11/H11)</f>
        <v>2.8503226642734822</v>
      </c>
      <c r="AA11" s="4">
        <f t="shared" si="19"/>
        <v>1.8912929694082659</v>
      </c>
      <c r="AB11" s="4">
        <f t="shared" ref="AB11:AB17" si="32">J11/I11</f>
        <v>1.1311475409836065</v>
      </c>
      <c r="AC11" s="4">
        <f t="shared" ref="AC11:AC17" si="33">((I11-L11)/(2*K11))</f>
        <v>1.1149825783972125</v>
      </c>
      <c r="AD11" s="4">
        <f t="shared" ref="AD11:AD17" si="34">5*R11/Q11 +O11/N11 -6</f>
        <v>0.17382650620531592</v>
      </c>
      <c r="AE11" s="18">
        <f t="shared" si="15"/>
        <v>7.6412273737959072E-2</v>
      </c>
      <c r="AF11" s="18">
        <f t="shared" ref="AF11:AF17" si="35">(R11-Q11)/(R11+Q11)</f>
        <v>1.7084641136572428E-2</v>
      </c>
      <c r="AG11" s="18">
        <f t="shared" ref="AG11:AG17" si="36">(O11-N11)/(O11+N11)</f>
        <v>5.2554406949325758E-6</v>
      </c>
      <c r="AH11" s="4"/>
      <c r="AI11" s="4"/>
      <c r="AJ11" s="4">
        <v>0.17829999999999999</v>
      </c>
      <c r="AK11" s="4">
        <v>0.41399999999999998</v>
      </c>
    </row>
    <row r="12" spans="1:38">
      <c r="A12" s="50" t="s">
        <v>547</v>
      </c>
      <c r="B12" t="s">
        <v>535</v>
      </c>
      <c r="C12" t="s">
        <v>520</v>
      </c>
      <c r="E12" s="57" t="s">
        <v>15</v>
      </c>
      <c r="F12" s="68">
        <v>6</v>
      </c>
      <c r="G12" s="68">
        <v>2</v>
      </c>
      <c r="H12" s="3">
        <v>4.0839999999999996</v>
      </c>
      <c r="I12">
        <v>123.4</v>
      </c>
      <c r="J12">
        <v>139.6</v>
      </c>
      <c r="K12">
        <v>28.85</v>
      </c>
      <c r="L12">
        <v>58.5</v>
      </c>
      <c r="M12">
        <v>45.5</v>
      </c>
      <c r="N12" s="4">
        <f t="shared" si="20"/>
        <v>76.147402364743812</v>
      </c>
      <c r="O12" s="4">
        <f t="shared" si="21"/>
        <v>76.155555555555551</v>
      </c>
      <c r="P12" s="4">
        <f t="shared" si="22"/>
        <v>21252.739999999998</v>
      </c>
      <c r="Q12" s="4">
        <f t="shared" si="23"/>
        <v>32.796058473388413</v>
      </c>
      <c r="R12" s="4">
        <f t="shared" si="24"/>
        <v>33.823333333333338</v>
      </c>
      <c r="S12" s="7">
        <f t="shared" si="25"/>
        <v>76.151478960149689</v>
      </c>
      <c r="T12" s="7">
        <f t="shared" si="26"/>
        <v>33.309695903360875</v>
      </c>
      <c r="U12" s="7">
        <f t="shared" si="27"/>
        <v>2.2861655411410156</v>
      </c>
      <c r="V12" s="4">
        <f t="shared" si="28"/>
        <v>0.30912379658863787</v>
      </c>
      <c r="W12" s="4">
        <f t="shared" si="18"/>
        <v>87.213031128441585</v>
      </c>
      <c r="X12" s="4">
        <f t="shared" si="29"/>
        <v>5.4333375932638788</v>
      </c>
      <c r="Y12" s="4">
        <f t="shared" si="30"/>
        <v>4.3181358816844702</v>
      </c>
      <c r="Z12" s="4">
        <f t="shared" si="31"/>
        <v>2.8558965198800013</v>
      </c>
      <c r="AA12" s="4">
        <f t="shared" si="19"/>
        <v>1.9024980616217062</v>
      </c>
      <c r="AB12" s="4">
        <f t="shared" si="32"/>
        <v>1.1312803889789302</v>
      </c>
      <c r="AC12" s="4">
        <f t="shared" si="33"/>
        <v>1.1247833622183709</v>
      </c>
      <c r="AD12" s="4">
        <f t="shared" si="34"/>
        <v>0.15672266885261799</v>
      </c>
      <c r="AE12" s="18">
        <f t="shared" si="15"/>
        <v>6.8966143749598724E-2</v>
      </c>
      <c r="AF12" s="18">
        <f t="shared" si="35"/>
        <v>1.5420057615135338E-2</v>
      </c>
      <c r="AG12" s="18">
        <f t="shared" si="36"/>
        <v>5.3532714814418833E-5</v>
      </c>
      <c r="AH12" s="4"/>
      <c r="AI12" s="4"/>
      <c r="AJ12" s="4">
        <v>0.1948</v>
      </c>
      <c r="AK12" s="4">
        <v>0.4022</v>
      </c>
    </row>
    <row r="13" spans="1:38">
      <c r="A13" s="50" t="s">
        <v>547</v>
      </c>
      <c r="B13" t="s">
        <v>535</v>
      </c>
      <c r="C13" t="s">
        <v>520</v>
      </c>
      <c r="E13" s="57" t="s">
        <v>15</v>
      </c>
      <c r="F13" s="68">
        <v>6</v>
      </c>
      <c r="G13" s="68">
        <v>2</v>
      </c>
      <c r="H13" s="3">
        <v>4.0910000000000002</v>
      </c>
      <c r="I13">
        <v>122.2</v>
      </c>
      <c r="J13">
        <v>138.5</v>
      </c>
      <c r="K13">
        <v>28.23</v>
      </c>
      <c r="L13">
        <v>59.1</v>
      </c>
      <c r="M13">
        <v>46</v>
      </c>
      <c r="N13" s="4">
        <f t="shared" si="20"/>
        <v>76.113926358002189</v>
      </c>
      <c r="O13" s="4">
        <f t="shared" si="21"/>
        <v>76.12222222222222</v>
      </c>
      <c r="P13" s="4">
        <f t="shared" si="22"/>
        <v>20878.050000000003</v>
      </c>
      <c r="Q13" s="4">
        <f t="shared" si="23"/>
        <v>32.027814684810508</v>
      </c>
      <c r="R13" s="4">
        <f t="shared" si="24"/>
        <v>33.05533333333333</v>
      </c>
      <c r="S13" s="7">
        <f t="shared" si="25"/>
        <v>76.118074290112204</v>
      </c>
      <c r="T13" s="7">
        <f t="shared" si="26"/>
        <v>32.541574009071923</v>
      </c>
      <c r="U13" s="7">
        <f t="shared" si="27"/>
        <v>2.3391024130821716</v>
      </c>
      <c r="V13" s="4">
        <f t="shared" si="28"/>
        <v>0.31290476275411228</v>
      </c>
      <c r="W13" s="4">
        <f t="shared" si="18"/>
        <v>85.447975008051927</v>
      </c>
      <c r="X13" s="4">
        <f t="shared" si="29"/>
        <v>5.4048250539208889</v>
      </c>
      <c r="Y13" s="4">
        <f t="shared" si="30"/>
        <v>4.3134935852877199</v>
      </c>
      <c r="Z13" s="4">
        <f t="shared" si="31"/>
        <v>2.82035994420561</v>
      </c>
      <c r="AA13" s="4">
        <f t="shared" si="19"/>
        <v>1.9163600252602602</v>
      </c>
      <c r="AB13" s="4">
        <f t="shared" si="32"/>
        <v>1.1333878887070377</v>
      </c>
      <c r="AC13" s="4">
        <f t="shared" si="33"/>
        <v>1.1176053843428977</v>
      </c>
      <c r="AD13" s="4">
        <f t="shared" si="34"/>
        <v>0.16051935144486862</v>
      </c>
      <c r="AE13" s="18">
        <f t="shared" si="15"/>
        <v>7.0611065302373224E-2</v>
      </c>
      <c r="AF13" s="18">
        <f t="shared" si="35"/>
        <v>1.5787783471020344E-2</v>
      </c>
      <c r="AG13" s="18">
        <f t="shared" si="36"/>
        <v>5.4493392649508171E-5</v>
      </c>
      <c r="AH13" s="4"/>
      <c r="AI13" s="4"/>
      <c r="AJ13" s="4">
        <v>0.19600000000000001</v>
      </c>
      <c r="AK13" s="4">
        <v>0.40989999999999999</v>
      </c>
    </row>
    <row r="14" spans="1:38" ht="16.5" customHeight="1">
      <c r="A14" s="50" t="s">
        <v>547</v>
      </c>
      <c r="B14" t="s">
        <v>535</v>
      </c>
      <c r="C14" t="s">
        <v>520</v>
      </c>
      <c r="E14" s="57" t="s">
        <v>15</v>
      </c>
      <c r="F14" s="68">
        <v>6</v>
      </c>
      <c r="G14" s="68">
        <v>2</v>
      </c>
      <c r="H14" s="3">
        <v>4.0890000000000004</v>
      </c>
      <c r="I14">
        <v>124.2</v>
      </c>
      <c r="J14" s="7">
        <v>140</v>
      </c>
      <c r="K14">
        <v>28.64</v>
      </c>
      <c r="L14">
        <v>60.15</v>
      </c>
      <c r="M14">
        <v>45.54</v>
      </c>
      <c r="N14" s="4">
        <f t="shared" si="20"/>
        <v>76.761107055529948</v>
      </c>
      <c r="O14" s="4">
        <f t="shared" si="21"/>
        <v>76.762222222222221</v>
      </c>
      <c r="P14" s="4">
        <f t="shared" si="22"/>
        <v>21661.216800000002</v>
      </c>
      <c r="Q14" s="4">
        <f t="shared" si="23"/>
        <v>32.56349089625526</v>
      </c>
      <c r="R14" s="4">
        <f t="shared" si="24"/>
        <v>33.672333333333341</v>
      </c>
      <c r="S14" s="7">
        <f t="shared" si="25"/>
        <v>76.761664638876084</v>
      </c>
      <c r="T14" s="7">
        <f t="shared" si="26"/>
        <v>33.117912114794301</v>
      </c>
      <c r="U14" s="7">
        <f t="shared" si="27"/>
        <v>2.3178292270600425</v>
      </c>
      <c r="V14" s="4">
        <f t="shared" si="28"/>
        <v>0.31140349238870857</v>
      </c>
      <c r="W14" s="4">
        <f t="shared" si="18"/>
        <v>86.86189121592713</v>
      </c>
      <c r="X14" s="4">
        <f t="shared" si="29"/>
        <v>5.4379912456221131</v>
      </c>
      <c r="Y14" s="4">
        <f t="shared" si="30"/>
        <v>4.3327500587249199</v>
      </c>
      <c r="Z14" s="4">
        <f t="shared" si="31"/>
        <v>2.8459215180783635</v>
      </c>
      <c r="AA14" s="4">
        <f t="shared" si="19"/>
        <v>1.9108015491916934</v>
      </c>
      <c r="AB14" s="4">
        <f t="shared" si="32"/>
        <v>1.1272141706924315</v>
      </c>
      <c r="AC14" s="4">
        <f t="shared" si="33"/>
        <v>1.1181913407821231</v>
      </c>
      <c r="AD14" s="4">
        <f t="shared" si="34"/>
        <v>0.17027306063500625</v>
      </c>
      <c r="AE14" s="18">
        <f t="shared" si="15"/>
        <v>7.4874248373977284E-2</v>
      </c>
      <c r="AF14" s="18">
        <f t="shared" si="35"/>
        <v>1.6740826433058013E-2</v>
      </c>
      <c r="AG14" s="18">
        <f t="shared" si="36"/>
        <v>7.2638256186804523E-6</v>
      </c>
      <c r="AH14" s="4"/>
      <c r="AI14" s="4"/>
      <c r="AJ14" s="4">
        <v>0.1905</v>
      </c>
      <c r="AK14" s="4">
        <v>0.41449999999999998</v>
      </c>
    </row>
    <row r="15" spans="1:38">
      <c r="A15" s="50" t="s">
        <v>545</v>
      </c>
      <c r="B15" t="s">
        <v>533</v>
      </c>
      <c r="C15" t="s">
        <v>520</v>
      </c>
      <c r="E15" s="57" t="s">
        <v>15</v>
      </c>
      <c r="F15" s="68">
        <v>6</v>
      </c>
      <c r="G15" s="68">
        <v>2</v>
      </c>
      <c r="H15" s="3">
        <v>4.8239999999999998</v>
      </c>
      <c r="I15">
        <v>88.4</v>
      </c>
      <c r="J15">
        <v>95.2</v>
      </c>
      <c r="K15" s="7">
        <v>15</v>
      </c>
      <c r="L15">
        <v>55.4</v>
      </c>
      <c r="M15" s="1">
        <v>48</v>
      </c>
      <c r="N15" s="4">
        <f t="shared" si="20"/>
        <v>63.866104078762298</v>
      </c>
      <c r="O15" s="4">
        <f t="shared" si="21"/>
        <v>63.866666666666674</v>
      </c>
      <c r="P15" s="4">
        <f t="shared" si="22"/>
        <v>9081.760000000002</v>
      </c>
      <c r="Q15" s="4">
        <f t="shared" si="23"/>
        <v>16.849772069530939</v>
      </c>
      <c r="R15" s="4">
        <f t="shared" si="24"/>
        <v>17.34</v>
      </c>
      <c r="S15" s="7">
        <f t="shared" si="25"/>
        <v>63.86638537271449</v>
      </c>
      <c r="T15" s="7">
        <f t="shared" si="26"/>
        <v>17.094886034765469</v>
      </c>
      <c r="U15" s="7">
        <f t="shared" si="27"/>
        <v>3.7359936324132796</v>
      </c>
      <c r="V15" s="4">
        <f t="shared" si="28"/>
        <v>0.37712955871849851</v>
      </c>
      <c r="W15" s="4">
        <f t="shared" si="18"/>
        <v>47.083745722799186</v>
      </c>
      <c r="X15" s="4">
        <f t="shared" si="29"/>
        <v>4.2384260204815298</v>
      </c>
      <c r="Y15" s="4">
        <f t="shared" si="30"/>
        <v>3.6385849516531654</v>
      </c>
      <c r="Z15" s="4">
        <f t="shared" si="31"/>
        <v>1.8824760318589775</v>
      </c>
      <c r="AA15" s="4">
        <f t="shared" si="19"/>
        <v>2.2515165923764835</v>
      </c>
      <c r="AB15" s="4">
        <f t="shared" si="32"/>
        <v>1.0769230769230769</v>
      </c>
      <c r="AC15" s="4">
        <f t="shared" si="33"/>
        <v>1.1000000000000003</v>
      </c>
      <c r="AD15" s="4">
        <f t="shared" si="34"/>
        <v>0.14547900527090363</v>
      </c>
      <c r="AE15" s="18">
        <f t="shared" si="15"/>
        <v>6.4127840109213213E-2</v>
      </c>
      <c r="AF15" s="18">
        <f t="shared" si="35"/>
        <v>1.4338438099911746E-2</v>
      </c>
      <c r="AG15" s="18">
        <f t="shared" si="36"/>
        <v>4.4044132221752228E-6</v>
      </c>
      <c r="AH15" s="4"/>
      <c r="AI15" s="4"/>
      <c r="AJ15" s="4">
        <v>0.25929999999999997</v>
      </c>
      <c r="AK15" s="4">
        <v>0.48249999999999998</v>
      </c>
    </row>
    <row r="16" spans="1:38">
      <c r="A16" s="50" t="s">
        <v>545</v>
      </c>
      <c r="B16" t="s">
        <v>533</v>
      </c>
      <c r="C16" t="s">
        <v>520</v>
      </c>
      <c r="E16" s="57" t="s">
        <v>15</v>
      </c>
      <c r="F16" s="68">
        <v>6</v>
      </c>
      <c r="G16" s="68">
        <v>2</v>
      </c>
      <c r="H16" s="3">
        <v>4.8239999999999998</v>
      </c>
      <c r="I16">
        <v>83.1</v>
      </c>
      <c r="J16">
        <v>94.8</v>
      </c>
      <c r="K16">
        <v>15.3</v>
      </c>
      <c r="L16">
        <v>50.4</v>
      </c>
      <c r="M16">
        <v>46.2</v>
      </c>
      <c r="N16" s="4">
        <f t="shared" si="20"/>
        <v>60.64295010845985</v>
      </c>
      <c r="O16" s="4">
        <f t="shared" si="21"/>
        <v>60.733333333333334</v>
      </c>
      <c r="P16" s="4">
        <f t="shared" si="22"/>
        <v>8386.9199999999983</v>
      </c>
      <c r="Q16" s="4">
        <f t="shared" si="23"/>
        <v>16.863877269136104</v>
      </c>
      <c r="R16" s="4">
        <f t="shared" si="24"/>
        <v>17.27</v>
      </c>
      <c r="S16" s="7">
        <f t="shared" si="25"/>
        <v>60.688141720896596</v>
      </c>
      <c r="T16" s="7">
        <f t="shared" si="26"/>
        <v>17.066938634568054</v>
      </c>
      <c r="U16" s="7">
        <f t="shared" si="27"/>
        <v>3.5558891386634759</v>
      </c>
      <c r="V16" s="4">
        <f t="shared" si="28"/>
        <v>0.37143959914864699</v>
      </c>
      <c r="W16" s="4">
        <f t="shared" si="18"/>
        <v>46.812550959373141</v>
      </c>
      <c r="X16" s="4">
        <f t="shared" si="29"/>
        <v>4.159049253427753</v>
      </c>
      <c r="Y16" s="4">
        <f t="shared" si="30"/>
        <v>3.546894494588388</v>
      </c>
      <c r="Z16" s="4">
        <f t="shared" si="31"/>
        <v>1.8809366290554286</v>
      </c>
      <c r="AA16" s="4">
        <f t="shared" si="19"/>
        <v>2.2111586266020828</v>
      </c>
      <c r="AB16" s="4">
        <f t="shared" si="32"/>
        <v>1.1407942238267148</v>
      </c>
      <c r="AC16" s="4">
        <f t="shared" si="33"/>
        <v>1.0686274509803919</v>
      </c>
      <c r="AD16" s="4">
        <f t="shared" si="34"/>
        <v>0.121902443578084</v>
      </c>
      <c r="AE16" s="18">
        <f t="shared" si="15"/>
        <v>5.3232541609723683E-2</v>
      </c>
      <c r="AF16" s="18">
        <f t="shared" si="35"/>
        <v>1.1897937279780172E-2</v>
      </c>
      <c r="AG16" s="18">
        <f t="shared" si="36"/>
        <v>7.4465309293168683E-4</v>
      </c>
      <c r="AH16" s="4"/>
      <c r="AI16" s="4"/>
      <c r="AJ16" s="4">
        <v>0.26300000000000001</v>
      </c>
      <c r="AK16" s="4">
        <v>0.46029999999999999</v>
      </c>
    </row>
    <row r="17" spans="1:49">
      <c r="A17" s="50" t="s">
        <v>545</v>
      </c>
      <c r="B17" t="s">
        <v>533</v>
      </c>
      <c r="C17" t="s">
        <v>520</v>
      </c>
      <c r="E17" s="57" t="s">
        <v>15</v>
      </c>
      <c r="F17" s="68">
        <v>6</v>
      </c>
      <c r="G17" s="68">
        <v>2</v>
      </c>
      <c r="H17" s="3">
        <v>4.8239999999999998</v>
      </c>
      <c r="I17">
        <v>83.8</v>
      </c>
      <c r="J17">
        <v>96.53</v>
      </c>
      <c r="K17">
        <v>15.8</v>
      </c>
      <c r="L17">
        <v>51.1</v>
      </c>
      <c r="M17">
        <v>45</v>
      </c>
      <c r="N17" s="4">
        <f t="shared" si="20"/>
        <v>60.637314138956462</v>
      </c>
      <c r="O17" s="4">
        <f t="shared" si="21"/>
        <v>60.70333333333334</v>
      </c>
      <c r="P17" s="4">
        <f t="shared" si="22"/>
        <v>8971.8970000000008</v>
      </c>
      <c r="Q17" s="4">
        <f t="shared" si="23"/>
        <v>17.271032567495983</v>
      </c>
      <c r="R17" s="4">
        <f t="shared" si="24"/>
        <v>17.791999999999998</v>
      </c>
      <c r="S17" s="7">
        <f t="shared" si="25"/>
        <v>60.670323736144901</v>
      </c>
      <c r="T17" s="7">
        <f t="shared" si="26"/>
        <v>17.53151628374799</v>
      </c>
      <c r="U17" s="7">
        <f t="shared" si="27"/>
        <v>3.4606432640619516</v>
      </c>
      <c r="V17" s="4">
        <f t="shared" si="28"/>
        <v>0.36821215493441106</v>
      </c>
      <c r="W17" s="4">
        <f t="shared" si="18"/>
        <v>47.97366734770911</v>
      </c>
      <c r="X17" s="4">
        <f t="shared" si="29"/>
        <v>4.1740153797972575</v>
      </c>
      <c r="Y17" s="4">
        <f t="shared" si="30"/>
        <v>3.5463737738209851</v>
      </c>
      <c r="Z17" s="4">
        <f t="shared" si="31"/>
        <v>1.9063651500575804</v>
      </c>
      <c r="AA17" s="4">
        <f t="shared" si="19"/>
        <v>2.189515151213913</v>
      </c>
      <c r="AB17" s="4">
        <f t="shared" si="32"/>
        <v>1.1519093078758951</v>
      </c>
      <c r="AC17" s="4">
        <f t="shared" si="33"/>
        <v>1.0348101265822782</v>
      </c>
      <c r="AD17" s="4">
        <f t="shared" si="34"/>
        <v>0.15190991503966167</v>
      </c>
      <c r="AE17" s="18">
        <f t="shared" si="15"/>
        <v>6.6460909244611857E-2</v>
      </c>
      <c r="AF17" s="18">
        <f t="shared" si="35"/>
        <v>1.4858025514511857E-2</v>
      </c>
      <c r="AG17" s="18">
        <f t="shared" si="36"/>
        <v>5.4408144139790073E-4</v>
      </c>
      <c r="AH17" s="4"/>
      <c r="AI17" s="4"/>
      <c r="AJ17" s="4">
        <v>0.2427</v>
      </c>
      <c r="AK17" s="4">
        <v>0.47949999999999998</v>
      </c>
    </row>
    <row r="18" spans="1:49">
      <c r="F18" s="68"/>
      <c r="G18" s="68"/>
      <c r="H18" s="3"/>
      <c r="N18" s="4"/>
      <c r="O18" s="4"/>
      <c r="P18" s="4"/>
      <c r="Q18" s="4"/>
      <c r="R18" s="4"/>
      <c r="S18" s="7"/>
      <c r="T18" s="7"/>
      <c r="U18" s="7"/>
      <c r="V18" s="4"/>
      <c r="W18" s="4"/>
      <c r="X18" s="4"/>
      <c r="Y18" s="4"/>
      <c r="Z18" s="4"/>
      <c r="AA18" s="4"/>
      <c r="AB18" s="4"/>
      <c r="AC18" s="4"/>
      <c r="AD18" s="4"/>
      <c r="AE18" s="18" t="e">
        <f t="shared" si="15"/>
        <v>#DIV/0!</v>
      </c>
      <c r="AF18" s="18"/>
      <c r="AG18" s="18"/>
      <c r="AH18" s="4"/>
      <c r="AI18" s="4"/>
      <c r="AJ18" s="4"/>
      <c r="AK18" s="4"/>
    </row>
    <row r="19" spans="1:49">
      <c r="A19" s="65" t="s">
        <v>21</v>
      </c>
      <c r="B19" t="s">
        <v>530</v>
      </c>
      <c r="C19" t="s">
        <v>516</v>
      </c>
      <c r="E19" s="57" t="s">
        <v>23</v>
      </c>
      <c r="F19" s="68">
        <v>6</v>
      </c>
      <c r="G19" s="68">
        <v>8</v>
      </c>
      <c r="H19" s="3">
        <v>3.1459999999999999</v>
      </c>
      <c r="I19">
        <v>140</v>
      </c>
      <c r="J19">
        <v>180</v>
      </c>
      <c r="K19">
        <v>36.200000000000003</v>
      </c>
      <c r="L19" s="10">
        <v>13</v>
      </c>
      <c r="M19" s="10">
        <v>69</v>
      </c>
      <c r="N19" s="4">
        <f t="shared" ref="N19:N24" si="37">((I19+L19)*J19-2*M19*M19)/(I19+L19+2*J19-4*M19)</f>
        <v>76.025316455696199</v>
      </c>
      <c r="O19" s="4">
        <f t="shared" ref="O19:O24" si="38">(2*I19+2*L19+4*M19+J19)/9</f>
        <v>84.666666666666671</v>
      </c>
      <c r="P19" s="4">
        <f t="shared" ref="P19:P24" si="39">(I19+L19)*J19-2*M19*M19</f>
        <v>18018</v>
      </c>
      <c r="Q19" s="4">
        <f t="shared" ref="Q19:Q24" si="40">5/2*(K19*0.5*(I19-L19)*P19)/((K19+0.5*(I19-L19))*P19+3*O19*K19*0.5*(I19-L19))</f>
        <v>43.501445259610648</v>
      </c>
      <c r="R19" s="4">
        <f t="shared" ref="R19:R24" si="41">(I19+L19+2*J19-4*M19+12*K19+6*(I19-L19))/30</f>
        <v>47.78</v>
      </c>
      <c r="S19" s="7">
        <f t="shared" ref="S19:S24" si="42">0.5*(N19+O19)</f>
        <v>80.345991561181435</v>
      </c>
      <c r="T19" s="7">
        <f t="shared" ref="T19:T24" si="43">0.5*(Q19+R19)</f>
        <v>45.640722629805325</v>
      </c>
      <c r="U19" s="7">
        <f t="shared" ref="U19:U24" si="44">S19/T19</f>
        <v>1.7604013900672137</v>
      </c>
      <c r="V19" s="4">
        <f t="shared" ref="V19:V24" si="45">(3*S19-2*T19)/(2*(3*S19+T19))</f>
        <v>0.26119228744130335</v>
      </c>
      <c r="W19" s="4">
        <f t="shared" si="18"/>
        <v>115.12345474791647</v>
      </c>
      <c r="X19" s="4">
        <f t="shared" ref="X19:X24" si="46">SQRT((S19+4/3*T19)/H19)</f>
        <v>6.6994389324176407</v>
      </c>
      <c r="Y19" s="4">
        <f t="shared" ref="Y19:Y24" si="47">SQRT(S19/H19)</f>
        <v>5.0536219272887593</v>
      </c>
      <c r="Z19" s="4">
        <f t="shared" ref="Z19:Z24" si="48">SQRT(T19/H19)</f>
        <v>3.8088765494453347</v>
      </c>
      <c r="AA19" s="4">
        <f t="shared" si="19"/>
        <v>1.7589015672858292</v>
      </c>
      <c r="AB19" s="4">
        <f t="shared" ref="AB19:AB24" si="49">J19/I19</f>
        <v>1.2857142857142858</v>
      </c>
      <c r="AC19" s="4">
        <f t="shared" ref="AC19:AC24" si="50">((I19-L19)/(2*K19))</f>
        <v>1.7541436464088396</v>
      </c>
      <c r="AD19" s="4">
        <f t="shared" ref="AD19:AD24" si="51">5*R19/Q19 +O19/N19 -6</f>
        <v>0.60543567606342297</v>
      </c>
      <c r="AE19" s="18">
        <f t="shared" si="15"/>
        <v>0.23578401233652868</v>
      </c>
      <c r="AF19" s="18">
        <f t="shared" ref="AF19:AF24" si="52">(R19-Q19)/(R19+Q19)</f>
        <v>4.6872118733668734E-2</v>
      </c>
      <c r="AG19" s="18">
        <f t="shared" ref="AG19:AG24" si="53">(O19-N19)/(O19+N19)</f>
        <v>5.3775863879844607E-2</v>
      </c>
      <c r="AH19" s="4"/>
      <c r="AI19" s="4"/>
      <c r="AJ19" s="5">
        <v>-0.11849999999999999</v>
      </c>
      <c r="AK19" s="4">
        <v>0.47860000000000003</v>
      </c>
    </row>
    <row r="20" spans="1:49">
      <c r="A20" s="65" t="s">
        <v>159</v>
      </c>
      <c r="B20" t="s">
        <v>530</v>
      </c>
      <c r="C20" t="s">
        <v>516</v>
      </c>
      <c r="E20" s="57" t="s">
        <v>15</v>
      </c>
      <c r="F20" s="57">
        <v>6</v>
      </c>
      <c r="G20" s="57">
        <v>8</v>
      </c>
      <c r="I20">
        <v>137</v>
      </c>
      <c r="J20">
        <v>172</v>
      </c>
      <c r="K20">
        <v>39.6</v>
      </c>
      <c r="L20" s="10">
        <v>42.5</v>
      </c>
      <c r="M20" s="10">
        <v>54.9</v>
      </c>
      <c r="N20" s="4">
        <f t="shared" si="37"/>
        <v>81.757091148404086</v>
      </c>
      <c r="O20" s="4">
        <f t="shared" si="38"/>
        <v>83.4</v>
      </c>
      <c r="P20" s="4">
        <f t="shared" si="39"/>
        <v>24845.98</v>
      </c>
      <c r="Q20" s="4">
        <f t="shared" si="40"/>
        <v>44.258295300806253</v>
      </c>
      <c r="R20" s="4">
        <f t="shared" si="41"/>
        <v>44.87</v>
      </c>
      <c r="S20" s="7">
        <f t="shared" si="42"/>
        <v>82.578545574202053</v>
      </c>
      <c r="T20" s="7">
        <f t="shared" si="43"/>
        <v>44.564147650403129</v>
      </c>
      <c r="U20" s="7">
        <f t="shared" si="44"/>
        <v>1.8530264781908163</v>
      </c>
      <c r="V20" s="4">
        <f t="shared" si="45"/>
        <v>0.27130937123682253</v>
      </c>
      <c r="W20" s="4">
        <f t="shared" si="18"/>
        <v>113.30963705827784</v>
      </c>
      <c r="X20" s="4" t="e">
        <f t="shared" si="46"/>
        <v>#DIV/0!</v>
      </c>
      <c r="Y20" s="4" t="e">
        <f t="shared" si="47"/>
        <v>#DIV/0!</v>
      </c>
      <c r="Z20" s="4" t="e">
        <f t="shared" si="48"/>
        <v>#DIV/0!</v>
      </c>
      <c r="AA20" s="4" t="e">
        <f t="shared" si="19"/>
        <v>#DIV/0!</v>
      </c>
      <c r="AB20" s="4">
        <f t="shared" si="49"/>
        <v>1.2554744525547445</v>
      </c>
      <c r="AC20" s="4">
        <f t="shared" si="50"/>
        <v>1.1931818181818181</v>
      </c>
      <c r="AD20" s="4">
        <f t="shared" si="51"/>
        <v>8.9201221376237427E-2</v>
      </c>
      <c r="AE20" s="18">
        <f t="shared" si="15"/>
        <v>3.6577852489450093E-2</v>
      </c>
      <c r="AF20" s="18">
        <f t="shared" si="52"/>
        <v>6.8631930761073445E-3</v>
      </c>
      <c r="AG20" s="18">
        <f t="shared" si="53"/>
        <v>9.9475526008124086E-3</v>
      </c>
      <c r="AH20" s="4"/>
      <c r="AI20" s="4"/>
      <c r="AJ20" s="4">
        <v>0.2064</v>
      </c>
      <c r="AK20" s="4">
        <v>0.375</v>
      </c>
    </row>
    <row r="21" spans="1:49">
      <c r="A21" s="50" t="s">
        <v>22</v>
      </c>
      <c r="B21" t="s">
        <v>531</v>
      </c>
      <c r="C21" t="s">
        <v>516</v>
      </c>
      <c r="E21" s="57" t="s">
        <v>23</v>
      </c>
      <c r="F21" s="68">
        <v>6</v>
      </c>
      <c r="G21" s="68">
        <v>8</v>
      </c>
      <c r="H21" s="28">
        <v>3.2</v>
      </c>
      <c r="I21">
        <v>141</v>
      </c>
      <c r="J21">
        <v>177</v>
      </c>
      <c r="K21">
        <v>44.3</v>
      </c>
      <c r="L21">
        <v>46</v>
      </c>
      <c r="M21">
        <v>56</v>
      </c>
      <c r="N21" s="4">
        <f t="shared" si="37"/>
        <v>84.627760252365931</v>
      </c>
      <c r="O21" s="4">
        <f t="shared" si="38"/>
        <v>86.111111111111114</v>
      </c>
      <c r="P21" s="4">
        <f t="shared" si="39"/>
        <v>26827</v>
      </c>
      <c r="Q21" s="4">
        <f t="shared" si="40"/>
        <v>46.943422654470886</v>
      </c>
      <c r="R21" s="4">
        <f t="shared" si="41"/>
        <v>47.286666666666662</v>
      </c>
      <c r="S21" s="7">
        <f t="shared" si="42"/>
        <v>85.369435681738523</v>
      </c>
      <c r="T21" s="7">
        <f t="shared" si="43"/>
        <v>47.11504466056877</v>
      </c>
      <c r="U21" s="7">
        <f t="shared" si="44"/>
        <v>1.8119357902930182</v>
      </c>
      <c r="V21" s="4">
        <f t="shared" si="45"/>
        <v>0.26692900928215352</v>
      </c>
      <c r="W21" s="4">
        <f t="shared" si="18"/>
        <v>119.38283370819761</v>
      </c>
      <c r="X21" s="4">
        <f t="shared" si="46"/>
        <v>6.8050876011344341</v>
      </c>
      <c r="Y21" s="4">
        <f t="shared" si="47"/>
        <v>5.1650700528205116</v>
      </c>
      <c r="Z21" s="4">
        <f t="shared" si="48"/>
        <v>3.8371149912959006</v>
      </c>
      <c r="AA21" s="4">
        <f t="shared" si="19"/>
        <v>1.7734906607102141</v>
      </c>
      <c r="AB21" s="4">
        <f t="shared" si="49"/>
        <v>1.2553191489361701</v>
      </c>
      <c r="AC21" s="4">
        <f t="shared" si="50"/>
        <v>1.072234762979684</v>
      </c>
      <c r="AD21" s="4">
        <f t="shared" si="51"/>
        <v>5.4087276146193908E-2</v>
      </c>
      <c r="AE21" s="18">
        <f t="shared" si="15"/>
        <v>2.3818151273583128E-2</v>
      </c>
      <c r="AF21" s="18">
        <f t="shared" si="52"/>
        <v>3.6426157999913883E-3</v>
      </c>
      <c r="AG21" s="18">
        <f t="shared" si="53"/>
        <v>8.6878333381234275E-3</v>
      </c>
      <c r="AH21" s="4"/>
      <c r="AI21" s="4"/>
      <c r="AJ21" s="4">
        <v>0.22819999999999999</v>
      </c>
      <c r="AK21" s="4">
        <v>0.33489999999999998</v>
      </c>
      <c r="AU21" s="41"/>
      <c r="AV21" s="41"/>
      <c r="AW21" s="41"/>
    </row>
    <row r="22" spans="1:49">
      <c r="A22" s="50" t="s">
        <v>160</v>
      </c>
      <c r="B22" t="s">
        <v>531</v>
      </c>
      <c r="C22" t="s">
        <v>516</v>
      </c>
      <c r="E22" s="57" t="s">
        <v>15</v>
      </c>
      <c r="F22" s="68">
        <v>6</v>
      </c>
      <c r="G22" s="68">
        <v>8</v>
      </c>
      <c r="H22">
        <v>3.2160000000000002</v>
      </c>
      <c r="I22" s="7">
        <v>152</v>
      </c>
      <c r="J22">
        <v>185.8</v>
      </c>
      <c r="K22">
        <v>42.75</v>
      </c>
      <c r="L22">
        <v>49.67</v>
      </c>
      <c r="M22">
        <v>63.15</v>
      </c>
      <c r="N22" s="4">
        <f t="shared" si="37"/>
        <v>91.977550129416571</v>
      </c>
      <c r="O22" s="4">
        <f t="shared" si="38"/>
        <v>93.526666666666671</v>
      </c>
      <c r="P22" s="4">
        <f t="shared" si="39"/>
        <v>29494.441000000006</v>
      </c>
      <c r="Q22" s="4">
        <f t="shared" si="40"/>
        <v>47.664985305148825</v>
      </c>
      <c r="R22" s="4">
        <f t="shared" si="41"/>
        <v>48.255000000000003</v>
      </c>
      <c r="S22" s="7">
        <f t="shared" si="42"/>
        <v>92.752108398041628</v>
      </c>
      <c r="T22" s="7">
        <f t="shared" si="43"/>
        <v>47.959992652574414</v>
      </c>
      <c r="U22" s="7">
        <f t="shared" si="44"/>
        <v>1.9339475105833412</v>
      </c>
      <c r="V22" s="4">
        <f t="shared" si="45"/>
        <v>0.27947151922464897</v>
      </c>
      <c r="W22" s="4">
        <f t="shared" si="18"/>
        <v>122.72688932238478</v>
      </c>
      <c r="X22" s="4">
        <f t="shared" si="46"/>
        <v>6.9803109131380134</v>
      </c>
      <c r="Y22" s="4">
        <f t="shared" si="47"/>
        <v>5.3703658837884793</v>
      </c>
      <c r="Z22" s="4">
        <f t="shared" si="48"/>
        <v>3.8617266913565782</v>
      </c>
      <c r="AA22" s="4">
        <f t="shared" si="19"/>
        <v>1.8075621272633133</v>
      </c>
      <c r="AB22" s="4">
        <f t="shared" si="49"/>
        <v>1.2223684210526315</v>
      </c>
      <c r="AC22" s="4">
        <f t="shared" si="50"/>
        <v>1.1968421052631579</v>
      </c>
      <c r="AD22" s="4">
        <f t="shared" si="51"/>
        <v>7.8734169539231402E-2</v>
      </c>
      <c r="AE22" s="18">
        <f t="shared" si="15"/>
        <v>3.2182328128645792E-2</v>
      </c>
      <c r="AF22" s="18">
        <f t="shared" si="52"/>
        <v>6.1511132739874019E-3</v>
      </c>
      <c r="AG22" s="18">
        <f t="shared" si="53"/>
        <v>8.3508427140121383E-3</v>
      </c>
      <c r="AH22" s="4"/>
      <c r="AI22" s="4"/>
      <c r="AJ22" s="4">
        <v>0.216</v>
      </c>
      <c r="AK22" s="4">
        <v>0.37830000000000003</v>
      </c>
    </row>
    <row r="23" spans="1:49">
      <c r="A23" s="50" t="s">
        <v>160</v>
      </c>
      <c r="B23" t="s">
        <v>531</v>
      </c>
      <c r="C23" t="s">
        <v>516</v>
      </c>
      <c r="E23" s="57" t="s">
        <v>23</v>
      </c>
      <c r="F23" s="68">
        <v>6</v>
      </c>
      <c r="G23" s="68">
        <v>8</v>
      </c>
      <c r="H23">
        <v>3.218</v>
      </c>
      <c r="I23" s="12">
        <v>166.7</v>
      </c>
      <c r="J23" s="10">
        <v>139.6</v>
      </c>
      <c r="K23" s="10">
        <v>66.3</v>
      </c>
      <c r="L23" s="10">
        <v>13.1</v>
      </c>
      <c r="M23" s="10">
        <v>65.5</v>
      </c>
      <c r="N23" s="4">
        <f t="shared" si="37"/>
        <v>83.855736040609131</v>
      </c>
      <c r="O23" s="4">
        <f t="shared" si="38"/>
        <v>84.577777777777769</v>
      </c>
      <c r="P23" s="4">
        <f t="shared" si="39"/>
        <v>16519.579999999998</v>
      </c>
      <c r="Q23" s="4">
        <f t="shared" si="40"/>
        <v>57.519738693596871</v>
      </c>
      <c r="R23" s="4">
        <f t="shared" si="41"/>
        <v>63.806666666666658</v>
      </c>
      <c r="S23" s="7">
        <f t="shared" si="42"/>
        <v>84.21675690919345</v>
      </c>
      <c r="T23" s="7">
        <f t="shared" si="43"/>
        <v>60.663202680131761</v>
      </c>
      <c r="U23" s="7">
        <f t="shared" si="44"/>
        <v>1.38826756894548</v>
      </c>
      <c r="V23" s="4">
        <f t="shared" si="45"/>
        <v>0.20957264291731595</v>
      </c>
      <c r="W23" s="4">
        <f t="shared" si="18"/>
        <v>146.75310078727156</v>
      </c>
      <c r="X23" s="4">
        <f t="shared" si="46"/>
        <v>7.1627842123207461</v>
      </c>
      <c r="Y23" s="4">
        <f t="shared" si="47"/>
        <v>5.1157137642717494</v>
      </c>
      <c r="Z23" s="4">
        <f t="shared" si="48"/>
        <v>4.3417983331488257</v>
      </c>
      <c r="AA23" s="4">
        <f t="shared" si="19"/>
        <v>1.6497275236471063</v>
      </c>
      <c r="AB23" s="4">
        <f t="shared" si="49"/>
        <v>0.83743251349730052</v>
      </c>
      <c r="AC23" s="4">
        <f t="shared" si="50"/>
        <v>1.158371040723982</v>
      </c>
      <c r="AD23" s="4">
        <f t="shared" si="51"/>
        <v>0.55511230786048404</v>
      </c>
      <c r="AE23" s="18">
        <f t="shared" si="15"/>
        <v>0.23210463463922062</v>
      </c>
      <c r="AF23" s="18">
        <f t="shared" si="52"/>
        <v>5.1818299193827952E-2</v>
      </c>
      <c r="AG23" s="18">
        <f t="shared" si="53"/>
        <v>4.2868056409912465E-3</v>
      </c>
      <c r="AH23" s="4"/>
      <c r="AI23" s="4"/>
      <c r="AJ23" s="30"/>
      <c r="AK23" s="4"/>
    </row>
    <row r="24" spans="1:49">
      <c r="A24" s="50" t="s">
        <v>160</v>
      </c>
      <c r="B24" t="s">
        <v>531</v>
      </c>
      <c r="C24" t="s">
        <v>516</v>
      </c>
      <c r="E24" s="57" t="s">
        <v>23</v>
      </c>
      <c r="F24" s="57">
        <v>6</v>
      </c>
      <c r="G24" s="57">
        <v>8</v>
      </c>
      <c r="H24">
        <v>3.2147000000000001</v>
      </c>
      <c r="I24" s="12">
        <v>143.4</v>
      </c>
      <c r="J24" s="10">
        <v>180.5</v>
      </c>
      <c r="K24" s="10">
        <v>41.5</v>
      </c>
      <c r="L24" s="10">
        <v>44.5</v>
      </c>
      <c r="M24" s="10">
        <v>57.5</v>
      </c>
      <c r="N24" s="4">
        <f t="shared" si="37"/>
        <v>85.617591721542823</v>
      </c>
      <c r="O24" s="4">
        <f t="shared" si="38"/>
        <v>87.36666666666666</v>
      </c>
      <c r="P24" s="4">
        <f t="shared" si="39"/>
        <v>27303.450000000004</v>
      </c>
      <c r="Q24" s="4">
        <f t="shared" si="40"/>
        <v>46.366402354278534</v>
      </c>
      <c r="R24" s="4">
        <f t="shared" si="41"/>
        <v>47.010000000000005</v>
      </c>
      <c r="S24" s="7">
        <f t="shared" si="42"/>
        <v>86.492129194104734</v>
      </c>
      <c r="T24" s="7">
        <f t="shared" si="43"/>
        <v>46.68820117713927</v>
      </c>
      <c r="U24" s="7">
        <f t="shared" si="44"/>
        <v>1.8525479031831993</v>
      </c>
      <c r="V24" s="4">
        <f t="shared" si="45"/>
        <v>0.27125930190205089</v>
      </c>
      <c r="W24" s="4">
        <f t="shared" si="18"/>
        <v>118.70562007102514</v>
      </c>
      <c r="X24" s="4">
        <f t="shared" si="46"/>
        <v>6.802180260525752</v>
      </c>
      <c r="Y24" s="4">
        <f t="shared" si="47"/>
        <v>5.1870217500316897</v>
      </c>
      <c r="Z24" s="4">
        <f t="shared" si="48"/>
        <v>3.8109508322777246</v>
      </c>
      <c r="AA24" s="4">
        <f t="shared" si="19"/>
        <v>1.7849037051103158</v>
      </c>
      <c r="AB24" s="4">
        <f t="shared" si="49"/>
        <v>1.2587168758716876</v>
      </c>
      <c r="AC24" s="4">
        <f t="shared" si="50"/>
        <v>1.191566265060241</v>
      </c>
      <c r="AD24" s="4">
        <f t="shared" si="51"/>
        <v>8.9832368885159219E-2</v>
      </c>
      <c r="AE24" s="18">
        <f t="shared" si="15"/>
        <v>3.686645172869718E-2</v>
      </c>
      <c r="AF24" s="18">
        <f t="shared" si="52"/>
        <v>6.8925084870972309E-3</v>
      </c>
      <c r="AG24" s="18">
        <f t="shared" si="53"/>
        <v>1.011117983463317E-2</v>
      </c>
      <c r="AH24" s="4"/>
      <c r="AI24" s="4"/>
      <c r="AJ24" s="4"/>
      <c r="AK24" s="4"/>
    </row>
    <row r="25" spans="1:49">
      <c r="W25" s="4"/>
      <c r="AE25" s="18" t="e">
        <f t="shared" si="15"/>
        <v>#DIV/0!</v>
      </c>
    </row>
    <row r="26" spans="1:49" ht="16" customHeight="1">
      <c r="A26" s="50" t="s">
        <v>705</v>
      </c>
      <c r="B26" t="s">
        <v>532</v>
      </c>
      <c r="C26" t="s">
        <v>554</v>
      </c>
      <c r="E26" s="57" t="s">
        <v>15</v>
      </c>
      <c r="F26" s="68">
        <v>6</v>
      </c>
      <c r="G26" s="68">
        <v>2</v>
      </c>
      <c r="H26" s="3">
        <v>5.6840000000000002</v>
      </c>
      <c r="I26">
        <v>74.099999999999994</v>
      </c>
      <c r="J26">
        <v>84.3</v>
      </c>
      <c r="K26">
        <v>13.4</v>
      </c>
      <c r="L26">
        <v>45.2</v>
      </c>
      <c r="M26">
        <v>38.9</v>
      </c>
      <c r="N26" s="4">
        <f>((I26+L26)*J26-2*M26*M26)/(I26+L26+2*J26-4*M26)</f>
        <v>53.141118669690101</v>
      </c>
      <c r="O26" s="4">
        <f>(2*I26+2*L26+4*M26+J26)/9</f>
        <v>53.166666666666664</v>
      </c>
      <c r="P26" s="4">
        <f>(I26+L26)*J26-2*M26*M26</f>
        <v>7030.57</v>
      </c>
      <c r="Q26" s="4">
        <f>5/2*(K26*0.5*(I26-L26)*P26)/((K26+0.5*(I26-L26))*P26+3*O26*K26*0.5*(I26-L26))</f>
        <v>15.013422923547912</v>
      </c>
      <c r="R26" s="4">
        <f>(I26+L26+2*J26-4*M26+12*K26+6*(I26-L26))/30</f>
        <v>15.55</v>
      </c>
      <c r="S26" s="7">
        <f>0.5*(N26+O26)</f>
        <v>53.153892668178386</v>
      </c>
      <c r="T26" s="7">
        <f>0.5*(Q26+R26)</f>
        <v>15.281711461773956</v>
      </c>
      <c r="U26" s="7">
        <f>S26/T26</f>
        <v>3.4782683079142558</v>
      </c>
      <c r="V26" s="4">
        <f>(3*S26-2*T26)/(2*(3*S26+T26))</f>
        <v>0.36882154877120288</v>
      </c>
      <c r="W26" s="4">
        <f t="shared" si="18"/>
        <v>41.835871901960139</v>
      </c>
      <c r="X26" s="4">
        <f>SQRT((S26+4/3*T26)/H26)</f>
        <v>3.5966965243893565</v>
      </c>
      <c r="Y26" s="4">
        <f>SQRT(S26/H26)</f>
        <v>3.0580212778610991</v>
      </c>
      <c r="Z26" s="4">
        <f>SQRT(T26/H26)</f>
        <v>1.6396794853041974</v>
      </c>
      <c r="AA26" s="4">
        <f t="shared" si="19"/>
        <v>2.1935363323290518</v>
      </c>
      <c r="AB26" s="4">
        <f>J26/I26</f>
        <v>1.1376518218623481</v>
      </c>
      <c r="AC26" s="4">
        <f>((I26-L26)/(2*K26))</f>
        <v>1.0783582089552235</v>
      </c>
      <c r="AD26" s="4">
        <f>5*R26/Q26 +O26/N26 -6</f>
        <v>0.17917987211959563</v>
      </c>
      <c r="AE26" s="18">
        <f t="shared" si="15"/>
        <v>7.8523180686790012E-2</v>
      </c>
      <c r="AF26" s="18">
        <f>(R26-Q26)/(R26+Q26)</f>
        <v>1.7556183997921158E-2</v>
      </c>
      <c r="AG26" s="18">
        <f>(O26-N26)/(O26+N26)</f>
        <v>2.4032103477397693E-4</v>
      </c>
      <c r="AH26" s="4"/>
      <c r="AI26" s="4"/>
      <c r="AJ26" s="4">
        <v>0.23619999999999999</v>
      </c>
      <c r="AK26" s="4">
        <v>0.49149999999999999</v>
      </c>
    </row>
    <row r="27" spans="1:49" ht="16" customHeight="1">
      <c r="F27" s="68"/>
      <c r="G27" s="68"/>
      <c r="H27" s="3"/>
      <c r="N27" s="4"/>
      <c r="O27" s="4"/>
      <c r="P27" s="4"/>
      <c r="Q27" s="4"/>
      <c r="R27" s="4"/>
      <c r="S27" s="7"/>
      <c r="T27" s="7"/>
      <c r="U27" s="7"/>
      <c r="V27" s="4"/>
      <c r="W27" s="4"/>
      <c r="X27" s="4"/>
      <c r="Y27" s="4"/>
      <c r="Z27" s="4"/>
      <c r="AA27" s="4"/>
      <c r="AB27" s="4"/>
      <c r="AC27" s="4"/>
      <c r="AD27" s="4"/>
      <c r="AE27" s="18" t="e">
        <f t="shared" si="15"/>
        <v>#DIV/0!</v>
      </c>
      <c r="AF27" s="18"/>
      <c r="AG27" s="18"/>
      <c r="AH27" s="4"/>
      <c r="AI27" s="4"/>
      <c r="AJ27" s="4"/>
      <c r="AK27" s="4"/>
    </row>
    <row r="28" spans="1:49">
      <c r="A28" s="50" t="s">
        <v>544</v>
      </c>
      <c r="B28" t="s">
        <v>23</v>
      </c>
      <c r="C28" t="s">
        <v>553</v>
      </c>
      <c r="E28" s="57" t="s">
        <v>15</v>
      </c>
      <c r="F28" s="68">
        <v>6</v>
      </c>
      <c r="G28" s="68">
        <v>1</v>
      </c>
      <c r="H28" s="3">
        <v>2.2599999999999998</v>
      </c>
      <c r="I28">
        <v>1060</v>
      </c>
      <c r="J28">
        <v>36.5</v>
      </c>
      <c r="K28">
        <v>4</v>
      </c>
      <c r="L28">
        <v>180</v>
      </c>
      <c r="M28">
        <v>15</v>
      </c>
      <c r="N28" s="4">
        <f>((I28+L28)*J28-2*M28*M28)/(I28+L28+2*J28-4*M28)</f>
        <v>35.762170790103752</v>
      </c>
      <c r="O28" s="4">
        <f>(2*I28+2*L28+4*M28+J28)/9</f>
        <v>286.27777777777777</v>
      </c>
      <c r="P28" s="4">
        <f>(I28+L28)*J28-2*M28*M28</f>
        <v>44810</v>
      </c>
      <c r="Q28" s="4">
        <f>5/2*(K28*0.5*(I28-L28)*P28)/((K28+0.5*(I28-L28))*P28+3*O28*K28*0.5*(I28-L28))</f>
        <v>9.2101780149843755</v>
      </c>
      <c r="R28" s="4">
        <f>(I28+L28+2*J28-4*M28+12*K28+6*(I28-L28))/30</f>
        <v>219.36666666666667</v>
      </c>
      <c r="S28" s="7">
        <f>0.5*(N28+O28)</f>
        <v>161.01997428394077</v>
      </c>
      <c r="T28" s="7">
        <f>0.5*(Q28+R28)</f>
        <v>114.28842234082552</v>
      </c>
      <c r="U28" s="7">
        <f>S28/T28</f>
        <v>1.4088913906235807</v>
      </c>
      <c r="V28" s="4">
        <f>(3*S28-2*T28)/(2*(3*S28+T28))</f>
        <v>0.21301061618250505</v>
      </c>
      <c r="W28" s="4">
        <f t="shared" si="18"/>
        <v>277.2661392123423</v>
      </c>
      <c r="X28" s="4">
        <f>SQRT((S28+4/3*T28)/H28)</f>
        <v>11.776016901865724</v>
      </c>
      <c r="Y28" s="4">
        <f>SQRT(S28/H28)</f>
        <v>8.4408397823813832</v>
      </c>
      <c r="Z28" s="4">
        <f>SQRT(T28/H28)</f>
        <v>7.1112655962842686</v>
      </c>
      <c r="AA28" s="4">
        <f t="shared" si="19"/>
        <v>1.6559664018200713</v>
      </c>
      <c r="AB28" s="4">
        <f>J28/I28</f>
        <v>3.4433962264150943E-2</v>
      </c>
      <c r="AC28" s="4">
        <f>((I28-L28)/(2*K28))</f>
        <v>110</v>
      </c>
      <c r="AD28" s="4">
        <f>5*R28/Q28 +O28/N28 -6</f>
        <v>121.09431008365289</v>
      </c>
      <c r="AE28" s="18">
        <f t="shared" si="15"/>
        <v>7.3881664362313639</v>
      </c>
      <c r="AF28" s="18">
        <f>(R28-Q28)/(R28+Q28)</f>
        <v>0.9194128519202216</v>
      </c>
      <c r="AG28" s="18">
        <f>(O28-N28)/(O28+N28)</f>
        <v>0.77790226989453393</v>
      </c>
      <c r="AH28" s="4"/>
      <c r="AI28" s="4"/>
      <c r="AJ28" s="4">
        <v>2.8860000000000002E-4</v>
      </c>
      <c r="AK28" s="4">
        <v>0.98899999999999999</v>
      </c>
    </row>
    <row r="29" spans="1:49">
      <c r="A29" s="50" t="s">
        <v>919</v>
      </c>
      <c r="B29" t="s">
        <v>914</v>
      </c>
      <c r="C29" t="s">
        <v>915</v>
      </c>
      <c r="D29" t="s">
        <v>916</v>
      </c>
      <c r="E29" s="57" t="s">
        <v>23</v>
      </c>
      <c r="F29" s="68">
        <v>6</v>
      </c>
      <c r="G29" s="68"/>
      <c r="H29" s="3">
        <v>3.22</v>
      </c>
      <c r="I29">
        <v>501</v>
      </c>
      <c r="J29">
        <v>553</v>
      </c>
      <c r="K29">
        <v>163</v>
      </c>
      <c r="L29">
        <v>111</v>
      </c>
      <c r="M29">
        <v>52</v>
      </c>
      <c r="N29" s="4">
        <f>((I29+L29)*J29-2*M29*M29)/(I29+L29+2*J29-4*M29)</f>
        <v>220.54834437086092</v>
      </c>
      <c r="O29" s="4">
        <f>(2*I29+2*L29+4*M29+J29)/9</f>
        <v>220.55555555555554</v>
      </c>
      <c r="P29" s="4">
        <f>(I29+L29)*J29-2*M29*M29</f>
        <v>333028</v>
      </c>
      <c r="Q29" s="4">
        <f>5/2*(K29*0.5*(I29-L29)*P29)/((K29+0.5*(I29-L29))*P29+3*O29*K29*0.5*(I29-L29))</f>
        <v>188.67932530567035</v>
      </c>
      <c r="R29" s="4">
        <f>(I29+L29+2*J29-4*M29+12*K29+6*(I29-L29))/30</f>
        <v>193.53333333333333</v>
      </c>
      <c r="S29" s="7">
        <f>0.5*(N29+O29)</f>
        <v>220.55194996320824</v>
      </c>
      <c r="T29" s="7">
        <f>0.5*(Q29+R29)</f>
        <v>191.10632931950184</v>
      </c>
      <c r="U29" s="7">
        <f>S29/T29</f>
        <v>1.1540797772033895</v>
      </c>
      <c r="V29" s="4">
        <f>(3*S29-2*T29)/(2*(3*S29+T29))</f>
        <v>0.16384591042122895</v>
      </c>
      <c r="W29" s="4">
        <f t="shared" si="18"/>
        <v>444.83663966822962</v>
      </c>
      <c r="X29" s="4">
        <f>SQRT((S29+4/3*T29)/H29)</f>
        <v>12.150203702710222</v>
      </c>
      <c r="Y29" s="4">
        <f>SQRT(S29/H29)</f>
        <v>8.2761340249244313</v>
      </c>
      <c r="Z29" s="4">
        <f>SQRT(T29/H29)</f>
        <v>7.7038816004745945</v>
      </c>
      <c r="AA29" s="4">
        <f t="shared" ref="AA29" si="54">X29/Z29</f>
        <v>1.5771534835065111</v>
      </c>
      <c r="AB29" s="4">
        <f>J29/I29</f>
        <v>1.1037924151696608</v>
      </c>
      <c r="AC29" s="4">
        <f>((I29-L29)/(2*K29))</f>
        <v>1.196319018404908</v>
      </c>
      <c r="AD29" s="4">
        <f>5*R29/Q29 +O29/N29 -6</f>
        <v>0.12866385479478293</v>
      </c>
      <c r="AE29" s="18">
        <f t="shared" si="15"/>
        <v>5.6798104625257556E-2</v>
      </c>
      <c r="AF29" s="18">
        <f>(R29-Q29)/(R29+Q29)</f>
        <v>1.2699757367920016E-2</v>
      </c>
      <c r="AG29" s="18">
        <f>(O29-N29)/(O29+N29)</f>
        <v>1.6348041120988996E-5</v>
      </c>
      <c r="AH29" s="4"/>
      <c r="AI29" s="4"/>
      <c r="AJ29" s="4"/>
      <c r="AK29" s="4"/>
    </row>
    <row r="30" spans="1:49">
      <c r="A30" s="50" t="s">
        <v>944</v>
      </c>
      <c r="B30" t="s">
        <v>943</v>
      </c>
      <c r="C30" t="s">
        <v>915</v>
      </c>
      <c r="E30" s="57" t="s">
        <v>23</v>
      </c>
      <c r="F30" s="68">
        <v>6</v>
      </c>
      <c r="G30" s="68"/>
      <c r="H30" s="3">
        <v>2.4950000000000001</v>
      </c>
      <c r="I30">
        <v>542.79999999999995</v>
      </c>
      <c r="J30">
        <v>534.5</v>
      </c>
      <c r="K30">
        <v>164.8</v>
      </c>
      <c r="L30">
        <v>130.6</v>
      </c>
      <c r="M30">
        <v>63.5</v>
      </c>
      <c r="N30" s="4">
        <f>((I30+L30)*J30-2*M30*M30)/(I30+L30+2*J30-4*M30)</f>
        <v>236.40674549852187</v>
      </c>
      <c r="O30" s="4">
        <f>(2*I30+2*L30+4*M30+J30)/9</f>
        <v>237.25555555555559</v>
      </c>
      <c r="P30" s="4">
        <f>(I30+L30)*J30-2*M30*M30</f>
        <v>351867.8</v>
      </c>
      <c r="Q30" s="4">
        <f>5/2*(K30*0.5*(I30-L30)*P30)/((K30+0.5*(I30-L30))*P30+3*O30*K30*0.5*(I30-L30))</f>
        <v>193.15760280252348</v>
      </c>
      <c r="R30" s="4">
        <f>(I30+L30+2*J30-4*M30+12*K30+6*(I30-L30))/30</f>
        <v>197.97333333333333</v>
      </c>
      <c r="S30" s="7">
        <f>0.5*(N30+O30)</f>
        <v>236.83115052703874</v>
      </c>
      <c r="T30" s="7">
        <f>0.5*(Q30+R30)</f>
        <v>195.56546806792841</v>
      </c>
      <c r="U30" s="7">
        <f>S30/T30</f>
        <v>1.2110069986628569</v>
      </c>
      <c r="V30" s="4">
        <f>(3*S30-2*T30)/(2*(3*S30+T30))</f>
        <v>0.17623716764962824</v>
      </c>
      <c r="W30" s="4">
        <f t="shared" si="18"/>
        <v>460.06274450058783</v>
      </c>
      <c r="X30" s="4">
        <f>SQRT((S30+4/3*T30)/H30)</f>
        <v>14.122071696403967</v>
      </c>
      <c r="Y30" s="4">
        <f>SQRT(S30/H30)</f>
        <v>9.7428078509460718</v>
      </c>
      <c r="Z30" s="4">
        <f>SQRT(T30/H30)</f>
        <v>8.853414772472723</v>
      </c>
      <c r="AA30" s="4">
        <f t="shared" ref="AA30:AA31" si="55">X30/Z30</f>
        <v>1.5950988470926151</v>
      </c>
      <c r="AB30" s="4">
        <f>J30/I30</f>
        <v>0.9847089167280767</v>
      </c>
      <c r="AC30" s="4">
        <f>((I30-L30)/(2*K30))</f>
        <v>1.2506067961165046</v>
      </c>
      <c r="AD30" s="4">
        <f>5*R30/Q30 +O30/N30 -6</f>
        <v>0.12824852780689699</v>
      </c>
      <c r="AE30" s="18">
        <f t="shared" si="15"/>
        <v>5.5181680256294802E-2</v>
      </c>
      <c r="AF30" s="18">
        <f>(R30-Q30)/(R30+Q30)</f>
        <v>1.2312323280757142E-2</v>
      </c>
      <c r="AG30" s="18">
        <f>(O30-N30)/(O30+N30)</f>
        <v>1.7920152292990044E-3</v>
      </c>
      <c r="AH30" s="4"/>
      <c r="AI30" s="4"/>
      <c r="AJ30" s="4"/>
      <c r="AK30" s="4"/>
    </row>
    <row r="31" spans="1:49">
      <c r="A31" s="50" t="s">
        <v>946</v>
      </c>
      <c r="B31" t="s">
        <v>947</v>
      </c>
      <c r="C31" t="s">
        <v>948</v>
      </c>
      <c r="D31" t="s">
        <v>902</v>
      </c>
      <c r="E31" s="57" t="s">
        <v>23</v>
      </c>
      <c r="F31" s="68">
        <v>6</v>
      </c>
      <c r="G31" s="68"/>
      <c r="H31" s="28">
        <v>3.2</v>
      </c>
      <c r="I31">
        <v>433</v>
      </c>
      <c r="J31">
        <v>574</v>
      </c>
      <c r="K31">
        <v>108</v>
      </c>
      <c r="L31">
        <v>195</v>
      </c>
      <c r="M31">
        <v>127</v>
      </c>
      <c r="N31" s="4">
        <f>((I31+L31)*J31-2*M31*M31)/(I31+L31+2*J31-4*M31)</f>
        <v>258.84384858044166</v>
      </c>
      <c r="O31" s="4">
        <f>(2*I31+2*L31+4*M31+J31)/9</f>
        <v>259.77777777777777</v>
      </c>
      <c r="P31" s="4">
        <f>(I31+L31)*J31-2*M31*M31</f>
        <v>328214</v>
      </c>
      <c r="Q31" s="4">
        <f>5/2*(K31*0.5*(I31-L31)*P31)/((K31+0.5*(I31-L31))*P31+3*O31*K31*0.5*(I31-L31))</f>
        <v>124.76863111547875</v>
      </c>
      <c r="R31" s="4">
        <f>(I31+L31+2*J31-4*M31+12*K31+6*(I31-L31))/30</f>
        <v>133.06666666666666</v>
      </c>
      <c r="S31" s="7">
        <f>0.5*(N31+O31)</f>
        <v>259.31081317910969</v>
      </c>
      <c r="T31" s="7">
        <f>0.5*(Q31+R31)</f>
        <v>128.9176488910727</v>
      </c>
      <c r="U31" s="7">
        <f>S31/T31</f>
        <v>2.0114454103814055</v>
      </c>
      <c r="V31" s="4">
        <f>(3*S31-2*T31)/(2*(3*S31+T31))</f>
        <v>0.28676026412288691</v>
      </c>
      <c r="W31" s="4">
        <f t="shared" si="18"/>
        <v>331.77221587435668</v>
      </c>
      <c r="X31" s="4">
        <f>SQRT((S31+4/3*T31)/H31)</f>
        <v>11.608200384056898</v>
      </c>
      <c r="Y31" s="4">
        <f>SQRT(S31/H31)</f>
        <v>9.0019236343390396</v>
      </c>
      <c r="Z31" s="4">
        <f>SQRT(T31/H31)</f>
        <v>6.3471856187179698</v>
      </c>
      <c r="AA31" s="4">
        <f t="shared" si="55"/>
        <v>1.8288736270488288</v>
      </c>
      <c r="AB31" s="4">
        <f>J31/I31</f>
        <v>1.325635103926097</v>
      </c>
      <c r="AC31" s="4">
        <f>((I31-L31)/(2*K31))</f>
        <v>1.1018518518518519</v>
      </c>
      <c r="AD31" s="4">
        <f>5*R31/Q31 +O31/N31 -6</f>
        <v>0.33614501119143192</v>
      </c>
      <c r="AE31" s="18">
        <f t="shared" si="15"/>
        <v>0.14402363324898018</v>
      </c>
      <c r="AF31" s="18">
        <f>(R31-Q31)/(R31+Q31)</f>
        <v>3.2183473801167539E-2</v>
      </c>
      <c r="AG31" s="18">
        <f>(O31-N31)/(O31+N31)</f>
        <v>1.8007910774839816E-3</v>
      </c>
      <c r="AH31" s="4"/>
      <c r="AI31" s="4"/>
      <c r="AJ31" s="4"/>
      <c r="AK31" s="4"/>
    </row>
    <row r="32" spans="1:49" ht="14.25" customHeight="1">
      <c r="F32" s="68"/>
      <c r="G32" s="68"/>
      <c r="H32" s="3"/>
      <c r="N32" s="4"/>
      <c r="O32" s="4"/>
      <c r="P32" s="4"/>
      <c r="Q32" s="4"/>
      <c r="R32" s="4"/>
      <c r="S32" s="7"/>
      <c r="T32" s="7"/>
      <c r="U32" s="7"/>
      <c r="V32" s="4"/>
      <c r="W32" s="4"/>
      <c r="X32" s="4"/>
      <c r="Y32" s="4"/>
      <c r="Z32" s="4"/>
      <c r="AA32" s="4"/>
      <c r="AB32" s="4"/>
      <c r="AC32" s="4"/>
      <c r="AD32" s="4"/>
      <c r="AE32" s="18" t="e">
        <f t="shared" si="15"/>
        <v>#DIV/0!</v>
      </c>
      <c r="AF32" s="18"/>
      <c r="AG32" s="18"/>
      <c r="AH32" s="4"/>
      <c r="AI32" s="4"/>
      <c r="AJ32" s="4"/>
      <c r="AK32" s="4"/>
    </row>
    <row r="33" spans="1:37" ht="14.25" customHeight="1">
      <c r="A33" s="50" t="s">
        <v>935</v>
      </c>
      <c r="B33" t="s">
        <v>936</v>
      </c>
      <c r="C33" t="s">
        <v>238</v>
      </c>
      <c r="D33" t="s">
        <v>891</v>
      </c>
      <c r="E33" s="57" t="s">
        <v>23</v>
      </c>
      <c r="F33" s="68">
        <v>6</v>
      </c>
      <c r="G33" s="68"/>
      <c r="H33" s="76">
        <v>1.9</v>
      </c>
      <c r="I33">
        <v>59.9</v>
      </c>
      <c r="J33">
        <v>61.4</v>
      </c>
      <c r="K33">
        <v>13.9</v>
      </c>
      <c r="L33">
        <v>34.299999999999997</v>
      </c>
      <c r="M33">
        <v>24.1</v>
      </c>
      <c r="N33" s="4">
        <f t="shared" ref="N33:N52" si="56">((I33+L33)*J33-2*M33*M33)/(I33+L33+2*J33-4*M33)</f>
        <v>38.327197346600329</v>
      </c>
      <c r="O33" s="4">
        <f t="shared" ref="O33:O52" si="57">(2*I33+2*L33+4*M33+J33)/9</f>
        <v>38.466666666666661</v>
      </c>
      <c r="P33" s="4">
        <f t="shared" ref="P33:P52" si="58">(I33+L33)*J33-2*M33*M33</f>
        <v>4622.2599999999993</v>
      </c>
      <c r="Q33" s="4">
        <f t="shared" ref="Q33:Q52" si="59">5/2*(K33*0.5*(I33-L33)*P33)/((K33+0.5*(I33-L33))*P33+3*O33*K33*0.5*(I33-L33))</f>
        <v>14.282972922334723</v>
      </c>
      <c r="R33" s="4">
        <f t="shared" ref="R33:R52" si="60">(I33+L33+2*J33-4*M33+12*K33+6*(I33-L33))/30</f>
        <v>14.7</v>
      </c>
      <c r="S33" s="7">
        <f t="shared" ref="S33:S34" si="61">0.5*(N33+O33)</f>
        <v>38.396932006633492</v>
      </c>
      <c r="T33" s="7">
        <f t="shared" ref="T33:T34" si="62">0.5*(Q33+R33)</f>
        <v>14.491486461167362</v>
      </c>
      <c r="U33" s="7">
        <f t="shared" ref="U33:U34" si="63">S33/T33</f>
        <v>2.6496199758061554</v>
      </c>
      <c r="V33" s="4">
        <f t="shared" ref="V33:V34" si="64">(3*S33-2*T33)/(2*(3*S33+T33))</f>
        <v>0.33238088290954909</v>
      </c>
      <c r="W33" s="4">
        <f t="shared" si="18"/>
        <v>38.616359051603901</v>
      </c>
      <c r="X33" s="4">
        <f t="shared" ref="X33:X52" si="65">SQRT((S33+4/3*T33)/H33)</f>
        <v>5.5116581684384256</v>
      </c>
      <c r="Y33" s="4">
        <f t="shared" ref="Y33:Y52" si="66">SQRT(S33/H33)</f>
        <v>4.4954323020638052</v>
      </c>
      <c r="Z33" s="4">
        <f t="shared" ref="Z33:Z52" si="67">SQRT(T33/H33)</f>
        <v>2.7617201410455237</v>
      </c>
      <c r="AA33" s="4">
        <f t="shared" ref="AA33" si="68">X33/Z33</f>
        <v>1.9957337771204575</v>
      </c>
      <c r="AB33" s="4">
        <f t="shared" ref="AB33:AB52" si="69">J33/I33</f>
        <v>1.025041736227045</v>
      </c>
      <c r="AC33" s="4">
        <f t="shared" ref="AC33:AC52" si="70">((I33-L33)/(2*K33))</f>
        <v>0.92086330935251803</v>
      </c>
      <c r="AD33" s="4">
        <f t="shared" ref="AD33:AD52" si="71">5*R33/Q33 +O33/N33 -6</f>
        <v>0.149626404082845</v>
      </c>
      <c r="AE33" s="18">
        <f t="shared" si="15"/>
        <v>6.4455058372258928E-2</v>
      </c>
      <c r="AF33" s="18">
        <f t="shared" ref="AF33:AF52" si="72">(R33-Q33)/(R33+Q33)</f>
        <v>1.4388692242951672E-2</v>
      </c>
      <c r="AG33" s="18">
        <f t="shared" ref="AG33:AG52" si="73">(O33-N33)/(O33+N33)</f>
        <v>1.8161518743507652E-3</v>
      </c>
      <c r="AH33" s="4"/>
      <c r="AI33" s="4"/>
      <c r="AJ33" s="4"/>
      <c r="AK33" s="4"/>
    </row>
    <row r="34" spans="1:37" ht="16.8">
      <c r="A34" s="50" t="s">
        <v>78</v>
      </c>
      <c r="B34" t="s">
        <v>882</v>
      </c>
      <c r="C34" t="s">
        <v>876</v>
      </c>
      <c r="D34" t="s">
        <v>877</v>
      </c>
      <c r="E34" s="57" t="s">
        <v>23</v>
      </c>
      <c r="F34" s="57">
        <v>6</v>
      </c>
      <c r="G34" s="57">
        <v>5</v>
      </c>
      <c r="H34">
        <v>2.5</v>
      </c>
      <c r="I34">
        <v>99.6</v>
      </c>
      <c r="J34">
        <v>86.6</v>
      </c>
      <c r="K34">
        <v>22.9</v>
      </c>
      <c r="L34">
        <v>52.8</v>
      </c>
      <c r="M34">
        <v>15.3</v>
      </c>
      <c r="N34" s="4">
        <f t="shared" si="56"/>
        <v>48.145461422087735</v>
      </c>
      <c r="O34" s="4">
        <f t="shared" si="57"/>
        <v>50.288888888888877</v>
      </c>
      <c r="P34" s="4">
        <f t="shared" si="58"/>
        <v>12729.659999999996</v>
      </c>
      <c r="Q34" s="4">
        <f t="shared" si="59"/>
        <v>25.444062109614347</v>
      </c>
      <c r="R34" s="4">
        <f t="shared" si="60"/>
        <v>27.333333333333329</v>
      </c>
      <c r="S34" s="7">
        <f t="shared" si="61"/>
        <v>49.217175155488306</v>
      </c>
      <c r="T34" s="7">
        <f t="shared" si="62"/>
        <v>26.388697721473839</v>
      </c>
      <c r="U34" s="7">
        <f t="shared" si="63"/>
        <v>1.8650854117532962</v>
      </c>
      <c r="V34" s="4">
        <f t="shared" si="64"/>
        <v>0.27256380245234069</v>
      </c>
      <c r="W34" s="4">
        <f t="shared" si="18"/>
        <v>67.162603028408327</v>
      </c>
      <c r="X34" s="4">
        <f t="shared" si="65"/>
        <v>5.8104080906864626</v>
      </c>
      <c r="Y34" s="4">
        <f t="shared" si="66"/>
        <v>4.4369888508080928</v>
      </c>
      <c r="Z34" s="4">
        <f t="shared" si="67"/>
        <v>3.248919680230574</v>
      </c>
      <c r="AA34" s="4">
        <f>X34/Z34</f>
        <v>1.7884123532023115</v>
      </c>
      <c r="AB34" s="4">
        <f t="shared" si="69"/>
        <v>0.86947791164658639</v>
      </c>
      <c r="AC34" s="4">
        <f t="shared" si="70"/>
        <v>1.0218340611353711</v>
      </c>
      <c r="AD34" s="4">
        <f t="shared" si="71"/>
        <v>0.41577957320140335</v>
      </c>
      <c r="AE34" s="18">
        <f t="shared" ref="AE34:AE65" si="74">SQRT((LN(O34/N34))^2+5*(LN(R34/Q34))^2)</f>
        <v>0.16597476864705743</v>
      </c>
      <c r="AF34" s="18">
        <f t="shared" si="72"/>
        <v>3.579697724495106E-2</v>
      </c>
      <c r="AG34" s="18">
        <f t="shared" si="73"/>
        <v>2.177519798758833E-2</v>
      </c>
      <c r="AH34" s="4"/>
      <c r="AI34" s="4"/>
      <c r="AJ34" s="4">
        <v>8.7330000000000005E-2</v>
      </c>
      <c r="AK34" s="4">
        <v>0.45679999999999998</v>
      </c>
    </row>
    <row r="35" spans="1:37">
      <c r="A35" s="50" t="s">
        <v>542</v>
      </c>
      <c r="B35" t="s">
        <v>529</v>
      </c>
      <c r="C35" t="s">
        <v>552</v>
      </c>
      <c r="E35" s="57" t="s">
        <v>15</v>
      </c>
      <c r="F35" s="68">
        <v>6</v>
      </c>
      <c r="G35" s="68">
        <v>9</v>
      </c>
      <c r="H35" s="3">
        <v>2.7110000000000003</v>
      </c>
      <c r="I35">
        <v>306.35000000000002</v>
      </c>
      <c r="J35">
        <v>280.5</v>
      </c>
      <c r="K35">
        <v>65.699999999999989</v>
      </c>
      <c r="L35">
        <v>126.35</v>
      </c>
      <c r="M35">
        <v>116.5</v>
      </c>
      <c r="N35" s="4">
        <f t="shared" si="56"/>
        <v>178.56329353799507</v>
      </c>
      <c r="O35" s="4">
        <f t="shared" si="57"/>
        <v>179.10000000000002</v>
      </c>
      <c r="P35" s="4">
        <f t="shared" si="58"/>
        <v>94227.85</v>
      </c>
      <c r="Q35" s="4">
        <f t="shared" si="59"/>
        <v>78.042209174005123</v>
      </c>
      <c r="R35" s="4">
        <f t="shared" si="60"/>
        <v>79.870000000000019</v>
      </c>
      <c r="S35" s="7">
        <f t="shared" ref="S35:S54" si="75">0.5*(N35+O35)</f>
        <v>178.83164676899753</v>
      </c>
      <c r="T35" s="7">
        <f t="shared" ref="T35:T54" si="76">0.5*(Q35+R35)</f>
        <v>78.956104587002571</v>
      </c>
      <c r="U35" s="7">
        <f t="shared" ref="U35:U54" si="77">S35/T35</f>
        <v>2.2649502239809847</v>
      </c>
      <c r="V35" s="4">
        <f t="shared" ref="V35:V54" si="78">(3*S35-2*T35)/(2*(3*S35+T35))</f>
        <v>0.3075652680045366</v>
      </c>
      <c r="W35" s="4">
        <f t="shared" si="18"/>
        <v>206.48052010979649</v>
      </c>
      <c r="X35" s="4">
        <f t="shared" si="65"/>
        <v>10.237072763005656</v>
      </c>
      <c r="Y35" s="4">
        <f t="shared" si="66"/>
        <v>8.1218960934218671</v>
      </c>
      <c r="Z35" s="4">
        <f t="shared" si="67"/>
        <v>5.3966977821671804</v>
      </c>
      <c r="AA35" s="4">
        <f t="shared" si="19"/>
        <v>1.8969142198091924</v>
      </c>
      <c r="AB35" s="4">
        <f t="shared" si="69"/>
        <v>0.91561938958707356</v>
      </c>
      <c r="AC35" s="4">
        <f t="shared" si="70"/>
        <v>1.3698630136986305</v>
      </c>
      <c r="AD35" s="4">
        <f t="shared" si="71"/>
        <v>0.12010840236313847</v>
      </c>
      <c r="AE35" s="18">
        <f t="shared" si="74"/>
        <v>5.185299313510551E-2</v>
      </c>
      <c r="AF35" s="18">
        <f t="shared" si="72"/>
        <v>1.1574727727232502E-2</v>
      </c>
      <c r="AG35" s="18">
        <f t="shared" si="73"/>
        <v>1.5005913989547895E-3</v>
      </c>
      <c r="AH35" s="4"/>
      <c r="AI35" s="4"/>
      <c r="AJ35" s="4">
        <v>0.23569999999999999</v>
      </c>
      <c r="AK35" s="4">
        <v>0.40889999999999999</v>
      </c>
    </row>
    <row r="36" spans="1:37">
      <c r="A36" s="50" t="s">
        <v>32</v>
      </c>
      <c r="B36" t="s">
        <v>31</v>
      </c>
      <c r="C36" t="s">
        <v>519</v>
      </c>
      <c r="D36" t="s">
        <v>891</v>
      </c>
      <c r="E36" s="57" t="s">
        <v>15</v>
      </c>
      <c r="F36" s="68">
        <v>6</v>
      </c>
      <c r="G36" s="68">
        <v>9</v>
      </c>
      <c r="H36" s="3">
        <v>2.5710000000000002</v>
      </c>
      <c r="I36">
        <v>80</v>
      </c>
      <c r="J36">
        <v>119</v>
      </c>
      <c r="K36">
        <v>41</v>
      </c>
      <c r="L36">
        <v>31</v>
      </c>
      <c r="M36">
        <v>27</v>
      </c>
      <c r="N36" s="4">
        <f t="shared" si="56"/>
        <v>48.759336099585063</v>
      </c>
      <c r="O36" s="4">
        <f t="shared" si="57"/>
        <v>49.888888888888886</v>
      </c>
      <c r="P36" s="4">
        <f t="shared" si="58"/>
        <v>11751</v>
      </c>
      <c r="Q36" s="4">
        <f t="shared" si="59"/>
        <v>32.074690354524414</v>
      </c>
      <c r="R36" s="4">
        <f t="shared" si="60"/>
        <v>34.233333333333334</v>
      </c>
      <c r="S36" s="7">
        <f t="shared" si="75"/>
        <v>49.324112494236971</v>
      </c>
      <c r="T36" s="7">
        <f t="shared" si="76"/>
        <v>33.15401184392887</v>
      </c>
      <c r="U36" s="7">
        <f t="shared" si="77"/>
        <v>1.4877268164838746</v>
      </c>
      <c r="V36" s="4">
        <f t="shared" si="78"/>
        <v>0.22543465955795672</v>
      </c>
      <c r="W36" s="4">
        <f t="shared" si="18"/>
        <v>81.25615043389088</v>
      </c>
      <c r="X36" s="4">
        <f t="shared" si="65"/>
        <v>6.0314700954929661</v>
      </c>
      <c r="Y36" s="4">
        <f t="shared" si="66"/>
        <v>4.3800452930811815</v>
      </c>
      <c r="Z36" s="4">
        <f t="shared" si="67"/>
        <v>3.5910132355001818</v>
      </c>
      <c r="AA36" s="4">
        <f t="shared" si="19"/>
        <v>1.6796011877279702</v>
      </c>
      <c r="AB36" s="4">
        <f t="shared" si="69"/>
        <v>1.4875</v>
      </c>
      <c r="AC36" s="4">
        <f t="shared" si="70"/>
        <v>0.59756097560975607</v>
      </c>
      <c r="AD36" s="4">
        <f t="shared" si="71"/>
        <v>0.3596684208780685</v>
      </c>
      <c r="AE36" s="18">
        <f t="shared" si="74"/>
        <v>0.14743047069880935</v>
      </c>
      <c r="AF36" s="18">
        <f t="shared" si="72"/>
        <v>3.2554777819508579E-2</v>
      </c>
      <c r="AG36" s="18">
        <f t="shared" si="73"/>
        <v>1.1450310326777796E-2</v>
      </c>
      <c r="AH36" s="4"/>
      <c r="AI36" s="4"/>
      <c r="AJ36" s="4">
        <v>9.4460000000000002E-2</v>
      </c>
      <c r="AK36" s="4">
        <v>0.34370000000000001</v>
      </c>
    </row>
    <row r="37" spans="1:37" ht="16.8">
      <c r="A37" s="50" t="s">
        <v>81</v>
      </c>
      <c r="B37" t="s">
        <v>896</v>
      </c>
      <c r="D37" t="s">
        <v>891</v>
      </c>
      <c r="E37" s="57" t="s">
        <v>23</v>
      </c>
      <c r="F37" s="57">
        <v>6</v>
      </c>
      <c r="G37" s="57">
        <v>9</v>
      </c>
      <c r="H37">
        <v>2.976</v>
      </c>
      <c r="I37">
        <v>180.8</v>
      </c>
      <c r="J37">
        <v>227.6</v>
      </c>
      <c r="K37">
        <v>62.7</v>
      </c>
      <c r="L37">
        <v>80.599999999999994</v>
      </c>
      <c r="M37">
        <v>51.2</v>
      </c>
      <c r="N37" s="4">
        <f t="shared" si="56"/>
        <v>106.0018757327081</v>
      </c>
      <c r="O37" s="4">
        <f t="shared" si="57"/>
        <v>106.13333333333333</v>
      </c>
      <c r="P37" s="4">
        <f t="shared" si="58"/>
        <v>54251.759999999995</v>
      </c>
      <c r="Q37" s="4">
        <f t="shared" si="59"/>
        <v>59.840139920266431</v>
      </c>
      <c r="R37" s="4">
        <f t="shared" si="60"/>
        <v>62.18</v>
      </c>
      <c r="S37" s="7">
        <f t="shared" si="75"/>
        <v>106.06760453302071</v>
      </c>
      <c r="T37" s="7">
        <f t="shared" si="76"/>
        <v>61.010069960133215</v>
      </c>
      <c r="U37" s="7">
        <f t="shared" si="77"/>
        <v>1.7385261908784921</v>
      </c>
      <c r="V37" s="4">
        <f t="shared" si="78"/>
        <v>0.25867089725100478</v>
      </c>
      <c r="W37" s="4">
        <f t="shared" si="18"/>
        <v>153.58319899613488</v>
      </c>
      <c r="X37" s="4">
        <f t="shared" si="65"/>
        <v>7.9356951101762387</v>
      </c>
      <c r="Y37" s="4">
        <f t="shared" si="66"/>
        <v>5.9700080524944319</v>
      </c>
      <c r="Z37" s="4">
        <f t="shared" si="67"/>
        <v>4.5277693791888334</v>
      </c>
      <c r="AA37" s="4">
        <f t="shared" si="19"/>
        <v>1.7526721097261249</v>
      </c>
      <c r="AB37" s="4">
        <f t="shared" si="69"/>
        <v>1.2588495575221237</v>
      </c>
      <c r="AC37" s="4">
        <f t="shared" si="70"/>
        <v>0.799043062200957</v>
      </c>
      <c r="AD37" s="4">
        <f t="shared" si="71"/>
        <v>0.19674938612666892</v>
      </c>
      <c r="AE37" s="18">
        <f t="shared" si="74"/>
        <v>8.5777215971712895E-2</v>
      </c>
      <c r="AF37" s="18">
        <f t="shared" si="72"/>
        <v>1.9176015379613078E-2</v>
      </c>
      <c r="AG37" s="18">
        <f t="shared" si="73"/>
        <v>6.1968779819242638E-4</v>
      </c>
      <c r="AH37" s="4"/>
      <c r="AI37" s="4"/>
      <c r="AJ37" s="4">
        <v>0.13320000000000001</v>
      </c>
      <c r="AK37" s="4">
        <v>0.40810000000000002</v>
      </c>
    </row>
    <row r="38" spans="1:37">
      <c r="A38" s="73" t="s">
        <v>584</v>
      </c>
      <c r="B38" t="s">
        <v>897</v>
      </c>
      <c r="D38" t="s">
        <v>899</v>
      </c>
      <c r="E38" s="57" t="s">
        <v>23</v>
      </c>
      <c r="F38" s="57">
        <v>6</v>
      </c>
      <c r="G38" s="57">
        <v>9</v>
      </c>
      <c r="H38">
        <v>3.4</v>
      </c>
      <c r="I38">
        <v>237</v>
      </c>
      <c r="J38">
        <v>316</v>
      </c>
      <c r="K38">
        <v>79</v>
      </c>
      <c r="L38">
        <v>80</v>
      </c>
      <c r="M38">
        <v>64</v>
      </c>
      <c r="N38" s="4">
        <f t="shared" si="56"/>
        <v>132.72727272727272</v>
      </c>
      <c r="O38" s="4">
        <f t="shared" si="57"/>
        <v>134</v>
      </c>
      <c r="P38" s="4">
        <f t="shared" si="58"/>
        <v>91980</v>
      </c>
      <c r="Q38" s="4">
        <f t="shared" si="59"/>
        <v>83.983938200171693</v>
      </c>
      <c r="R38" s="4">
        <f t="shared" si="60"/>
        <v>86.1</v>
      </c>
      <c r="S38" s="7">
        <f t="shared" si="75"/>
        <v>133.36363636363637</v>
      </c>
      <c r="T38" s="7">
        <f t="shared" si="76"/>
        <v>85.041969100085851</v>
      </c>
      <c r="U38" s="7">
        <f t="shared" si="77"/>
        <v>1.5682096472470055</v>
      </c>
      <c r="V38" s="4">
        <f t="shared" si="78"/>
        <v>0.2370556410734386</v>
      </c>
      <c r="W38" s="4">
        <f t="shared" si="18"/>
        <v>210.40329520650855</v>
      </c>
      <c r="X38" s="4">
        <f t="shared" si="65"/>
        <v>8.5190604373038994</v>
      </c>
      <c r="Y38" s="4">
        <f t="shared" si="66"/>
        <v>6.262954488935816</v>
      </c>
      <c r="Z38" s="4">
        <f t="shared" si="67"/>
        <v>5.001234232963542</v>
      </c>
      <c r="AA38" s="4">
        <f t="shared" si="19"/>
        <v>1.7033916110455452</v>
      </c>
      <c r="AB38" s="4">
        <f t="shared" si="69"/>
        <v>1.3333333333333333</v>
      </c>
      <c r="AC38" s="4">
        <f t="shared" si="70"/>
        <v>0.99367088607594933</v>
      </c>
      <c r="AD38" s="4">
        <f t="shared" si="71"/>
        <v>0.1355691895133635</v>
      </c>
      <c r="AE38" s="18">
        <f t="shared" si="74"/>
        <v>5.6454440387079016E-2</v>
      </c>
      <c r="AF38" s="18">
        <f t="shared" si="72"/>
        <v>1.2441279418976702E-2</v>
      </c>
      <c r="AG38" s="18">
        <f t="shared" si="73"/>
        <v>4.7716428084526533E-3</v>
      </c>
      <c r="AH38" s="4">
        <v>15.8</v>
      </c>
      <c r="AI38" s="4">
        <v>7.8</v>
      </c>
      <c r="AJ38" s="4"/>
      <c r="AK38" s="4"/>
    </row>
    <row r="39" spans="1:37">
      <c r="A39" s="73" t="s">
        <v>585</v>
      </c>
      <c r="B39" t="s">
        <v>898</v>
      </c>
      <c r="E39" s="57" t="s">
        <v>23</v>
      </c>
      <c r="F39" s="57">
        <v>6</v>
      </c>
      <c r="G39" s="57">
        <v>9</v>
      </c>
      <c r="H39">
        <v>3.3</v>
      </c>
      <c r="I39">
        <v>241</v>
      </c>
      <c r="J39">
        <v>318</v>
      </c>
      <c r="K39">
        <v>46</v>
      </c>
      <c r="L39">
        <v>79</v>
      </c>
      <c r="M39">
        <v>55</v>
      </c>
      <c r="N39" s="4">
        <f t="shared" si="56"/>
        <v>130.04076086956522</v>
      </c>
      <c r="O39" s="4">
        <f t="shared" si="57"/>
        <v>130.88888888888889</v>
      </c>
      <c r="P39" s="4">
        <f t="shared" si="58"/>
        <v>95710</v>
      </c>
      <c r="Q39" s="4">
        <f t="shared" si="59"/>
        <v>65.466481513111162</v>
      </c>
      <c r="R39" s="4">
        <f t="shared" si="60"/>
        <v>75.333333333333329</v>
      </c>
      <c r="S39" s="7">
        <f t="shared" si="75"/>
        <v>130.46482487922705</v>
      </c>
      <c r="T39" s="7">
        <f t="shared" si="76"/>
        <v>70.399907423222245</v>
      </c>
      <c r="U39" s="7">
        <f t="shared" si="77"/>
        <v>1.8531959721894702</v>
      </c>
      <c r="V39" s="4">
        <f t="shared" si="78"/>
        <v>0.27132709873264238</v>
      </c>
      <c r="W39" s="4">
        <f t="shared" si="18"/>
        <v>179.0026201108235</v>
      </c>
      <c r="X39" s="4">
        <f t="shared" si="65"/>
        <v>8.2449501185655052</v>
      </c>
      <c r="Y39" s="4">
        <f t="shared" si="66"/>
        <v>6.2876701104580537</v>
      </c>
      <c r="Z39" s="4">
        <f t="shared" si="67"/>
        <v>4.6187991166280788</v>
      </c>
      <c r="AA39" s="4">
        <f t="shared" si="19"/>
        <v>1.7850852376071016</v>
      </c>
      <c r="AB39" s="4">
        <f t="shared" si="69"/>
        <v>1.3195020746887967</v>
      </c>
      <c r="AC39" s="4">
        <f t="shared" si="70"/>
        <v>1.7608695652173914</v>
      </c>
      <c r="AD39" s="42">
        <f t="shared" si="71"/>
        <v>0.76010244386675296</v>
      </c>
      <c r="AE39" s="18">
        <f t="shared" si="74"/>
        <v>0.31397643869901115</v>
      </c>
      <c r="AF39" s="18">
        <f t="shared" si="72"/>
        <v>7.0077164739050984E-2</v>
      </c>
      <c r="AG39" s="18">
        <f t="shared" si="73"/>
        <v>3.2504087600193771E-3</v>
      </c>
      <c r="AH39" s="42">
        <v>13.2</v>
      </c>
      <c r="AI39" s="42">
        <v>5.8</v>
      </c>
      <c r="AJ39" s="4"/>
      <c r="AK39" s="4"/>
    </row>
    <row r="40" spans="1:37">
      <c r="A40" s="50" t="s">
        <v>540</v>
      </c>
      <c r="B40" t="s">
        <v>969</v>
      </c>
      <c r="D40" t="s">
        <v>902</v>
      </c>
      <c r="E40" s="57" t="s">
        <v>23</v>
      </c>
      <c r="F40" s="57">
        <v>6</v>
      </c>
      <c r="G40" s="57">
        <v>9</v>
      </c>
      <c r="H40">
        <v>3.86</v>
      </c>
      <c r="I40" s="6">
        <v>383.1</v>
      </c>
      <c r="J40" s="19">
        <v>518</v>
      </c>
      <c r="K40" s="6">
        <v>125.7</v>
      </c>
      <c r="L40" s="6">
        <v>123.3</v>
      </c>
      <c r="M40" s="6">
        <v>100.3</v>
      </c>
      <c r="N40" s="4">
        <f t="shared" si="56"/>
        <v>212.22837364178059</v>
      </c>
      <c r="O40" s="4">
        <f t="shared" si="57"/>
        <v>214.66666666666666</v>
      </c>
      <c r="P40" s="4">
        <f t="shared" si="58"/>
        <v>242195.02000000002</v>
      </c>
      <c r="Q40" s="4">
        <f t="shared" si="59"/>
        <v>136.51733178737189</v>
      </c>
      <c r="R40" s="4">
        <f t="shared" si="60"/>
        <v>140.28000000000003</v>
      </c>
      <c r="S40" s="7">
        <f t="shared" si="75"/>
        <v>213.44752015422364</v>
      </c>
      <c r="T40" s="7">
        <f t="shared" si="76"/>
        <v>138.39866589368597</v>
      </c>
      <c r="U40" s="7">
        <f t="shared" si="77"/>
        <v>1.5422657348314912</v>
      </c>
      <c r="V40" s="4">
        <f t="shared" si="78"/>
        <v>0.23341850692577715</v>
      </c>
      <c r="W40" s="4">
        <f t="shared" si="18"/>
        <v>341.40695169421929</v>
      </c>
      <c r="X40" s="4">
        <f t="shared" si="65"/>
        <v>10.153983810434932</v>
      </c>
      <c r="Y40" s="4">
        <f t="shared" si="66"/>
        <v>7.4362144276538702</v>
      </c>
      <c r="Z40" s="4">
        <f t="shared" si="67"/>
        <v>5.9878691248552958</v>
      </c>
      <c r="AA40" s="4">
        <f t="shared" si="19"/>
        <v>1.6957591421439617</v>
      </c>
      <c r="AB40" s="4">
        <f t="shared" si="69"/>
        <v>1.3521273818846253</v>
      </c>
      <c r="AC40" s="4">
        <f t="shared" si="70"/>
        <v>1.0334128878281623</v>
      </c>
      <c r="AD40" s="80">
        <f t="shared" si="71"/>
        <v>0.14929818228137837</v>
      </c>
      <c r="AE40" s="18">
        <f t="shared" si="74"/>
        <v>6.1860029524762127E-2</v>
      </c>
      <c r="AF40" s="18">
        <f t="shared" si="72"/>
        <v>1.3593585560710967E-2</v>
      </c>
      <c r="AG40" s="18">
        <f t="shared" si="73"/>
        <v>5.7116920897565563E-3</v>
      </c>
      <c r="AH40" s="80">
        <v>15.7</v>
      </c>
      <c r="AI40" s="80">
        <v>14.44</v>
      </c>
      <c r="AJ40" s="4"/>
      <c r="AK40" s="4"/>
    </row>
    <row r="41" spans="1:37">
      <c r="A41" s="50" t="s">
        <v>540</v>
      </c>
      <c r="B41" t="s">
        <v>970</v>
      </c>
      <c r="D41" t="s">
        <v>902</v>
      </c>
      <c r="E41" s="57" t="s">
        <v>23</v>
      </c>
      <c r="F41" s="57">
        <v>6</v>
      </c>
      <c r="G41" s="57">
        <v>9</v>
      </c>
      <c r="H41">
        <v>3.87</v>
      </c>
      <c r="I41" s="19">
        <v>378</v>
      </c>
      <c r="J41" s="6">
        <v>498.3</v>
      </c>
      <c r="K41" s="6">
        <v>120.3</v>
      </c>
      <c r="L41" s="6">
        <v>132.19999999999999</v>
      </c>
      <c r="M41" s="6">
        <v>101.7</v>
      </c>
      <c r="N41" s="4">
        <f t="shared" si="56"/>
        <v>212.31534545454545</v>
      </c>
      <c r="O41" s="4">
        <f t="shared" si="57"/>
        <v>213.94444444444446</v>
      </c>
      <c r="P41" s="4">
        <f t="shared" si="58"/>
        <v>233546.88</v>
      </c>
      <c r="Q41" s="4">
        <f t="shared" si="59"/>
        <v>130.22564528280066</v>
      </c>
      <c r="R41" s="4">
        <f t="shared" si="60"/>
        <v>133.94666666666666</v>
      </c>
      <c r="S41" s="7">
        <f t="shared" si="75"/>
        <v>213.12989494949494</v>
      </c>
      <c r="T41" s="7">
        <f t="shared" si="76"/>
        <v>132.08615597473366</v>
      </c>
      <c r="U41" s="7">
        <f t="shared" si="77"/>
        <v>1.6135672461409498</v>
      </c>
      <c r="V41" s="4">
        <f t="shared" si="78"/>
        <v>0.24318154441403794</v>
      </c>
      <c r="W41" s="4">
        <f t="shared" si="18"/>
        <v>328.41414276076574</v>
      </c>
      <c r="X41" s="4">
        <f t="shared" si="65"/>
        <v>10.028960256166165</v>
      </c>
      <c r="Y41" s="4">
        <f t="shared" si="66"/>
        <v>7.4210729868635088</v>
      </c>
      <c r="Z41" s="4">
        <f t="shared" si="67"/>
        <v>5.8421562506966485</v>
      </c>
      <c r="AA41" s="4">
        <f t="shared" si="19"/>
        <v>1.7166538904142219</v>
      </c>
      <c r="AB41" s="4">
        <f t="shared" si="69"/>
        <v>1.3182539682539682</v>
      </c>
      <c r="AC41" s="4">
        <f t="shared" si="70"/>
        <v>1.0216126350789694</v>
      </c>
      <c r="AD41" s="80">
        <f t="shared" si="71"/>
        <v>0.15054124173641092</v>
      </c>
      <c r="AE41" s="18">
        <f t="shared" si="74"/>
        <v>6.3458846831576612E-2</v>
      </c>
      <c r="AF41" s="18">
        <f t="shared" si="72"/>
        <v>1.4085584353661503E-2</v>
      </c>
      <c r="AG41" s="18">
        <f t="shared" si="73"/>
        <v>3.8218453358808517E-3</v>
      </c>
      <c r="AH41" s="80">
        <v>14.7</v>
      </c>
      <c r="AI41" s="80">
        <v>15.12</v>
      </c>
      <c r="AJ41" s="4"/>
      <c r="AK41" s="4"/>
    </row>
    <row r="42" spans="1:37">
      <c r="A42" s="50" t="s">
        <v>540</v>
      </c>
      <c r="B42" s="34" t="s">
        <v>562</v>
      </c>
      <c r="D42" t="s">
        <v>902</v>
      </c>
      <c r="E42" s="57" t="s">
        <v>23</v>
      </c>
      <c r="F42" s="57">
        <v>6</v>
      </c>
      <c r="G42" s="57">
        <v>9</v>
      </c>
      <c r="H42">
        <v>3.86</v>
      </c>
      <c r="I42">
        <v>365</v>
      </c>
      <c r="J42">
        <v>477</v>
      </c>
      <c r="K42">
        <v>119</v>
      </c>
      <c r="L42">
        <v>126</v>
      </c>
      <c r="M42">
        <v>100</v>
      </c>
      <c r="N42" s="4">
        <f t="shared" si="56"/>
        <v>204.98277511961723</v>
      </c>
      <c r="O42" s="4">
        <f t="shared" si="57"/>
        <v>206.55555555555554</v>
      </c>
      <c r="P42" s="4">
        <f t="shared" si="58"/>
        <v>214207</v>
      </c>
      <c r="Q42" s="4">
        <f t="shared" si="59"/>
        <v>127.1332799363997</v>
      </c>
      <c r="R42" s="4">
        <f t="shared" si="60"/>
        <v>130.23333333333332</v>
      </c>
      <c r="S42" s="7">
        <f t="shared" si="75"/>
        <v>205.7691653375864</v>
      </c>
      <c r="T42" s="7">
        <f t="shared" si="76"/>
        <v>128.68330663486651</v>
      </c>
      <c r="U42" s="7">
        <f t="shared" si="77"/>
        <v>1.5990354205106634</v>
      </c>
      <c r="V42" s="4">
        <f t="shared" si="78"/>
        <v>0.2412502147918886</v>
      </c>
      <c r="W42" s="4">
        <f t="shared" si="18"/>
        <v>319.45636400131701</v>
      </c>
      <c r="X42" s="4">
        <f t="shared" si="65"/>
        <v>9.8872779973165414</v>
      </c>
      <c r="Y42" s="4">
        <f t="shared" si="66"/>
        <v>7.3012378348917322</v>
      </c>
      <c r="Z42" s="4">
        <f t="shared" si="67"/>
        <v>5.7738760123442177</v>
      </c>
      <c r="AA42" s="4">
        <f t="shared" si="19"/>
        <v>1.7124160574591669</v>
      </c>
      <c r="AB42" s="4">
        <f t="shared" si="69"/>
        <v>1.3068493150684932</v>
      </c>
      <c r="AC42" s="4">
        <f t="shared" si="70"/>
        <v>1.0042016806722689</v>
      </c>
      <c r="AD42" s="4">
        <f t="shared" si="71"/>
        <v>0.12959414051255269</v>
      </c>
      <c r="AE42" s="18">
        <f t="shared" si="74"/>
        <v>5.4410288242135139E-2</v>
      </c>
      <c r="AF42" s="18">
        <f t="shared" si="72"/>
        <v>1.2045281855127833E-2</v>
      </c>
      <c r="AG42" s="18">
        <f t="shared" si="73"/>
        <v>3.8217106857531295E-3</v>
      </c>
      <c r="AH42" s="4">
        <v>13.9</v>
      </c>
      <c r="AI42" s="4">
        <v>13.9</v>
      </c>
    </row>
    <row r="43" spans="1:37">
      <c r="A43" s="73" t="s">
        <v>540</v>
      </c>
      <c r="B43" s="34" t="s">
        <v>563</v>
      </c>
      <c r="D43" t="s">
        <v>902</v>
      </c>
      <c r="E43" s="57" t="s">
        <v>23</v>
      </c>
      <c r="F43" s="57">
        <v>6</v>
      </c>
      <c r="G43" s="57">
        <v>9</v>
      </c>
      <c r="H43">
        <v>3.45</v>
      </c>
      <c r="I43">
        <v>326</v>
      </c>
      <c r="J43">
        <v>457</v>
      </c>
      <c r="K43">
        <v>116</v>
      </c>
      <c r="L43">
        <v>99</v>
      </c>
      <c r="M43">
        <v>77</v>
      </c>
      <c r="N43" s="4">
        <f t="shared" si="56"/>
        <v>176.88360814742967</v>
      </c>
      <c r="O43" s="4">
        <f t="shared" si="57"/>
        <v>179.44444444444446</v>
      </c>
      <c r="P43" s="4">
        <f t="shared" si="58"/>
        <v>182367</v>
      </c>
      <c r="Q43" s="4">
        <f t="shared" si="59"/>
        <v>122.65011398657755</v>
      </c>
      <c r="R43" s="4">
        <f t="shared" si="60"/>
        <v>126.16666666666667</v>
      </c>
      <c r="S43" s="7">
        <f t="shared" si="75"/>
        <v>178.16402629593705</v>
      </c>
      <c r="T43" s="7">
        <f t="shared" si="76"/>
        <v>124.40839032662211</v>
      </c>
      <c r="U43" s="7">
        <f t="shared" si="77"/>
        <v>1.4320901172998441</v>
      </c>
      <c r="V43" s="4">
        <f t="shared" si="78"/>
        <v>0.21678182941283997</v>
      </c>
      <c r="W43" s="4">
        <f t="shared" si="18"/>
        <v>302.75573755186781</v>
      </c>
      <c r="X43" s="4">
        <f t="shared" si="65"/>
        <v>9.9861045496601886</v>
      </c>
      <c r="Y43" s="4">
        <f t="shared" si="66"/>
        <v>7.1862192251868802</v>
      </c>
      <c r="Z43" s="4">
        <f t="shared" si="67"/>
        <v>6.0050314731251655</v>
      </c>
      <c r="AA43" s="4">
        <f t="shared" si="19"/>
        <v>1.662956238339776</v>
      </c>
      <c r="AB43" s="4">
        <f t="shared" si="69"/>
        <v>1.4018404907975459</v>
      </c>
      <c r="AC43" s="4">
        <f t="shared" si="70"/>
        <v>0.97844827586206895</v>
      </c>
      <c r="AD43" s="4">
        <f t="shared" si="71"/>
        <v>0.15783461158747247</v>
      </c>
      <c r="AE43" s="18">
        <f t="shared" si="74"/>
        <v>6.4823042366920144E-2</v>
      </c>
      <c r="AF43" s="18">
        <f t="shared" si="72"/>
        <v>1.4133100954271467E-2</v>
      </c>
      <c r="AG43" s="18">
        <f t="shared" si="73"/>
        <v>7.1867378343851073E-3</v>
      </c>
      <c r="AH43" s="4"/>
      <c r="AI43" s="4"/>
    </row>
    <row r="44" spans="1:37">
      <c r="A44" s="73" t="s">
        <v>540</v>
      </c>
      <c r="B44" s="34" t="s">
        <v>564</v>
      </c>
      <c r="D44" t="s">
        <v>902</v>
      </c>
      <c r="E44" s="57" t="s">
        <v>23</v>
      </c>
      <c r="F44" s="57">
        <v>6</v>
      </c>
      <c r="G44" s="57">
        <v>9</v>
      </c>
      <c r="H44">
        <v>3.94</v>
      </c>
      <c r="I44">
        <v>390</v>
      </c>
      <c r="J44">
        <v>510</v>
      </c>
      <c r="K44">
        <v>128</v>
      </c>
      <c r="L44">
        <v>137</v>
      </c>
      <c r="M44">
        <v>98</v>
      </c>
      <c r="N44" s="4">
        <f t="shared" si="56"/>
        <v>216.07099567099567</v>
      </c>
      <c r="O44" s="4">
        <f t="shared" si="57"/>
        <v>217.33333333333334</v>
      </c>
      <c r="P44" s="4">
        <f t="shared" si="58"/>
        <v>249562</v>
      </c>
      <c r="Q44" s="4">
        <f t="shared" si="59"/>
        <v>136.38683024422892</v>
      </c>
      <c r="R44" s="4">
        <f t="shared" si="60"/>
        <v>140.30000000000001</v>
      </c>
      <c r="S44" s="7">
        <f t="shared" si="75"/>
        <v>216.70216450216452</v>
      </c>
      <c r="T44" s="7">
        <f t="shared" si="76"/>
        <v>138.34341512211446</v>
      </c>
      <c r="U44" s="7">
        <f t="shared" si="77"/>
        <v>1.566407510692746</v>
      </c>
      <c r="V44" s="4">
        <f t="shared" si="78"/>
        <v>0.23680620618738663</v>
      </c>
      <c r="W44" s="4">
        <f t="shared" si="18"/>
        <v>342.2079888163783</v>
      </c>
      <c r="X44" s="4">
        <f t="shared" si="65"/>
        <v>10.090454494797864</v>
      </c>
      <c r="Y44" s="4">
        <f t="shared" si="66"/>
        <v>7.4162355252534695</v>
      </c>
      <c r="Z44" s="4">
        <f t="shared" si="67"/>
        <v>5.9255836766656254</v>
      </c>
      <c r="AA44" s="4">
        <f t="shared" si="19"/>
        <v>1.7028625440786698</v>
      </c>
      <c r="AB44" s="4">
        <f t="shared" si="69"/>
        <v>1.3076923076923077</v>
      </c>
      <c r="AC44" s="4">
        <f t="shared" si="70"/>
        <v>0.98828125</v>
      </c>
      <c r="AD44" s="4">
        <f t="shared" si="71"/>
        <v>0.14930072600833011</v>
      </c>
      <c r="AE44" s="18">
        <f t="shared" si="74"/>
        <v>6.3521108180802047E-2</v>
      </c>
      <c r="AF44" s="18">
        <f t="shared" si="72"/>
        <v>1.4142956324726313E-2</v>
      </c>
      <c r="AG44" s="18">
        <f t="shared" si="73"/>
        <v>2.9126097222832831E-3</v>
      </c>
      <c r="AH44" s="4"/>
      <c r="AI44" s="4"/>
    </row>
    <row r="45" spans="1:37">
      <c r="A45" s="73" t="s">
        <v>540</v>
      </c>
      <c r="B45" s="34" t="s">
        <v>906</v>
      </c>
      <c r="D45" t="s">
        <v>902</v>
      </c>
      <c r="E45" s="57" t="s">
        <v>23</v>
      </c>
      <c r="F45" s="57">
        <v>6</v>
      </c>
      <c r="G45" s="57">
        <v>9</v>
      </c>
      <c r="H45" s="4">
        <v>4</v>
      </c>
      <c r="I45">
        <v>307</v>
      </c>
      <c r="J45">
        <v>522</v>
      </c>
      <c r="K45">
        <v>134</v>
      </c>
      <c r="L45">
        <v>82</v>
      </c>
      <c r="M45">
        <v>98</v>
      </c>
      <c r="N45" s="4">
        <f t="shared" si="56"/>
        <v>176.6090297790586</v>
      </c>
      <c r="O45" s="4">
        <f t="shared" si="57"/>
        <v>188</v>
      </c>
      <c r="P45" s="4">
        <f t="shared" si="58"/>
        <v>183850</v>
      </c>
      <c r="Q45" s="4">
        <f t="shared" si="59"/>
        <v>128.73794680825861</v>
      </c>
      <c r="R45" s="4">
        <f t="shared" si="60"/>
        <v>133.30000000000001</v>
      </c>
      <c r="S45" s="7">
        <f t="shared" si="75"/>
        <v>182.30451488952929</v>
      </c>
      <c r="T45" s="7">
        <f t="shared" si="76"/>
        <v>131.01897340412933</v>
      </c>
      <c r="U45" s="7">
        <f t="shared" si="77"/>
        <v>1.3914359894059709</v>
      </c>
      <c r="V45" s="4">
        <f t="shared" si="78"/>
        <v>0.21010616120775355</v>
      </c>
      <c r="W45" s="4">
        <f t="shared" si="18"/>
        <v>317.09373390290341</v>
      </c>
      <c r="X45" s="4">
        <f t="shared" si="65"/>
        <v>9.4471752316283464</v>
      </c>
      <c r="Y45" s="4">
        <f t="shared" si="66"/>
        <v>6.7510094595091719</v>
      </c>
      <c r="Z45" s="4">
        <f t="shared" si="67"/>
        <v>5.7231759846288437</v>
      </c>
      <c r="AA45" s="4">
        <f t="shared" si="19"/>
        <v>1.6506875303155664</v>
      </c>
      <c r="AB45" s="4">
        <f t="shared" si="69"/>
        <v>1.7003257328990229</v>
      </c>
      <c r="AC45" s="4">
        <f t="shared" si="70"/>
        <v>0.83955223880597019</v>
      </c>
      <c r="AD45" s="4">
        <f t="shared" si="71"/>
        <v>0.24168193390765413</v>
      </c>
      <c r="AE45" s="18">
        <f t="shared" si="74"/>
        <v>9.9849924219838265E-2</v>
      </c>
      <c r="AF45" s="18">
        <f t="shared" si="72"/>
        <v>1.7409895197658509E-2</v>
      </c>
      <c r="AG45" s="18">
        <f t="shared" si="73"/>
        <v>3.1241602073991317E-2</v>
      </c>
      <c r="AH45" s="4"/>
      <c r="AI45" s="4"/>
    </row>
    <row r="46" spans="1:37">
      <c r="A46" s="73" t="s">
        <v>904</v>
      </c>
      <c r="B46" s="34" t="s">
        <v>905</v>
      </c>
      <c r="D46" t="s">
        <v>902</v>
      </c>
      <c r="E46" s="57" t="s">
        <v>23</v>
      </c>
      <c r="F46" s="57">
        <v>6</v>
      </c>
      <c r="G46" s="57">
        <v>9</v>
      </c>
      <c r="H46">
        <v>3.97</v>
      </c>
      <c r="I46">
        <v>270</v>
      </c>
      <c r="J46">
        <v>520</v>
      </c>
      <c r="K46">
        <v>138</v>
      </c>
      <c r="L46">
        <v>77</v>
      </c>
      <c r="M46">
        <v>114</v>
      </c>
      <c r="N46" s="4">
        <f t="shared" si="56"/>
        <v>165.89473684210526</v>
      </c>
      <c r="O46" s="4">
        <f t="shared" si="57"/>
        <v>185.55555555555554</v>
      </c>
      <c r="P46" s="4">
        <f t="shared" si="58"/>
        <v>154448</v>
      </c>
      <c r="Q46" s="4">
        <f t="shared" si="59"/>
        <v>117.85056771090294</v>
      </c>
      <c r="R46" s="4">
        <f t="shared" si="60"/>
        <v>124.83333333333333</v>
      </c>
      <c r="S46" s="7">
        <f>0.5*(N46+O46)</f>
        <v>175.7251461988304</v>
      </c>
      <c r="T46" s="7">
        <f>0.5*(Q46+R46)</f>
        <v>121.34195052211814</v>
      </c>
      <c r="U46" s="7">
        <f>S46/T46</f>
        <v>1.4481813209916987</v>
      </c>
      <c r="V46" s="4">
        <f>(3*S46-2*T46)/(2*(3*S46+T46))</f>
        <v>0.21933994548619834</v>
      </c>
      <c r="W46" s="4">
        <f t="shared" si="18"/>
        <v>295.91417466965703</v>
      </c>
      <c r="X46" s="4">
        <f t="shared" si="65"/>
        <v>9.2204243437329065</v>
      </c>
      <c r="Y46" s="4">
        <f t="shared" si="66"/>
        <v>6.6530640315017306</v>
      </c>
      <c r="Z46" s="4">
        <f t="shared" si="67"/>
        <v>5.5285371531201868</v>
      </c>
      <c r="AA46" s="4">
        <f>X46/Z46</f>
        <v>1.6677873528495868</v>
      </c>
      <c r="AB46" s="4">
        <f t="shared" si="69"/>
        <v>1.9259259259259258</v>
      </c>
      <c r="AC46" s="4">
        <f t="shared" si="70"/>
        <v>0.69927536231884058</v>
      </c>
      <c r="AD46" s="4">
        <f t="shared" si="71"/>
        <v>0.41476888775406806</v>
      </c>
      <c r="AE46" s="18">
        <f t="shared" si="74"/>
        <v>0.1706198991470666</v>
      </c>
      <c r="AF46" s="18">
        <f t="shared" si="72"/>
        <v>2.8773089572009056E-2</v>
      </c>
      <c r="AG46" s="18">
        <f t="shared" si="73"/>
        <v>5.5941961462943834E-2</v>
      </c>
      <c r="AH46" s="4"/>
      <c r="AI46" s="4"/>
    </row>
    <row r="47" spans="1:37">
      <c r="A47" s="74" t="s">
        <v>556</v>
      </c>
      <c r="B47" s="34" t="s">
        <v>905</v>
      </c>
      <c r="D47" t="s">
        <v>902</v>
      </c>
      <c r="E47" s="57" t="s">
        <v>23</v>
      </c>
      <c r="F47" s="57">
        <v>6</v>
      </c>
      <c r="G47" s="57">
        <v>9</v>
      </c>
      <c r="I47">
        <v>333</v>
      </c>
      <c r="J47">
        <v>541</v>
      </c>
      <c r="K47">
        <v>147</v>
      </c>
      <c r="L47">
        <v>108</v>
      </c>
      <c r="M47">
        <v>109</v>
      </c>
      <c r="N47" s="4">
        <f t="shared" si="56"/>
        <v>197.62557497700092</v>
      </c>
      <c r="O47" s="4">
        <f t="shared" si="57"/>
        <v>206.55555555555554</v>
      </c>
      <c r="P47" s="4">
        <f t="shared" si="58"/>
        <v>214819</v>
      </c>
      <c r="Q47" s="4">
        <f t="shared" si="59"/>
        <v>134.58074286077181</v>
      </c>
      <c r="R47" s="4">
        <f t="shared" si="60"/>
        <v>140.03333333333333</v>
      </c>
      <c r="S47" s="7">
        <f t="shared" si="75"/>
        <v>202.09056526627825</v>
      </c>
      <c r="T47" s="7">
        <f t="shared" si="76"/>
        <v>137.30703809705255</v>
      </c>
      <c r="U47" s="7">
        <f t="shared" si="77"/>
        <v>1.4718150509039081</v>
      </c>
      <c r="V47" s="4">
        <f t="shared" si="78"/>
        <v>0.22301445999339656</v>
      </c>
      <c r="W47" s="4">
        <f t="shared" si="18"/>
        <v>335.85698610311886</v>
      </c>
      <c r="X47" s="4" t="e">
        <f t="shared" si="65"/>
        <v>#DIV/0!</v>
      </c>
      <c r="Y47" s="4" t="e">
        <f t="shared" si="66"/>
        <v>#DIV/0!</v>
      </c>
      <c r="Z47" s="4" t="e">
        <f t="shared" si="67"/>
        <v>#DIV/0!</v>
      </c>
      <c r="AA47" s="4" t="e">
        <f t="shared" si="19"/>
        <v>#DIV/0!</v>
      </c>
      <c r="AB47" s="4">
        <f t="shared" si="69"/>
        <v>1.6246246246246245</v>
      </c>
      <c r="AC47" s="4">
        <f t="shared" si="70"/>
        <v>0.76530612244897955</v>
      </c>
      <c r="AD47" s="4">
        <f t="shared" si="71"/>
        <v>0.24776328089624755</v>
      </c>
      <c r="AE47" s="18">
        <f t="shared" si="74"/>
        <v>9.9197176361402087E-2</v>
      </c>
      <c r="AF47" s="18">
        <f t="shared" si="72"/>
        <v>1.9855466071256586E-2</v>
      </c>
      <c r="AG47" s="18">
        <f t="shared" si="73"/>
        <v>2.2094006632096638E-2</v>
      </c>
      <c r="AH47" s="4"/>
      <c r="AI47" s="4"/>
    </row>
    <row r="48" spans="1:37">
      <c r="A48" s="74" t="s">
        <v>561</v>
      </c>
      <c r="B48" s="34" t="s">
        <v>905</v>
      </c>
      <c r="D48" t="s">
        <v>902</v>
      </c>
      <c r="E48" s="57" t="s">
        <v>23</v>
      </c>
      <c r="F48" s="57">
        <v>6</v>
      </c>
      <c r="G48" s="57">
        <v>9</v>
      </c>
      <c r="I48">
        <v>420</v>
      </c>
      <c r="J48">
        <v>613</v>
      </c>
      <c r="K48">
        <v>171</v>
      </c>
      <c r="L48">
        <v>153</v>
      </c>
      <c r="M48">
        <v>142</v>
      </c>
      <c r="N48" s="4">
        <f t="shared" si="56"/>
        <v>252.57595450852966</v>
      </c>
      <c r="O48" s="4">
        <f t="shared" si="57"/>
        <v>258.55555555555554</v>
      </c>
      <c r="P48" s="4">
        <f t="shared" si="58"/>
        <v>310921</v>
      </c>
      <c r="Q48" s="4">
        <f t="shared" si="59"/>
        <v>157.89478334846956</v>
      </c>
      <c r="R48" s="4">
        <f t="shared" si="60"/>
        <v>162.83333333333334</v>
      </c>
      <c r="S48" s="7">
        <f t="shared" si="75"/>
        <v>255.5657550320426</v>
      </c>
      <c r="T48" s="7">
        <f t="shared" si="76"/>
        <v>160.36405834090147</v>
      </c>
      <c r="U48" s="7">
        <f t="shared" si="77"/>
        <v>1.5936598117812761</v>
      </c>
      <c r="V48" s="4">
        <f t="shared" si="78"/>
        <v>0.24052839717275584</v>
      </c>
      <c r="W48" s="4">
        <f t="shared" si="18"/>
        <v>397.87233651551361</v>
      </c>
      <c r="X48" s="4" t="e">
        <f t="shared" si="65"/>
        <v>#DIV/0!</v>
      </c>
      <c r="Y48" s="4" t="e">
        <f t="shared" si="66"/>
        <v>#DIV/0!</v>
      </c>
      <c r="Z48" s="4" t="e">
        <f t="shared" si="67"/>
        <v>#DIV/0!</v>
      </c>
      <c r="AA48" s="4" t="e">
        <f t="shared" si="19"/>
        <v>#DIV/0!</v>
      </c>
      <c r="AB48" s="4">
        <f t="shared" si="69"/>
        <v>1.4595238095238094</v>
      </c>
      <c r="AC48" s="4">
        <f t="shared" si="70"/>
        <v>0.7807017543859649</v>
      </c>
      <c r="AD48" s="4">
        <f t="shared" si="71"/>
        <v>0.18006183691521116</v>
      </c>
      <c r="AE48" s="18">
        <f t="shared" si="74"/>
        <v>7.273355173068051E-2</v>
      </c>
      <c r="AF48" s="18">
        <f t="shared" si="72"/>
        <v>1.5397932791041706E-2</v>
      </c>
      <c r="AG48" s="18">
        <f t="shared" si="73"/>
        <v>1.1698752530980067E-2</v>
      </c>
      <c r="AH48" s="4"/>
      <c r="AI48" s="4"/>
    </row>
    <row r="49" spans="1:37">
      <c r="A49" s="74" t="s">
        <v>557</v>
      </c>
      <c r="B49" s="34" t="s">
        <v>905</v>
      </c>
      <c r="D49" t="s">
        <v>902</v>
      </c>
      <c r="E49" s="57" t="s">
        <v>23</v>
      </c>
      <c r="F49" s="57">
        <v>6</v>
      </c>
      <c r="G49" s="57">
        <v>9</v>
      </c>
      <c r="I49">
        <v>518</v>
      </c>
      <c r="J49">
        <v>703</v>
      </c>
      <c r="K49">
        <v>197</v>
      </c>
      <c r="L49">
        <v>215</v>
      </c>
      <c r="M49">
        <v>185</v>
      </c>
      <c r="N49" s="4">
        <f t="shared" si="56"/>
        <v>319.40600428877769</v>
      </c>
      <c r="O49" s="4">
        <f t="shared" si="57"/>
        <v>323.22222222222223</v>
      </c>
      <c r="P49" s="4">
        <f t="shared" si="58"/>
        <v>446849</v>
      </c>
      <c r="Q49" s="4">
        <f t="shared" si="59"/>
        <v>180.54697482111359</v>
      </c>
      <c r="R49" s="4">
        <f t="shared" si="60"/>
        <v>186.03333333333333</v>
      </c>
      <c r="S49" s="7">
        <f t="shared" si="75"/>
        <v>321.31411325549993</v>
      </c>
      <c r="T49" s="7">
        <f t="shared" si="76"/>
        <v>183.29015407722346</v>
      </c>
      <c r="U49" s="7">
        <f t="shared" si="77"/>
        <v>1.7530353164530839</v>
      </c>
      <c r="V49" s="4">
        <f t="shared" si="78"/>
        <v>0.26034915974644018</v>
      </c>
      <c r="W49" s="4">
        <f t="shared" si="18"/>
        <v>462.0191833620483</v>
      </c>
      <c r="X49" s="4" t="e">
        <f t="shared" si="65"/>
        <v>#DIV/0!</v>
      </c>
      <c r="Y49" s="4" t="e">
        <f t="shared" si="66"/>
        <v>#DIV/0!</v>
      </c>
      <c r="Z49" s="4" t="e">
        <f t="shared" si="67"/>
        <v>#DIV/0!</v>
      </c>
      <c r="AA49" s="4" t="e">
        <f t="shared" si="19"/>
        <v>#DIV/0!</v>
      </c>
      <c r="AB49" s="4">
        <f t="shared" si="69"/>
        <v>1.3571428571428572</v>
      </c>
      <c r="AC49" s="4">
        <f t="shared" si="70"/>
        <v>0.76903553299492389</v>
      </c>
      <c r="AD49" s="4">
        <f t="shared" si="71"/>
        <v>0.1638850077973677</v>
      </c>
      <c r="AE49" s="18">
        <f t="shared" si="74"/>
        <v>6.7981971999690499E-2</v>
      </c>
      <c r="AF49" s="18">
        <f t="shared" si="72"/>
        <v>1.496632085842493E-2</v>
      </c>
      <c r="AG49" s="18">
        <f t="shared" si="73"/>
        <v>5.9384536439735921E-3</v>
      </c>
      <c r="AH49" s="4"/>
      <c r="AI49" s="4"/>
    </row>
    <row r="50" spans="1:37">
      <c r="A50" s="74" t="s">
        <v>558</v>
      </c>
      <c r="B50" s="34" t="s">
        <v>905</v>
      </c>
      <c r="D50" t="s">
        <v>902</v>
      </c>
      <c r="E50" s="57" t="s">
        <v>23</v>
      </c>
      <c r="F50" s="57">
        <v>6</v>
      </c>
      <c r="G50" s="57">
        <v>9</v>
      </c>
      <c r="I50">
        <v>632</v>
      </c>
      <c r="J50">
        <v>815</v>
      </c>
      <c r="K50">
        <v>229</v>
      </c>
      <c r="L50">
        <v>289</v>
      </c>
      <c r="M50">
        <v>244</v>
      </c>
      <c r="N50" s="4">
        <f t="shared" si="56"/>
        <v>400.97968253968253</v>
      </c>
      <c r="O50" s="4">
        <f t="shared" si="57"/>
        <v>403.66666666666669</v>
      </c>
      <c r="P50" s="4">
        <f t="shared" si="58"/>
        <v>631543</v>
      </c>
      <c r="Q50" s="4">
        <f t="shared" si="59"/>
        <v>206.35163841738438</v>
      </c>
      <c r="R50" s="4">
        <f t="shared" si="60"/>
        <v>212.7</v>
      </c>
      <c r="S50" s="7">
        <f t="shared" si="75"/>
        <v>402.32317460317461</v>
      </c>
      <c r="T50" s="7">
        <f t="shared" si="76"/>
        <v>209.52581920869218</v>
      </c>
      <c r="U50" s="7">
        <f t="shared" si="77"/>
        <v>1.9201603703190973</v>
      </c>
      <c r="V50" s="4">
        <f t="shared" si="78"/>
        <v>0.27812229996932891</v>
      </c>
      <c r="W50" s="4">
        <f t="shared" si="18"/>
        <v>535.59924389994296</v>
      </c>
      <c r="X50" s="4" t="e">
        <f t="shared" si="65"/>
        <v>#DIV/0!</v>
      </c>
      <c r="Y50" s="4" t="e">
        <f t="shared" si="66"/>
        <v>#DIV/0!</v>
      </c>
      <c r="Z50" s="4" t="e">
        <f t="shared" si="67"/>
        <v>#DIV/0!</v>
      </c>
      <c r="AA50" s="4" t="e">
        <f t="shared" si="19"/>
        <v>#DIV/0!</v>
      </c>
      <c r="AB50" s="4">
        <f t="shared" si="69"/>
        <v>1.2895569620253164</v>
      </c>
      <c r="AC50" s="4">
        <f t="shared" si="70"/>
        <v>0.74890829694323147</v>
      </c>
      <c r="AD50" s="4">
        <f t="shared" si="71"/>
        <v>0.16052491957451753</v>
      </c>
      <c r="AE50" s="18">
        <f t="shared" si="74"/>
        <v>6.8083521322601454E-2</v>
      </c>
      <c r="AF50" s="18">
        <f t="shared" si="72"/>
        <v>1.514935392351934E-2</v>
      </c>
      <c r="AG50" s="18">
        <f t="shared" si="73"/>
        <v>3.3393355101087869E-3</v>
      </c>
      <c r="AH50" s="4"/>
      <c r="AI50" s="4"/>
    </row>
    <row r="51" spans="1:37">
      <c r="A51" s="74" t="s">
        <v>559</v>
      </c>
      <c r="B51" s="34" t="s">
        <v>905</v>
      </c>
      <c r="D51" t="s">
        <v>902</v>
      </c>
      <c r="E51" s="57" t="s">
        <v>23</v>
      </c>
      <c r="F51" s="57">
        <v>6</v>
      </c>
      <c r="G51" s="57">
        <v>9</v>
      </c>
      <c r="I51">
        <v>760</v>
      </c>
      <c r="J51">
        <v>950</v>
      </c>
      <c r="K51">
        <v>269</v>
      </c>
      <c r="L51">
        <v>384</v>
      </c>
      <c r="M51">
        <v>322</v>
      </c>
      <c r="N51" s="4">
        <f t="shared" si="56"/>
        <v>500.81548974943053</v>
      </c>
      <c r="O51" s="4">
        <f t="shared" si="57"/>
        <v>502.88888888888891</v>
      </c>
      <c r="P51" s="4">
        <f t="shared" si="58"/>
        <v>879432</v>
      </c>
      <c r="Q51" s="4">
        <f t="shared" si="59"/>
        <v>232.5122368051066</v>
      </c>
      <c r="R51" s="4">
        <f t="shared" si="60"/>
        <v>241.33333333333334</v>
      </c>
      <c r="S51" s="7">
        <f t="shared" si="75"/>
        <v>501.85218931915972</v>
      </c>
      <c r="T51" s="7">
        <f t="shared" si="76"/>
        <v>236.92278506921997</v>
      </c>
      <c r="U51" s="7">
        <f t="shared" si="77"/>
        <v>2.1182099018992084</v>
      </c>
      <c r="V51" s="4">
        <f t="shared" si="78"/>
        <v>0.29604683579950308</v>
      </c>
      <c r="W51" s="4">
        <f t="shared" si="18"/>
        <v>614.1260518355366</v>
      </c>
      <c r="X51" s="4" t="e">
        <f t="shared" si="65"/>
        <v>#DIV/0!</v>
      </c>
      <c r="Y51" s="4" t="e">
        <f t="shared" si="66"/>
        <v>#DIV/0!</v>
      </c>
      <c r="Z51" s="4" t="e">
        <f t="shared" si="67"/>
        <v>#DIV/0!</v>
      </c>
      <c r="AA51" s="4" t="e">
        <f t="shared" si="19"/>
        <v>#DIV/0!</v>
      </c>
      <c r="AB51" s="4">
        <f t="shared" si="69"/>
        <v>1.25</v>
      </c>
      <c r="AC51" s="4">
        <f t="shared" si="70"/>
        <v>0.6988847583643123</v>
      </c>
      <c r="AD51" s="4">
        <f t="shared" si="71"/>
        <v>0.19383106284833129</v>
      </c>
      <c r="AE51" s="18">
        <f t="shared" si="74"/>
        <v>8.3365222713438089E-2</v>
      </c>
      <c r="AF51" s="18">
        <f t="shared" si="72"/>
        <v>1.8615973397513357E-2</v>
      </c>
      <c r="AG51" s="18">
        <f t="shared" si="73"/>
        <v>2.0657468310253616E-3</v>
      </c>
      <c r="AH51" s="4"/>
      <c r="AI51" s="4"/>
    </row>
    <row r="52" spans="1:37">
      <c r="A52" s="74" t="s">
        <v>560</v>
      </c>
      <c r="B52" s="34" t="s">
        <v>905</v>
      </c>
      <c r="D52" t="s">
        <v>902</v>
      </c>
      <c r="E52" s="57" t="s">
        <v>23</v>
      </c>
      <c r="F52" s="57">
        <v>6</v>
      </c>
      <c r="G52" s="57">
        <v>9</v>
      </c>
      <c r="I52">
        <v>925</v>
      </c>
      <c r="J52">
        <v>1122</v>
      </c>
      <c r="K52">
        <v>319</v>
      </c>
      <c r="L52">
        <v>504</v>
      </c>
      <c r="M52">
        <v>428</v>
      </c>
      <c r="N52" s="4">
        <f t="shared" si="56"/>
        <v>630.78531361550233</v>
      </c>
      <c r="O52" s="4">
        <f t="shared" si="57"/>
        <v>632.44444444444446</v>
      </c>
      <c r="P52" s="4">
        <f t="shared" si="58"/>
        <v>1236970</v>
      </c>
      <c r="Q52" s="4">
        <f t="shared" si="59"/>
        <v>265.41403586179331</v>
      </c>
      <c r="R52" s="4">
        <f t="shared" si="60"/>
        <v>277.16666666666669</v>
      </c>
      <c r="S52" s="7">
        <f t="shared" si="75"/>
        <v>631.61487902997339</v>
      </c>
      <c r="T52" s="7">
        <f t="shared" si="76"/>
        <v>271.29035126423003</v>
      </c>
      <c r="U52" s="7">
        <f t="shared" si="77"/>
        <v>2.3281877740458095</v>
      </c>
      <c r="V52" s="4">
        <f t="shared" si="78"/>
        <v>0.3121375033946806</v>
      </c>
      <c r="W52" s="4">
        <f t="shared" si="18"/>
        <v>711.94048840582548</v>
      </c>
      <c r="X52" s="4" t="e">
        <f t="shared" si="65"/>
        <v>#DIV/0!</v>
      </c>
      <c r="Y52" s="4" t="e">
        <f t="shared" si="66"/>
        <v>#DIV/0!</v>
      </c>
      <c r="Z52" s="4" t="e">
        <f t="shared" si="67"/>
        <v>#DIV/0!</v>
      </c>
      <c r="AA52" s="4" t="e">
        <f t="shared" si="19"/>
        <v>#DIV/0!</v>
      </c>
      <c r="AB52" s="4">
        <f t="shared" si="69"/>
        <v>1.212972972972973</v>
      </c>
      <c r="AC52" s="4">
        <f t="shared" si="70"/>
        <v>0.65987460815047017</v>
      </c>
      <c r="AD52" s="4">
        <f t="shared" si="71"/>
        <v>0.22403209522569512</v>
      </c>
      <c r="AE52" s="18">
        <f t="shared" si="74"/>
        <v>9.6919965347110421E-2</v>
      </c>
      <c r="AF52" s="18">
        <f t="shared" si="72"/>
        <v>2.1660613343057321E-2</v>
      </c>
      <c r="AG52" s="18">
        <f t="shared" si="73"/>
        <v>1.3134038510066437E-3</v>
      </c>
      <c r="AH52" s="4"/>
      <c r="AI52" s="4"/>
    </row>
    <row r="53" spans="1:37">
      <c r="A53" s="74"/>
      <c r="B53" s="34"/>
      <c r="N53" s="4"/>
      <c r="O53" s="4"/>
      <c r="P53" s="4"/>
      <c r="Q53" s="4"/>
      <c r="R53" s="4"/>
      <c r="S53" s="7"/>
      <c r="T53" s="7"/>
      <c r="U53" s="7"/>
      <c r="V53" s="4"/>
      <c r="W53" s="4"/>
      <c r="X53" s="4"/>
      <c r="Y53" s="4"/>
      <c r="Z53" s="4"/>
      <c r="AA53" s="4"/>
      <c r="AB53" s="4"/>
      <c r="AC53" s="4"/>
      <c r="AD53" s="4"/>
      <c r="AE53" s="18" t="e">
        <f t="shared" si="74"/>
        <v>#DIV/0!</v>
      </c>
      <c r="AF53" s="18"/>
      <c r="AG53" s="18"/>
      <c r="AH53" s="4"/>
      <c r="AI53" s="4"/>
    </row>
    <row r="54" spans="1:37" ht="14.7">
      <c r="A54" s="50" t="s">
        <v>543</v>
      </c>
      <c r="B54" s="2" t="s">
        <v>537</v>
      </c>
      <c r="C54" s="40" t="s">
        <v>519</v>
      </c>
      <c r="D54" s="2" t="s">
        <v>909</v>
      </c>
      <c r="E54" s="57" t="s">
        <v>15</v>
      </c>
      <c r="F54" s="57">
        <v>6</v>
      </c>
      <c r="G54" s="57">
        <v>9</v>
      </c>
      <c r="H54" s="76">
        <v>2.5333999999999999</v>
      </c>
      <c r="I54">
        <v>117</v>
      </c>
      <c r="J54">
        <v>110</v>
      </c>
      <c r="K54">
        <v>36</v>
      </c>
      <c r="L54">
        <v>16</v>
      </c>
      <c r="M54">
        <v>33</v>
      </c>
      <c r="N54" s="4">
        <f>((I54+L54)*J54-2*M54*M54)/(I54+L54+2*J54-4*M54)</f>
        <v>56.343891402714931</v>
      </c>
      <c r="O54" s="4">
        <f>(2*I54+2*L54+4*M54+J54)/9</f>
        <v>56.444444444444443</v>
      </c>
      <c r="P54" s="4">
        <f>(I54+L54)*J54-2*M54*M54</f>
        <v>12452</v>
      </c>
      <c r="Q54" s="4">
        <f>5/2*(K54*0.5*(I54-L54)*P54)/((K54+0.5*(I54-L54))*P54+3*O54*K54*0.5*(I54-L54))</f>
        <v>40.863932600982274</v>
      </c>
      <c r="R54" s="4">
        <f>(I54+L54+2*J54-4*M54+12*K54+6*(I54-L54))/30</f>
        <v>41.966666666666669</v>
      </c>
      <c r="S54" s="7">
        <f t="shared" si="75"/>
        <v>56.394167923579687</v>
      </c>
      <c r="T54" s="7">
        <f t="shared" si="76"/>
        <v>41.415299633824475</v>
      </c>
      <c r="U54" s="7">
        <f t="shared" si="77"/>
        <v>1.3616747535860336</v>
      </c>
      <c r="V54" s="4">
        <f t="shared" si="78"/>
        <v>0.20501615664339573</v>
      </c>
      <c r="W54" s="4">
        <f t="shared" si="18"/>
        <v>99.81221038197161</v>
      </c>
      <c r="X54" s="4">
        <f>SQRT((S54+4/3*T54)/H54)</f>
        <v>6.6375614861017791</v>
      </c>
      <c r="Y54" s="4">
        <f>SQRT(S54/H54)</f>
        <v>4.7180790543111719</v>
      </c>
      <c r="Z54" s="4">
        <f>SQRT(T54/H54)</f>
        <v>4.0432306871224766</v>
      </c>
      <c r="AA54" s="4">
        <f t="shared" si="19"/>
        <v>1.6416479789892127</v>
      </c>
      <c r="AB54" s="4">
        <f>J54/I54</f>
        <v>0.94017094017094016</v>
      </c>
      <c r="AC54" s="4">
        <f>((I54-L54)/(2*K54))</f>
        <v>1.4027777777777777</v>
      </c>
      <c r="AD54" s="4">
        <f>5*R54/Q54 +O54/N54 -6</f>
        <v>0.13671218122990236</v>
      </c>
      <c r="AE54" s="18">
        <f t="shared" si="74"/>
        <v>5.9568311403726919E-2</v>
      </c>
      <c r="AF54" s="18">
        <f>(R54-Q54)/(R54+Q54)</f>
        <v>1.3313124321618765E-2</v>
      </c>
      <c r="AG54" s="18">
        <f>(O54-N54)/(O54+N54)</f>
        <v>8.9151986306254592E-4</v>
      </c>
      <c r="AH54" s="4"/>
      <c r="AI54" s="4"/>
      <c r="AJ54" s="4">
        <v>5.6959999999999997E-2</v>
      </c>
      <c r="AK54" s="4">
        <v>0.30869999999999997</v>
      </c>
    </row>
    <row r="55" spans="1:37" ht="14.7">
      <c r="A55" s="50" t="s">
        <v>543</v>
      </c>
      <c r="B55" s="2" t="s">
        <v>537</v>
      </c>
      <c r="C55" t="s">
        <v>519</v>
      </c>
      <c r="E55" s="57" t="s">
        <v>23</v>
      </c>
      <c r="F55" s="57">
        <v>6</v>
      </c>
      <c r="G55" s="57">
        <v>9</v>
      </c>
      <c r="N55" s="4"/>
      <c r="O55" s="4"/>
      <c r="P55" s="4"/>
      <c r="Q55" s="4"/>
      <c r="R55" s="4"/>
      <c r="S55" s="7"/>
      <c r="T55" s="7"/>
      <c r="U55" s="7"/>
      <c r="V55" s="4"/>
      <c r="W55" s="4"/>
      <c r="X55" s="4"/>
      <c r="Y55" s="4"/>
      <c r="Z55" s="4"/>
      <c r="AA55" s="4"/>
      <c r="AB55" s="4"/>
      <c r="AC55" s="4"/>
      <c r="AD55" s="4"/>
      <c r="AE55" s="18" t="e">
        <f t="shared" si="74"/>
        <v>#DIV/0!</v>
      </c>
      <c r="AF55" s="18"/>
      <c r="AG55" s="18"/>
      <c r="AH55" s="4"/>
      <c r="AI55" s="4"/>
      <c r="AJ55" s="13"/>
      <c r="AK55" s="13"/>
    </row>
    <row r="56" spans="1:37" ht="14.7">
      <c r="A56" s="74" t="s">
        <v>551</v>
      </c>
      <c r="B56" t="s">
        <v>538</v>
      </c>
      <c r="E56" s="57" t="s">
        <v>23</v>
      </c>
      <c r="F56" s="57">
        <v>6</v>
      </c>
      <c r="G56" s="57">
        <v>9</v>
      </c>
      <c r="H56">
        <v>2.57</v>
      </c>
      <c r="I56">
        <v>80.2</v>
      </c>
      <c r="J56">
        <v>77.7</v>
      </c>
      <c r="K56">
        <v>40.299999999999997</v>
      </c>
      <c r="L56" s="6">
        <v>-20.2</v>
      </c>
      <c r="M56">
        <v>4.0999999999999996</v>
      </c>
      <c r="N56" s="4">
        <f t="shared" ref="N56:N72" si="79">((I56+L56)*J56-2*M56*M56)/(I56+L56+2*J56-4*M56)</f>
        <v>23.25819095477387</v>
      </c>
      <c r="O56" s="4">
        <f t="shared" ref="O56:O72" si="80">(2*I56+2*L56+4*M56+J56)/9</f>
        <v>23.788888888888891</v>
      </c>
      <c r="P56" s="4">
        <f t="shared" ref="P56:P72" si="81">(I56+L56)*J56-2*M56*M56</f>
        <v>4628.38</v>
      </c>
      <c r="Q56" s="4">
        <f t="shared" ref="Q56:Q72" si="82">5/2*(K56*0.5*(I56-L56)*P56)/((K56+0.5*(I56-L56))*P56+3*O56*K56*0.5*(I56-L56))</f>
        <v>41.560288604975675</v>
      </c>
      <c r="R56" s="4">
        <f t="shared" ref="R56:R72" si="83">(I56+L56+2*J56-4*M56+12*K56+6*(I56-L56))/30</f>
        <v>42.833333333333336</v>
      </c>
      <c r="S56" s="7">
        <f t="shared" ref="S56:S80" si="84">0.5*(N56+O56)</f>
        <v>23.523539921831379</v>
      </c>
      <c r="T56" s="7">
        <f t="shared" ref="T56:T80" si="85">0.5*(Q56+R56)</f>
        <v>42.196810969154505</v>
      </c>
      <c r="U56" s="7">
        <f t="shared" ref="U56:U80" si="86">S56/T56</f>
        <v>0.55747198381950902</v>
      </c>
      <c r="V56" s="4">
        <f t="shared" ref="V56:V80" si="87">(3*S56-2*T56)/(2*(3*S56+T56))</f>
        <v>-6.1289869259066321E-2</v>
      </c>
      <c r="W56" s="4">
        <f t="shared" si="18"/>
        <v>79.221147883410978</v>
      </c>
      <c r="X56" s="4">
        <f t="shared" ref="X56:X72" si="88">SQRT((S56+4/3*T56)/H56)</f>
        <v>5.5718146506252753</v>
      </c>
      <c r="Y56" s="4">
        <f t="shared" ref="Y56:Y72" si="89">SQRT(S56/H56)</f>
        <v>3.0254137525722751</v>
      </c>
      <c r="Z56" s="4">
        <f t="shared" ref="Z56:Z72" si="90">SQRT(T56/H56)</f>
        <v>4.0520356112701865</v>
      </c>
      <c r="AA56" s="4">
        <f t="shared" si="19"/>
        <v>1.375065568310414</v>
      </c>
      <c r="AB56" s="4">
        <f t="shared" ref="AB56:AB72" si="91">J56/I56</f>
        <v>0.96882793017456359</v>
      </c>
      <c r="AC56" s="4">
        <f t="shared" ref="AC56:AC72" si="92">((I56-L56)/(2*K56))</f>
        <v>1.2456575682382136</v>
      </c>
      <c r="AD56" s="4">
        <f t="shared" ref="AD56:AD72" si="93">5*R56/Q56 +O56/N56 -6</f>
        <v>0.1759740658606308</v>
      </c>
      <c r="AE56" s="18">
        <f t="shared" si="74"/>
        <v>7.1137954580074714E-2</v>
      </c>
      <c r="AF56" s="18">
        <f t="shared" ref="AF56:AF72" si="94">(R56-Q56)/(R56+Q56)</f>
        <v>1.5084608281041016E-2</v>
      </c>
      <c r="AG56" s="18">
        <f t="shared" ref="AG56:AG72" si="95">(O56-N56)/(O56+N56)</f>
        <v>1.1280146097877459E-2</v>
      </c>
      <c r="AH56" s="4"/>
      <c r="AI56" s="4"/>
      <c r="AJ56" s="13"/>
      <c r="AK56" s="13"/>
    </row>
    <row r="57" spans="1:37" ht="14.7">
      <c r="A57" s="74">
        <v>578</v>
      </c>
      <c r="B57" t="s">
        <v>538</v>
      </c>
      <c r="E57" s="57" t="s">
        <v>23</v>
      </c>
      <c r="F57" s="57">
        <v>6</v>
      </c>
      <c r="G57" s="57">
        <v>9</v>
      </c>
      <c r="H57">
        <v>2.5649999999999999</v>
      </c>
      <c r="I57">
        <v>90.3</v>
      </c>
      <c r="J57">
        <v>77</v>
      </c>
      <c r="K57">
        <v>39.799999999999997</v>
      </c>
      <c r="L57" s="6">
        <v>-10</v>
      </c>
      <c r="M57">
        <v>14.7</v>
      </c>
      <c r="N57" s="4">
        <f t="shared" si="79"/>
        <v>32.768774928774924</v>
      </c>
      <c r="O57" s="4">
        <f t="shared" si="80"/>
        <v>32.93333333333333</v>
      </c>
      <c r="P57" s="4">
        <f t="shared" si="81"/>
        <v>5750.9199999999992</v>
      </c>
      <c r="Q57" s="4">
        <f t="shared" si="82"/>
        <v>40.163437867885506</v>
      </c>
      <c r="R57" s="4">
        <f t="shared" si="83"/>
        <v>41.83</v>
      </c>
      <c r="S57" s="7">
        <f t="shared" si="84"/>
        <v>32.851054131054127</v>
      </c>
      <c r="T57" s="7">
        <f t="shared" si="85"/>
        <v>40.996718933942752</v>
      </c>
      <c r="U57" s="7">
        <f t="shared" si="86"/>
        <v>0.80130934829166245</v>
      </c>
      <c r="V57" s="4">
        <f t="shared" si="87"/>
        <v>5.9332635641806304E-2</v>
      </c>
      <c r="W57" s="4">
        <f t="shared" si="18"/>
        <v>86.858324641919836</v>
      </c>
      <c r="X57" s="4">
        <f t="shared" si="88"/>
        <v>5.8410841086662808</v>
      </c>
      <c r="Y57" s="4">
        <f t="shared" si="89"/>
        <v>3.5787467794092689</v>
      </c>
      <c r="Z57" s="4">
        <f t="shared" si="90"/>
        <v>3.9978902298632666</v>
      </c>
      <c r="AA57" s="4">
        <f t="shared" si="19"/>
        <v>1.4610416426731292</v>
      </c>
      <c r="AB57" s="4">
        <f t="shared" si="91"/>
        <v>0.85271317829457371</v>
      </c>
      <c r="AC57" s="4">
        <f t="shared" si="92"/>
        <v>1.2600502512562815</v>
      </c>
      <c r="AD57" s="4">
        <f t="shared" si="93"/>
        <v>0.21249434996214056</v>
      </c>
      <c r="AE57" s="18">
        <f t="shared" si="74"/>
        <v>9.1049066901579795E-2</v>
      </c>
      <c r="AF57" s="18">
        <f t="shared" si="94"/>
        <v>2.0325555013314518E-2</v>
      </c>
      <c r="AG57" s="18">
        <f t="shared" si="95"/>
        <v>2.5046137621935346E-3</v>
      </c>
      <c r="AH57" s="4"/>
      <c r="AI57" s="4"/>
    </row>
    <row r="58" spans="1:37" ht="15.6">
      <c r="A58" s="74">
        <v>585</v>
      </c>
      <c r="B58" t="s">
        <v>539</v>
      </c>
      <c r="E58" s="57" t="s">
        <v>23</v>
      </c>
      <c r="F58" s="57">
        <v>6</v>
      </c>
      <c r="G58" s="57">
        <v>9</v>
      </c>
      <c r="H58">
        <v>2.5339999999999998</v>
      </c>
      <c r="I58">
        <v>96.7</v>
      </c>
      <c r="J58">
        <v>91.7</v>
      </c>
      <c r="K58">
        <v>35.5</v>
      </c>
      <c r="L58" s="6">
        <v>-2.5</v>
      </c>
      <c r="M58">
        <v>20.100000000000001</v>
      </c>
      <c r="N58" s="4">
        <f t="shared" si="79"/>
        <v>39.706490872210956</v>
      </c>
      <c r="O58" s="4">
        <f t="shared" si="80"/>
        <v>40.055555555555557</v>
      </c>
      <c r="P58" s="4">
        <f t="shared" si="81"/>
        <v>7830.1200000000008</v>
      </c>
      <c r="Q58" s="4">
        <f t="shared" si="82"/>
        <v>39.260627924623449</v>
      </c>
      <c r="R58" s="4">
        <f t="shared" si="83"/>
        <v>40.613333333333337</v>
      </c>
      <c r="S58" s="7">
        <f t="shared" si="84"/>
        <v>39.881023213883253</v>
      </c>
      <c r="T58" s="7">
        <f t="shared" si="85"/>
        <v>39.93698062897839</v>
      </c>
      <c r="U58" s="7">
        <f t="shared" si="86"/>
        <v>0.99859885714408436</v>
      </c>
      <c r="V58" s="4">
        <f t="shared" si="87"/>
        <v>0.12460551402336778</v>
      </c>
      <c r="W58" s="4">
        <f t="shared" si="18"/>
        <v>89.826697257587057</v>
      </c>
      <c r="X58" s="4">
        <f t="shared" si="88"/>
        <v>6.0623676063197136</v>
      </c>
      <c r="Y58" s="4">
        <f t="shared" si="89"/>
        <v>3.9671611371004718</v>
      </c>
      <c r="Z58" s="4">
        <f t="shared" si="90"/>
        <v>3.9699433408835607</v>
      </c>
      <c r="AA58" s="4">
        <f t="shared" si="19"/>
        <v>1.5270665311234537</v>
      </c>
      <c r="AB58" s="4">
        <f t="shared" si="91"/>
        <v>0.94829369183040335</v>
      </c>
      <c r="AC58" s="4">
        <f t="shared" si="92"/>
        <v>1.3971830985915494</v>
      </c>
      <c r="AD58" s="4">
        <f t="shared" si="93"/>
        <v>0.18106363719143292</v>
      </c>
      <c r="AE58" s="18">
        <f t="shared" si="74"/>
        <v>7.6249128568442515E-2</v>
      </c>
      <c r="AF58" s="18">
        <f t="shared" si="94"/>
        <v>1.6935499221595641E-2</v>
      </c>
      <c r="AG58" s="18">
        <f t="shared" si="95"/>
        <v>4.3763255705922492E-3</v>
      </c>
      <c r="AH58" s="4"/>
      <c r="AI58" s="4"/>
    </row>
    <row r="59" spans="1:37" ht="15.6">
      <c r="A59" s="74">
        <v>590</v>
      </c>
      <c r="B59" t="s">
        <v>539</v>
      </c>
      <c r="E59" s="57" t="s">
        <v>23</v>
      </c>
      <c r="F59" s="57">
        <v>6</v>
      </c>
      <c r="G59" s="57">
        <v>9</v>
      </c>
      <c r="H59">
        <v>2.5339999999999998</v>
      </c>
      <c r="I59">
        <v>105.9</v>
      </c>
      <c r="J59">
        <v>102.9</v>
      </c>
      <c r="K59">
        <v>36.5</v>
      </c>
      <c r="L59">
        <v>3.7</v>
      </c>
      <c r="M59">
        <v>22.1</v>
      </c>
      <c r="N59" s="4">
        <f t="shared" si="79"/>
        <v>45.37894273127754</v>
      </c>
      <c r="O59" s="4">
        <f t="shared" si="80"/>
        <v>45.611111111111114</v>
      </c>
      <c r="P59" s="4">
        <f t="shared" si="81"/>
        <v>10301.020000000002</v>
      </c>
      <c r="Q59" s="4">
        <f t="shared" si="82"/>
        <v>41.493634000306955</v>
      </c>
      <c r="R59" s="4">
        <f t="shared" si="83"/>
        <v>42.606666666666669</v>
      </c>
      <c r="S59" s="7">
        <f t="shared" si="84"/>
        <v>45.495026921194324</v>
      </c>
      <c r="T59" s="7">
        <f t="shared" si="85"/>
        <v>42.050150333486812</v>
      </c>
      <c r="U59" s="7">
        <f t="shared" si="86"/>
        <v>1.0819230504620614</v>
      </c>
      <c r="V59" s="4">
        <f t="shared" si="87"/>
        <v>0.14670712266344699</v>
      </c>
      <c r="W59" s="4">
        <f t="shared" si="18"/>
        <v>96.438413792956098</v>
      </c>
      <c r="X59" s="4">
        <f t="shared" si="88"/>
        <v>6.3308509732877711</v>
      </c>
      <c r="Y59" s="4">
        <f t="shared" si="89"/>
        <v>4.2371970173697653</v>
      </c>
      <c r="Z59" s="4">
        <f t="shared" si="90"/>
        <v>4.0736195958236721</v>
      </c>
      <c r="AA59" s="4">
        <f t="shared" si="19"/>
        <v>1.5541095147367816</v>
      </c>
      <c r="AB59" s="4">
        <f t="shared" si="91"/>
        <v>0.97167138810198306</v>
      </c>
      <c r="AC59" s="4">
        <f t="shared" si="92"/>
        <v>1.4000000000000001</v>
      </c>
      <c r="AD59" s="4">
        <f t="shared" si="93"/>
        <v>0.13923710901918973</v>
      </c>
      <c r="AE59" s="18">
        <f t="shared" si="74"/>
        <v>5.9409905059317022E-2</v>
      </c>
      <c r="AF59" s="18">
        <f t="shared" si="94"/>
        <v>1.3234586054182859E-2</v>
      </c>
      <c r="AG59" s="18">
        <f t="shared" si="95"/>
        <v>2.5515797609674132E-3</v>
      </c>
      <c r="AH59" s="4"/>
      <c r="AI59" s="4"/>
    </row>
    <row r="60" spans="1:37" ht="15.6">
      <c r="A60" s="74">
        <v>595</v>
      </c>
      <c r="B60" t="s">
        <v>539</v>
      </c>
      <c r="E60" s="57" t="s">
        <v>23</v>
      </c>
      <c r="F60" s="57">
        <v>6</v>
      </c>
      <c r="G60" s="57">
        <v>9</v>
      </c>
      <c r="H60">
        <v>2.5339999999999998</v>
      </c>
      <c r="I60">
        <v>109.2</v>
      </c>
      <c r="J60">
        <v>107.4</v>
      </c>
      <c r="K60">
        <v>36.5</v>
      </c>
      <c r="L60">
        <v>7.1</v>
      </c>
      <c r="M60">
        <v>27.6</v>
      </c>
      <c r="N60" s="4">
        <f t="shared" si="79"/>
        <v>49.692342546443136</v>
      </c>
      <c r="O60" s="4">
        <f t="shared" si="80"/>
        <v>50.044444444444444</v>
      </c>
      <c r="P60" s="4">
        <f t="shared" si="81"/>
        <v>10967.1</v>
      </c>
      <c r="Q60" s="4">
        <f t="shared" si="82"/>
        <v>41.202909007621727</v>
      </c>
      <c r="R60" s="4">
        <f t="shared" si="83"/>
        <v>42.376666666666672</v>
      </c>
      <c r="S60" s="7">
        <f t="shared" si="84"/>
        <v>49.86839349544379</v>
      </c>
      <c r="T60" s="7">
        <f t="shared" si="85"/>
        <v>41.789787837144203</v>
      </c>
      <c r="U60" s="7">
        <f t="shared" si="86"/>
        <v>1.1933153068348206</v>
      </c>
      <c r="V60" s="4">
        <f t="shared" si="87"/>
        <v>0.1724852157567002</v>
      </c>
      <c r="W60" s="4">
        <f t="shared" si="18"/>
        <v>97.995816817321511</v>
      </c>
      <c r="X60" s="4">
        <f t="shared" si="88"/>
        <v>6.4551182745394868</v>
      </c>
      <c r="Y60" s="4">
        <f t="shared" si="89"/>
        <v>4.4361822885600377</v>
      </c>
      <c r="Z60" s="4">
        <f t="shared" si="90"/>
        <v>4.0609886703510876</v>
      </c>
      <c r="AA60" s="4">
        <f t="shared" si="19"/>
        <v>1.5895435320141924</v>
      </c>
      <c r="AB60" s="4">
        <f t="shared" si="91"/>
        <v>0.98351648351648358</v>
      </c>
      <c r="AC60" s="4">
        <f t="shared" si="92"/>
        <v>1.3986301369863015</v>
      </c>
      <c r="AD60" s="4">
        <f t="shared" si="93"/>
        <v>0.14952189779126446</v>
      </c>
      <c r="AE60" s="18">
        <f t="shared" si="74"/>
        <v>6.3204607157501452E-2</v>
      </c>
      <c r="AF60" s="18">
        <f t="shared" si="94"/>
        <v>1.4043594377878952E-2</v>
      </c>
      <c r="AG60" s="18">
        <f t="shared" si="95"/>
        <v>3.5303112184020716E-3</v>
      </c>
      <c r="AH60" s="4"/>
      <c r="AI60" s="4"/>
    </row>
    <row r="61" spans="1:37" ht="15.6">
      <c r="A61" s="74">
        <v>600</v>
      </c>
      <c r="B61" t="s">
        <v>539</v>
      </c>
      <c r="E61" s="57" t="s">
        <v>23</v>
      </c>
      <c r="F61" s="57">
        <v>6</v>
      </c>
      <c r="G61" s="57">
        <v>9</v>
      </c>
      <c r="H61">
        <v>2.5339999999999998</v>
      </c>
      <c r="I61">
        <v>115</v>
      </c>
      <c r="J61">
        <v>106.9</v>
      </c>
      <c r="K61">
        <v>35.700000000000003</v>
      </c>
      <c r="L61">
        <v>12</v>
      </c>
      <c r="M61">
        <v>32.6</v>
      </c>
      <c r="N61" s="4">
        <f t="shared" si="79"/>
        <v>54.423859315589354</v>
      </c>
      <c r="O61" s="4">
        <f t="shared" si="80"/>
        <v>54.588888888888881</v>
      </c>
      <c r="P61" s="4">
        <f t="shared" si="81"/>
        <v>11450.78</v>
      </c>
      <c r="Q61" s="4">
        <f t="shared" si="82"/>
        <v>40.498637637475717</v>
      </c>
      <c r="R61" s="4">
        <f t="shared" si="83"/>
        <v>41.893333333333338</v>
      </c>
      <c r="S61" s="7">
        <f t="shared" si="84"/>
        <v>54.506374102239121</v>
      </c>
      <c r="T61" s="7">
        <f t="shared" si="85"/>
        <v>41.195985485404528</v>
      </c>
      <c r="U61" s="7">
        <f t="shared" si="86"/>
        <v>1.3230991675523913</v>
      </c>
      <c r="V61" s="4">
        <f t="shared" si="87"/>
        <v>0.1981464685505501</v>
      </c>
      <c r="W61" s="4">
        <f t="shared" si="18"/>
        <v>98.717649055594336</v>
      </c>
      <c r="X61" s="4">
        <f t="shared" si="88"/>
        <v>6.5716365364904998</v>
      </c>
      <c r="Y61" s="4">
        <f t="shared" si="89"/>
        <v>4.6378889009837909</v>
      </c>
      <c r="Z61" s="4">
        <f t="shared" si="90"/>
        <v>4.0320336038283653</v>
      </c>
      <c r="AA61" s="4">
        <f t="shared" si="19"/>
        <v>1.6298565890549159</v>
      </c>
      <c r="AB61" s="4">
        <f t="shared" si="91"/>
        <v>0.92956521739130438</v>
      </c>
      <c r="AC61" s="4">
        <f t="shared" si="92"/>
        <v>1.4425770308123249</v>
      </c>
      <c r="AD61" s="4">
        <f t="shared" si="93"/>
        <v>0.17522274797555504</v>
      </c>
      <c r="AE61" s="18">
        <f t="shared" si="74"/>
        <v>7.5770134301473988E-2</v>
      </c>
      <c r="AF61" s="18">
        <f t="shared" si="94"/>
        <v>1.6927568055772724E-2</v>
      </c>
      <c r="AG61" s="18">
        <f t="shared" si="95"/>
        <v>1.5138557280473008E-3</v>
      </c>
      <c r="AH61" s="4"/>
      <c r="AI61" s="4"/>
    </row>
    <row r="62" spans="1:37" ht="15.6">
      <c r="A62" s="74">
        <v>650</v>
      </c>
      <c r="B62" t="s">
        <v>539</v>
      </c>
      <c r="E62" s="57" t="s">
        <v>23</v>
      </c>
      <c r="F62" s="57">
        <v>6</v>
      </c>
      <c r="G62" s="57">
        <v>9</v>
      </c>
      <c r="H62">
        <v>2.5339999999999998</v>
      </c>
      <c r="I62">
        <v>125</v>
      </c>
      <c r="J62">
        <v>116.1</v>
      </c>
      <c r="K62">
        <v>36.4</v>
      </c>
      <c r="L62">
        <v>23</v>
      </c>
      <c r="M62">
        <v>40.6</v>
      </c>
      <c r="N62" s="4">
        <f t="shared" si="79"/>
        <v>63.756106519742879</v>
      </c>
      <c r="O62" s="4">
        <f t="shared" si="80"/>
        <v>63.833333333333336</v>
      </c>
      <c r="P62" s="4">
        <f t="shared" si="81"/>
        <v>13886.079999999998</v>
      </c>
      <c r="Q62" s="4">
        <f t="shared" si="82"/>
        <v>41.070352758295485</v>
      </c>
      <c r="R62" s="4">
        <f t="shared" si="83"/>
        <v>42.22</v>
      </c>
      <c r="S62" s="7">
        <f t="shared" si="84"/>
        <v>63.794719926538107</v>
      </c>
      <c r="T62" s="7">
        <f t="shared" si="85"/>
        <v>41.645176379147742</v>
      </c>
      <c r="U62" s="7">
        <f t="shared" si="86"/>
        <v>1.5318633626553906</v>
      </c>
      <c r="V62" s="4">
        <f t="shared" si="87"/>
        <v>0.23193175761285889</v>
      </c>
      <c r="W62" s="4">
        <f t="shared" si="18"/>
        <v>102.60803066572198</v>
      </c>
      <c r="X62" s="4">
        <f t="shared" si="88"/>
        <v>6.8620877673055398</v>
      </c>
      <c r="Y62" s="4">
        <f t="shared" si="89"/>
        <v>5.0175194224744653</v>
      </c>
      <c r="Z62" s="4">
        <f t="shared" si="90"/>
        <v>4.0539561576899033</v>
      </c>
      <c r="AA62" s="4">
        <f t="shared" si="19"/>
        <v>1.6926891906043247</v>
      </c>
      <c r="AB62" s="4">
        <f t="shared" si="91"/>
        <v>0.92879999999999996</v>
      </c>
      <c r="AC62" s="4">
        <f t="shared" si="92"/>
        <v>1.4010989010989012</v>
      </c>
      <c r="AD62" s="4">
        <f t="shared" si="93"/>
        <v>0.14117200657282858</v>
      </c>
      <c r="AE62" s="18">
        <f t="shared" si="74"/>
        <v>6.1744171383537022E-2</v>
      </c>
      <c r="AF62" s="18">
        <f t="shared" si="94"/>
        <v>1.3802885972169356E-2</v>
      </c>
      <c r="AG62" s="18">
        <f t="shared" si="95"/>
        <v>6.0527590433335414E-4</v>
      </c>
      <c r="AH62" s="4"/>
      <c r="AI62" s="4"/>
    </row>
    <row r="63" spans="1:37" ht="15.6">
      <c r="A63" s="74">
        <v>700</v>
      </c>
      <c r="B63" t="s">
        <v>539</v>
      </c>
      <c r="E63" s="57" t="s">
        <v>23</v>
      </c>
      <c r="F63" s="57">
        <v>6</v>
      </c>
      <c r="G63" s="57">
        <v>9</v>
      </c>
      <c r="H63">
        <v>2.5339999999999998</v>
      </c>
      <c r="I63">
        <v>128.9</v>
      </c>
      <c r="J63">
        <v>119.7</v>
      </c>
      <c r="K63">
        <v>37</v>
      </c>
      <c r="L63">
        <v>27.8</v>
      </c>
      <c r="M63">
        <v>44.3</v>
      </c>
      <c r="N63" s="4">
        <f t="shared" si="79"/>
        <v>67.757012334399263</v>
      </c>
      <c r="O63" s="4">
        <f t="shared" si="80"/>
        <v>67.811111111111117</v>
      </c>
      <c r="P63" s="4">
        <f t="shared" si="81"/>
        <v>14832.010000000002</v>
      </c>
      <c r="Q63" s="4">
        <f t="shared" si="82"/>
        <v>41.305074420795961</v>
      </c>
      <c r="R63" s="4">
        <f t="shared" si="83"/>
        <v>42.31666666666667</v>
      </c>
      <c r="S63" s="7">
        <f t="shared" si="84"/>
        <v>67.784061722755183</v>
      </c>
      <c r="T63" s="7">
        <f t="shared" si="85"/>
        <v>41.810870543731312</v>
      </c>
      <c r="U63" s="7">
        <f t="shared" si="86"/>
        <v>1.6212066584898701</v>
      </c>
      <c r="V63" s="4">
        <f t="shared" si="87"/>
        <v>0.24418533154003272</v>
      </c>
      <c r="W63" s="4">
        <f t="shared" si="18"/>
        <v>104.04094365885946</v>
      </c>
      <c r="X63" s="4">
        <f t="shared" si="88"/>
        <v>6.982102758079912</v>
      </c>
      <c r="Y63" s="4">
        <f t="shared" si="89"/>
        <v>5.1720234958224864</v>
      </c>
      <c r="Z63" s="4">
        <f t="shared" si="90"/>
        <v>4.0620129138501575</v>
      </c>
      <c r="AA63" s="4">
        <f t="shared" si="19"/>
        <v>1.7188775383439052</v>
      </c>
      <c r="AB63" s="4">
        <f t="shared" si="91"/>
        <v>0.92862684251357641</v>
      </c>
      <c r="AC63" s="4">
        <f t="shared" si="92"/>
        <v>1.3662162162162164</v>
      </c>
      <c r="AD63" s="4">
        <f t="shared" si="93"/>
        <v>0.1232521726242215</v>
      </c>
      <c r="AE63" s="18">
        <f t="shared" si="74"/>
        <v>5.4109026237462596E-2</v>
      </c>
      <c r="AF63" s="18">
        <f t="shared" si="94"/>
        <v>1.2097239697660116E-2</v>
      </c>
      <c r="AG63" s="18">
        <f t="shared" si="95"/>
        <v>3.9905233868342153E-4</v>
      </c>
      <c r="AH63" s="4"/>
      <c r="AI63" s="4"/>
    </row>
    <row r="64" spans="1:37" ht="15.6">
      <c r="A64" s="74">
        <v>750</v>
      </c>
      <c r="B64" t="s">
        <v>539</v>
      </c>
      <c r="E64" s="57" t="s">
        <v>23</v>
      </c>
      <c r="F64" s="57">
        <v>6</v>
      </c>
      <c r="G64" s="57">
        <v>9</v>
      </c>
      <c r="H64">
        <v>2.5339999999999998</v>
      </c>
      <c r="I64">
        <v>132.19999999999999</v>
      </c>
      <c r="J64">
        <v>121.4</v>
      </c>
      <c r="K64">
        <v>37.700000000000003</v>
      </c>
      <c r="L64">
        <v>30.7</v>
      </c>
      <c r="M64">
        <v>46.8</v>
      </c>
      <c r="N64" s="4">
        <f t="shared" si="79"/>
        <v>70.46032036613272</v>
      </c>
      <c r="O64" s="4">
        <f t="shared" si="80"/>
        <v>70.48888888888888</v>
      </c>
      <c r="P64" s="4">
        <f t="shared" si="81"/>
        <v>15395.579999999998</v>
      </c>
      <c r="Q64" s="4">
        <f t="shared" si="82"/>
        <v>41.690863732931739</v>
      </c>
      <c r="R64" s="4">
        <f t="shared" si="83"/>
        <v>42.663333333333334</v>
      </c>
      <c r="S64" s="7">
        <f t="shared" si="84"/>
        <v>70.4746046275108</v>
      </c>
      <c r="T64" s="7">
        <f t="shared" si="85"/>
        <v>42.177098533132536</v>
      </c>
      <c r="U64" s="7">
        <f t="shared" si="86"/>
        <v>1.6709211178229566</v>
      </c>
      <c r="V64" s="4">
        <f t="shared" si="87"/>
        <v>0.25053067752373398</v>
      </c>
      <c r="W64" s="4">
        <f t="shared" si="18"/>
        <v>105.48751120924705</v>
      </c>
      <c r="X64" s="4">
        <f t="shared" si="88"/>
        <v>7.0713673912317825</v>
      </c>
      <c r="Y64" s="4">
        <f t="shared" si="89"/>
        <v>5.2736708312249814</v>
      </c>
      <c r="Z64" s="4">
        <f t="shared" si="90"/>
        <v>4.0797640322998161</v>
      </c>
      <c r="AA64" s="4">
        <f t="shared" si="19"/>
        <v>1.7332785267106638</v>
      </c>
      <c r="AB64" s="4">
        <f t="shared" si="91"/>
        <v>0.9183055975794252</v>
      </c>
      <c r="AC64" s="4">
        <f t="shared" si="92"/>
        <v>1.3461538461538458</v>
      </c>
      <c r="AD64" s="4">
        <f t="shared" si="93"/>
        <v>0.11703407783243236</v>
      </c>
      <c r="AE64" s="18">
        <f t="shared" si="74"/>
        <v>5.1560485704204052E-2</v>
      </c>
      <c r="AF64" s="18">
        <f t="shared" si="94"/>
        <v>1.1528408001295591E-2</v>
      </c>
      <c r="AG64" s="18">
        <f t="shared" si="95"/>
        <v>2.0268664795749646E-4</v>
      </c>
      <c r="AH64" s="4"/>
      <c r="AI64" s="4"/>
    </row>
    <row r="65" spans="1:35" ht="15.6">
      <c r="A65" s="74">
        <v>800</v>
      </c>
      <c r="B65" t="s">
        <v>539</v>
      </c>
      <c r="E65" s="57" t="s">
        <v>23</v>
      </c>
      <c r="F65" s="57">
        <v>6</v>
      </c>
      <c r="G65" s="57">
        <v>9</v>
      </c>
      <c r="H65">
        <v>2.5339999999999998</v>
      </c>
      <c r="I65">
        <v>134</v>
      </c>
      <c r="J65">
        <v>122.8</v>
      </c>
      <c r="K65">
        <v>38.200000000000003</v>
      </c>
      <c r="L65">
        <v>32.200000000000003</v>
      </c>
      <c r="M65">
        <v>48.5</v>
      </c>
      <c r="N65" s="4">
        <f t="shared" si="79"/>
        <v>72.106795224977049</v>
      </c>
      <c r="O65" s="4">
        <f t="shared" si="80"/>
        <v>72.133333333333326</v>
      </c>
      <c r="P65" s="4">
        <f t="shared" si="81"/>
        <v>15704.859999999997</v>
      </c>
      <c r="Q65" s="4">
        <f t="shared" si="82"/>
        <v>41.943810405342816</v>
      </c>
      <c r="R65" s="4">
        <f t="shared" si="83"/>
        <v>42.9</v>
      </c>
      <c r="S65" s="7">
        <f t="shared" si="84"/>
        <v>72.120064279155187</v>
      </c>
      <c r="T65" s="7">
        <f t="shared" si="85"/>
        <v>42.421905202671411</v>
      </c>
      <c r="U65" s="7">
        <f t="shared" si="86"/>
        <v>1.7000666031994625</v>
      </c>
      <c r="V65" s="4">
        <f t="shared" si="87"/>
        <v>0.25410641506532</v>
      </c>
      <c r="W65" s="4">
        <f t="shared" si="18"/>
        <v>106.40316690792619</v>
      </c>
      <c r="X65" s="4">
        <f t="shared" si="88"/>
        <v>7.1261771774159621</v>
      </c>
      <c r="Y65" s="4">
        <f t="shared" si="89"/>
        <v>5.3348811327465215</v>
      </c>
      <c r="Z65" s="4">
        <f t="shared" si="90"/>
        <v>4.0915868984468595</v>
      </c>
      <c r="AA65" s="4">
        <f t="shared" si="19"/>
        <v>1.7416658509980598</v>
      </c>
      <c r="AB65" s="4">
        <f t="shared" si="91"/>
        <v>0.91641791044776122</v>
      </c>
      <c r="AC65" s="4">
        <f t="shared" si="92"/>
        <v>1.332460732984293</v>
      </c>
      <c r="AD65" s="4">
        <f t="shared" si="93"/>
        <v>0.11435262753627473</v>
      </c>
      <c r="AE65" s="18">
        <f t="shared" si="74"/>
        <v>5.0404441580565007E-2</v>
      </c>
      <c r="AF65" s="18">
        <f t="shared" si="94"/>
        <v>1.1269998248416348E-2</v>
      </c>
      <c r="AG65" s="18">
        <f t="shared" si="95"/>
        <v>1.8398561219771075E-4</v>
      </c>
      <c r="AH65" s="4"/>
      <c r="AI65" s="4"/>
    </row>
    <row r="66" spans="1:35" ht="15.6">
      <c r="A66" s="74">
        <v>850</v>
      </c>
      <c r="B66" t="s">
        <v>539</v>
      </c>
      <c r="E66" s="57" t="s">
        <v>23</v>
      </c>
      <c r="F66" s="57">
        <v>6</v>
      </c>
      <c r="G66" s="57">
        <v>9</v>
      </c>
      <c r="H66">
        <v>2.5339999999999998</v>
      </c>
      <c r="I66">
        <v>135.19999999999999</v>
      </c>
      <c r="J66">
        <v>124</v>
      </c>
      <c r="K66">
        <v>38.700000000000003</v>
      </c>
      <c r="L66">
        <v>33</v>
      </c>
      <c r="M66">
        <v>49.6</v>
      </c>
      <c r="N66" s="4">
        <f t="shared" si="79"/>
        <v>73.170247933884298</v>
      </c>
      <c r="O66" s="4">
        <f t="shared" si="80"/>
        <v>73.199999999999989</v>
      </c>
      <c r="P66" s="4">
        <f t="shared" si="81"/>
        <v>15936.48</v>
      </c>
      <c r="Q66" s="4">
        <f t="shared" si="82"/>
        <v>42.237599096384443</v>
      </c>
      <c r="R66" s="4">
        <f t="shared" si="83"/>
        <v>43.18</v>
      </c>
      <c r="S66" s="7">
        <f t="shared" si="84"/>
        <v>73.185123966942143</v>
      </c>
      <c r="T66" s="7">
        <f t="shared" si="85"/>
        <v>42.708799548192218</v>
      </c>
      <c r="U66" s="7">
        <f t="shared" si="86"/>
        <v>1.7135841967265018</v>
      </c>
      <c r="V66" s="4">
        <f t="shared" si="87"/>
        <v>0.25573026628709167</v>
      </c>
      <c r="W66" s="4">
        <f t="shared" si="18"/>
        <v>107.26146445890687</v>
      </c>
      <c r="X66" s="4">
        <f t="shared" si="88"/>
        <v>7.1661472321465229</v>
      </c>
      <c r="Y66" s="4">
        <f t="shared" si="89"/>
        <v>5.3741291751369786</v>
      </c>
      <c r="Z66" s="4">
        <f t="shared" si="90"/>
        <v>4.1053990453191167</v>
      </c>
      <c r="AA66" s="4">
        <f t="shared" si="19"/>
        <v>1.7455421879919815</v>
      </c>
      <c r="AB66" s="4">
        <f t="shared" si="91"/>
        <v>0.9171597633136096</v>
      </c>
      <c r="AC66" s="4">
        <f t="shared" si="92"/>
        <v>1.3204134366925062</v>
      </c>
      <c r="AD66" s="4">
        <f t="shared" si="93"/>
        <v>0.11196609251695122</v>
      </c>
      <c r="AE66" s="18">
        <f t="shared" ref="AE66:AE89" si="96">SQRT((LN(O66/N66))^2+5*(LN(R66/Q66))^2)</f>
        <v>4.9344152408234199E-2</v>
      </c>
      <c r="AF66" s="18">
        <f t="shared" si="94"/>
        <v>1.1032865751145267E-2</v>
      </c>
      <c r="AG66" s="18">
        <f t="shared" si="95"/>
        <v>2.0326580391617554E-4</v>
      </c>
      <c r="AH66" s="4"/>
      <c r="AI66" s="4"/>
    </row>
    <row r="67" spans="1:35" ht="15.6">
      <c r="A67" s="74">
        <v>900</v>
      </c>
      <c r="B67" t="s">
        <v>539</v>
      </c>
      <c r="E67" s="57" t="s">
        <v>23</v>
      </c>
      <c r="F67" s="57">
        <v>6</v>
      </c>
      <c r="G67" s="57">
        <v>9</v>
      </c>
      <c r="H67">
        <v>2.5339999999999998</v>
      </c>
      <c r="I67">
        <v>135.69999999999999</v>
      </c>
      <c r="J67">
        <v>124.4</v>
      </c>
      <c r="K67">
        <v>39.200000000000003</v>
      </c>
      <c r="L67">
        <v>33.200000000000003</v>
      </c>
      <c r="M67">
        <v>50.1</v>
      </c>
      <c r="N67" s="4">
        <f t="shared" si="79"/>
        <v>73.590151863782793</v>
      </c>
      <c r="O67" s="4">
        <f t="shared" si="80"/>
        <v>73.622222222222206</v>
      </c>
      <c r="P67" s="4">
        <f t="shared" si="81"/>
        <v>15991.14</v>
      </c>
      <c r="Q67" s="4">
        <f t="shared" si="82"/>
        <v>42.492281669351925</v>
      </c>
      <c r="R67" s="4">
        <f t="shared" si="83"/>
        <v>43.423333333333325</v>
      </c>
      <c r="S67" s="7">
        <f t="shared" si="84"/>
        <v>73.606187043002507</v>
      </c>
      <c r="T67" s="7">
        <f t="shared" si="85"/>
        <v>42.957807501342629</v>
      </c>
      <c r="U67" s="7">
        <f t="shared" si="86"/>
        <v>1.7134530676571884</v>
      </c>
      <c r="V67" s="4">
        <f t="shared" si="87"/>
        <v>0.25571461694389314</v>
      </c>
      <c r="W67" s="4">
        <f t="shared" ref="W67:W89" si="97">9*T67*S67/(T67+3*S67)</f>
        <v>107.88549358259593</v>
      </c>
      <c r="X67" s="4">
        <f t="shared" si="88"/>
        <v>7.1868528489127668</v>
      </c>
      <c r="Y67" s="4">
        <f t="shared" si="89"/>
        <v>5.3895667518176031</v>
      </c>
      <c r="Z67" s="4">
        <f t="shared" si="90"/>
        <v>4.1173496420295477</v>
      </c>
      <c r="AA67" s="4">
        <f t="shared" si="19"/>
        <v>1.7455046264592147</v>
      </c>
      <c r="AB67" s="4">
        <f t="shared" si="91"/>
        <v>0.91672807663964639</v>
      </c>
      <c r="AC67" s="4">
        <f t="shared" si="92"/>
        <v>1.3073979591836733</v>
      </c>
      <c r="AD67" s="4">
        <f t="shared" si="93"/>
        <v>0.10999118286867304</v>
      </c>
      <c r="AE67" s="18">
        <f t="shared" si="96"/>
        <v>4.8467567701961603E-2</v>
      </c>
      <c r="AF67" s="18">
        <f t="shared" si="94"/>
        <v>1.0836815449115973E-2</v>
      </c>
      <c r="AG67" s="18">
        <f t="shared" si="95"/>
        <v>2.1785096965202221E-4</v>
      </c>
      <c r="AH67" s="4"/>
      <c r="AI67" s="4"/>
    </row>
    <row r="68" spans="1:35" ht="15.6">
      <c r="A68" s="74">
        <v>950</v>
      </c>
      <c r="B68" t="s">
        <v>539</v>
      </c>
      <c r="E68" s="57" t="s">
        <v>23</v>
      </c>
      <c r="F68" s="57">
        <v>6</v>
      </c>
      <c r="G68" s="57">
        <v>9</v>
      </c>
      <c r="H68">
        <v>2.5339999999999998</v>
      </c>
      <c r="I68">
        <v>138.5</v>
      </c>
      <c r="J68">
        <v>124.6</v>
      </c>
      <c r="K68">
        <v>39.6</v>
      </c>
      <c r="L68">
        <v>34.1</v>
      </c>
      <c r="M68">
        <v>51.6</v>
      </c>
      <c r="N68" s="4">
        <f t="shared" si="79"/>
        <v>75.119962859795748</v>
      </c>
      <c r="O68" s="4">
        <f t="shared" si="80"/>
        <v>75.13333333333334</v>
      </c>
      <c r="P68" s="4">
        <f t="shared" si="81"/>
        <v>16180.84</v>
      </c>
      <c r="Q68" s="4">
        <f t="shared" si="82"/>
        <v>42.852488644206538</v>
      </c>
      <c r="R68" s="4">
        <f t="shared" si="83"/>
        <v>43.9</v>
      </c>
      <c r="S68" s="7">
        <f t="shared" si="84"/>
        <v>75.126648096564537</v>
      </c>
      <c r="T68" s="7">
        <f t="shared" si="85"/>
        <v>43.376244322103268</v>
      </c>
      <c r="U68" s="7">
        <f t="shared" si="86"/>
        <v>1.7319767829295951</v>
      </c>
      <c r="V68" s="4">
        <f t="shared" si="87"/>
        <v>0.25790560649326411</v>
      </c>
      <c r="W68" s="4">
        <f t="shared" si="97"/>
        <v>109.12644184279064</v>
      </c>
      <c r="X68" s="4">
        <f t="shared" si="88"/>
        <v>7.2436903530830117</v>
      </c>
      <c r="Y68" s="4">
        <f t="shared" si="89"/>
        <v>5.4449475540217618</v>
      </c>
      <c r="Z68" s="4">
        <f t="shared" si="90"/>
        <v>4.1373538704074182</v>
      </c>
      <c r="AA68" s="4">
        <f t="shared" ref="AA68:AA80" si="98">X68/Z68</f>
        <v>1.7508027062644518</v>
      </c>
      <c r="AB68" s="4">
        <f t="shared" si="91"/>
        <v>0.899638989169675</v>
      </c>
      <c r="AC68" s="4">
        <f t="shared" si="92"/>
        <v>1.3181818181818181</v>
      </c>
      <c r="AD68" s="4">
        <f t="shared" si="93"/>
        <v>0.12240091966608002</v>
      </c>
      <c r="AE68" s="18">
        <f t="shared" si="96"/>
        <v>5.4002673610087648E-2</v>
      </c>
      <c r="AF68" s="18">
        <f t="shared" si="94"/>
        <v>1.2074712462596483E-2</v>
      </c>
      <c r="AG68" s="18">
        <f t="shared" si="95"/>
        <v>8.8986224438002598E-5</v>
      </c>
      <c r="AH68" s="4"/>
      <c r="AI68" s="4"/>
    </row>
    <row r="69" spans="1:35" ht="15.6">
      <c r="A69" s="74">
        <v>975</v>
      </c>
      <c r="B69" t="s">
        <v>539</v>
      </c>
      <c r="E69" s="57" t="s">
        <v>23</v>
      </c>
      <c r="F69" s="57">
        <v>6</v>
      </c>
      <c r="G69" s="57">
        <v>9</v>
      </c>
      <c r="H69">
        <v>2.5339999999999998</v>
      </c>
      <c r="I69">
        <v>139.80000000000001</v>
      </c>
      <c r="J69">
        <v>124.8</v>
      </c>
      <c r="K69">
        <v>39.5</v>
      </c>
      <c r="L69">
        <v>35</v>
      </c>
      <c r="M69">
        <v>52.4</v>
      </c>
      <c r="N69" s="4">
        <f t="shared" si="79"/>
        <v>75.994040968342659</v>
      </c>
      <c r="O69" s="4">
        <f t="shared" si="80"/>
        <v>76</v>
      </c>
      <c r="P69" s="4">
        <f t="shared" si="81"/>
        <v>16323.52</v>
      </c>
      <c r="Q69" s="4">
        <f t="shared" si="82"/>
        <v>42.831688022058842</v>
      </c>
      <c r="R69" s="4">
        <f t="shared" si="83"/>
        <v>43.919999999999995</v>
      </c>
      <c r="S69" s="7">
        <f t="shared" si="84"/>
        <v>75.99702048417133</v>
      </c>
      <c r="T69" s="7">
        <f t="shared" si="85"/>
        <v>43.375844011029415</v>
      </c>
      <c r="U69" s="7">
        <f t="shared" si="86"/>
        <v>1.7520585989023556</v>
      </c>
      <c r="V69" s="4">
        <f t="shared" si="87"/>
        <v>0.26023691648985892</v>
      </c>
      <c r="W69" s="4">
        <f t="shared" si="97"/>
        <v>109.32767981320966</v>
      </c>
      <c r="X69" s="4">
        <f t="shared" si="88"/>
        <v>7.2673459361462296</v>
      </c>
      <c r="Y69" s="4">
        <f t="shared" si="89"/>
        <v>5.4763976777558341</v>
      </c>
      <c r="Z69" s="4">
        <f t="shared" si="90"/>
        <v>4.1373347789390591</v>
      </c>
      <c r="AA69" s="4">
        <f t="shared" si="98"/>
        <v>1.756528375015812</v>
      </c>
      <c r="AB69" s="4">
        <f t="shared" si="91"/>
        <v>0.89270386266094415</v>
      </c>
      <c r="AC69" s="4">
        <f t="shared" si="92"/>
        <v>1.3265822784810128</v>
      </c>
      <c r="AD69" s="4">
        <f t="shared" si="93"/>
        <v>0.12712360322041683</v>
      </c>
      <c r="AE69" s="18">
        <f t="shared" si="96"/>
        <v>5.6106565105159621E-2</v>
      </c>
      <c r="AF69" s="18">
        <f t="shared" si="94"/>
        <v>1.2545138921843479E-2</v>
      </c>
      <c r="AG69" s="18">
        <f t="shared" si="95"/>
        <v>3.92056926664758E-5</v>
      </c>
      <c r="AH69" s="4"/>
      <c r="AI69" s="4"/>
    </row>
    <row r="70" spans="1:35" ht="15.6">
      <c r="A70" s="75">
        <v>1000</v>
      </c>
      <c r="B70" t="s">
        <v>539</v>
      </c>
      <c r="C70" s="21"/>
      <c r="D70" s="21"/>
      <c r="E70" s="57" t="s">
        <v>23</v>
      </c>
      <c r="F70" s="57">
        <v>6</v>
      </c>
      <c r="G70" s="57">
        <v>9</v>
      </c>
      <c r="H70">
        <v>2.5339999999999998</v>
      </c>
      <c r="I70">
        <v>140.1</v>
      </c>
      <c r="J70">
        <v>125.4</v>
      </c>
      <c r="K70">
        <v>39.700000000000003</v>
      </c>
      <c r="L70">
        <v>35.200000000000003</v>
      </c>
      <c r="M70">
        <v>52.8</v>
      </c>
      <c r="N70" s="4">
        <f t="shared" si="79"/>
        <v>76.346859004187991</v>
      </c>
      <c r="O70" s="4">
        <f t="shared" si="80"/>
        <v>76.355555555555554</v>
      </c>
      <c r="P70" s="4">
        <f t="shared" si="81"/>
        <v>16406.940000000002</v>
      </c>
      <c r="Q70" s="4">
        <f t="shared" si="82"/>
        <v>42.943324942379355</v>
      </c>
      <c r="R70" s="4">
        <f t="shared" si="83"/>
        <v>44.023333333333333</v>
      </c>
      <c r="S70" s="7">
        <f t="shared" si="84"/>
        <v>76.351207279871772</v>
      </c>
      <c r="T70" s="7">
        <f t="shared" si="85"/>
        <v>43.483329137856344</v>
      </c>
      <c r="U70" s="7">
        <f t="shared" si="86"/>
        <v>1.7558730850118105</v>
      </c>
      <c r="V70" s="4">
        <f t="shared" si="87"/>
        <v>0.2606746774231869</v>
      </c>
      <c r="W70" s="4">
        <f t="shared" si="97"/>
        <v>109.63666386830663</v>
      </c>
      <c r="X70" s="4">
        <f t="shared" si="88"/>
        <v>7.2808410905922329</v>
      </c>
      <c r="Y70" s="4">
        <f t="shared" si="89"/>
        <v>5.4891443157929558</v>
      </c>
      <c r="Z70" s="4">
        <f t="shared" si="90"/>
        <v>4.1424577547804429</v>
      </c>
      <c r="AA70" s="4">
        <f t="shared" si="98"/>
        <v>1.7576138422148204</v>
      </c>
      <c r="AB70" s="4">
        <f t="shared" si="91"/>
        <v>0.89507494646680952</v>
      </c>
      <c r="AC70" s="4">
        <f t="shared" si="92"/>
        <v>1.3211586901763221</v>
      </c>
      <c r="AD70" s="4">
        <f t="shared" si="93"/>
        <v>0.12586201858005808</v>
      </c>
      <c r="AE70" s="18">
        <f t="shared" si="96"/>
        <v>5.5540858171624831E-2</v>
      </c>
      <c r="AF70" s="18">
        <f t="shared" si="94"/>
        <v>1.2418648851954261E-2</v>
      </c>
      <c r="AG70" s="18">
        <f t="shared" si="95"/>
        <v>5.6950974826669753E-5</v>
      </c>
      <c r="AH70" s="4"/>
      <c r="AI70" s="4"/>
    </row>
    <row r="71" spans="1:35" ht="15.6">
      <c r="A71" s="75">
        <v>1025</v>
      </c>
      <c r="B71" t="s">
        <v>539</v>
      </c>
      <c r="C71" s="21"/>
      <c r="D71" s="21"/>
      <c r="E71" s="57" t="s">
        <v>23</v>
      </c>
      <c r="F71" s="57">
        <v>6</v>
      </c>
      <c r="G71" s="57">
        <v>9</v>
      </c>
      <c r="H71">
        <v>2.5339999999999998</v>
      </c>
      <c r="I71">
        <v>140.80000000000001</v>
      </c>
      <c r="J71">
        <v>126.3</v>
      </c>
      <c r="K71">
        <v>40</v>
      </c>
      <c r="L71">
        <v>35.799999999999997</v>
      </c>
      <c r="M71">
        <v>53.6</v>
      </c>
      <c r="N71" s="4">
        <f t="shared" si="79"/>
        <v>77.08873370577281</v>
      </c>
      <c r="O71" s="4">
        <f t="shared" si="80"/>
        <v>77.099999999999994</v>
      </c>
      <c r="P71" s="4">
        <f t="shared" si="81"/>
        <v>16558.660000000003</v>
      </c>
      <c r="Q71" s="4">
        <f t="shared" si="82"/>
        <v>43.091456476994317</v>
      </c>
      <c r="R71" s="4">
        <f t="shared" si="83"/>
        <v>44.160000000000004</v>
      </c>
      <c r="S71" s="7">
        <f t="shared" si="84"/>
        <v>77.094366852886395</v>
      </c>
      <c r="T71" s="7">
        <f t="shared" si="85"/>
        <v>43.62572823849716</v>
      </c>
      <c r="U71" s="7">
        <f t="shared" si="86"/>
        <v>1.7671766172342107</v>
      </c>
      <c r="V71" s="4">
        <f t="shared" si="87"/>
        <v>0.2619625653927975</v>
      </c>
      <c r="W71" s="4">
        <f t="shared" si="97"/>
        <v>110.10807184996578</v>
      </c>
      <c r="X71" s="4">
        <f t="shared" si="88"/>
        <v>7.3060830442294842</v>
      </c>
      <c r="Y71" s="4">
        <f t="shared" si="89"/>
        <v>5.5157937420581229</v>
      </c>
      <c r="Z71" s="4">
        <f t="shared" si="90"/>
        <v>4.1492350660317516</v>
      </c>
      <c r="AA71" s="4">
        <f t="shared" si="98"/>
        <v>1.7608264964406755</v>
      </c>
      <c r="AB71" s="4">
        <f t="shared" si="91"/>
        <v>0.89701704545454541</v>
      </c>
      <c r="AC71" s="4">
        <f t="shared" si="92"/>
        <v>1.3125000000000002</v>
      </c>
      <c r="AD71" s="4">
        <f t="shared" si="93"/>
        <v>0.12413168974507993</v>
      </c>
      <c r="AE71" s="18">
        <f t="shared" si="96"/>
        <v>5.4771897662112573E-2</v>
      </c>
      <c r="AF71" s="18">
        <f t="shared" si="94"/>
        <v>1.224671273295513E-2</v>
      </c>
      <c r="AG71" s="18">
        <f t="shared" si="95"/>
        <v>7.3068206453284738E-5</v>
      </c>
      <c r="AH71" s="4"/>
      <c r="AI71" s="4"/>
    </row>
    <row r="72" spans="1:35" ht="15.6">
      <c r="A72" s="75">
        <v>1050</v>
      </c>
      <c r="B72" t="s">
        <v>539</v>
      </c>
      <c r="C72" s="21"/>
      <c r="D72" s="21"/>
      <c r="E72" s="57" t="s">
        <v>23</v>
      </c>
      <c r="F72" s="57">
        <v>6</v>
      </c>
      <c r="G72" s="57">
        <v>9</v>
      </c>
      <c r="H72">
        <v>2.5350000000000001</v>
      </c>
      <c r="I72">
        <v>141.69999999999999</v>
      </c>
      <c r="J72">
        <v>127.3</v>
      </c>
      <c r="K72">
        <v>40.299999999999997</v>
      </c>
      <c r="L72">
        <v>36.6</v>
      </c>
      <c r="M72">
        <v>54.5</v>
      </c>
      <c r="N72" s="4">
        <f t="shared" si="79"/>
        <v>77.976221498371331</v>
      </c>
      <c r="O72" s="4">
        <f t="shared" si="80"/>
        <v>77.98888888888888</v>
      </c>
      <c r="P72" s="4">
        <f t="shared" si="81"/>
        <v>16757.089999999997</v>
      </c>
      <c r="Q72" s="4">
        <f t="shared" si="82"/>
        <v>43.248374538517446</v>
      </c>
      <c r="R72" s="4">
        <f t="shared" si="83"/>
        <v>44.303333333333327</v>
      </c>
      <c r="S72" s="7">
        <f t="shared" si="84"/>
        <v>77.982555193630105</v>
      </c>
      <c r="T72" s="7">
        <f t="shared" si="85"/>
        <v>43.775853935925383</v>
      </c>
      <c r="U72" s="7">
        <f t="shared" si="86"/>
        <v>1.7814056878884188</v>
      </c>
      <c r="V72" s="4">
        <f t="shared" si="87"/>
        <v>0.26356420580392276</v>
      </c>
      <c r="W72" s="4">
        <f t="shared" si="97"/>
        <v>110.62720422387217</v>
      </c>
      <c r="X72" s="4">
        <f t="shared" si="88"/>
        <v>7.3339705776972428</v>
      </c>
      <c r="Y72" s="4">
        <f t="shared" si="89"/>
        <v>5.5463816302891304</v>
      </c>
      <c r="Z72" s="4">
        <f t="shared" si="90"/>
        <v>4.1555482712020195</v>
      </c>
      <c r="AA72" s="4">
        <f t="shared" si="98"/>
        <v>1.7648623235883731</v>
      </c>
      <c r="AB72" s="4">
        <f t="shared" si="91"/>
        <v>0.89837685250529298</v>
      </c>
      <c r="AC72" s="4">
        <f t="shared" si="92"/>
        <v>1.3039702233250621</v>
      </c>
      <c r="AD72" s="4">
        <f t="shared" si="93"/>
        <v>0.12212759008698093</v>
      </c>
      <c r="AE72" s="18">
        <f t="shared" si="96"/>
        <v>5.3890084617143744E-2</v>
      </c>
      <c r="AF72" s="18">
        <f t="shared" si="94"/>
        <v>1.2049551293277139E-2</v>
      </c>
      <c r="AG72" s="18">
        <f t="shared" si="95"/>
        <v>8.1219386092802148E-5</v>
      </c>
      <c r="AH72" s="4"/>
      <c r="AI72" s="4"/>
    </row>
    <row r="73" spans="1:35">
      <c r="A73" s="75"/>
      <c r="C73" s="21"/>
      <c r="D73" s="21"/>
      <c r="N73" s="4"/>
      <c r="O73" s="4"/>
      <c r="P73" s="4"/>
      <c r="Q73" s="4"/>
      <c r="R73" s="4"/>
      <c r="S73" s="7"/>
      <c r="T73" s="7"/>
      <c r="U73" s="7"/>
      <c r="V73" s="4"/>
      <c r="W73" s="4"/>
      <c r="X73" s="4"/>
      <c r="Y73" s="4"/>
      <c r="Z73" s="4"/>
      <c r="AA73" s="4"/>
      <c r="AB73" s="4"/>
      <c r="AC73" s="4"/>
      <c r="AD73" s="4"/>
      <c r="AE73" s="18" t="e">
        <f t="shared" si="96"/>
        <v>#DIV/0!</v>
      </c>
      <c r="AF73" s="18"/>
      <c r="AG73" s="18"/>
      <c r="AH73" s="4"/>
      <c r="AI73" s="4"/>
    </row>
    <row r="74" spans="1:35">
      <c r="A74" s="50" t="s">
        <v>601</v>
      </c>
      <c r="B74" t="s">
        <v>550</v>
      </c>
      <c r="G74" s="57">
        <v>1</v>
      </c>
      <c r="H74">
        <v>14.185</v>
      </c>
      <c r="I74">
        <v>2493</v>
      </c>
      <c r="J74">
        <v>2689</v>
      </c>
      <c r="K74">
        <v>577</v>
      </c>
      <c r="L74">
        <v>1151</v>
      </c>
      <c r="M74">
        <v>1085</v>
      </c>
      <c r="N74" s="4">
        <f t="shared" ref="N74:N80" si="99">((I74+L74)*J74-2*M74*M74)/(I74+L74+2*J74-4*M74)</f>
        <v>1589.9756514310125</v>
      </c>
      <c r="O74" s="4">
        <f t="shared" ref="O74:O80" si="100">(2*I74+2*L74+4*M74+J74)/9</f>
        <v>1590.7777777777778</v>
      </c>
      <c r="P74" s="4">
        <f t="shared" ref="P74:P80" si="101">(I74+L74)*J74-2*M74*M74</f>
        <v>7444266</v>
      </c>
      <c r="Q74" s="4">
        <f t="shared" ref="Q74:Q80" si="102">5/2*(K74*0.5*(I74-L74)*P74)/((K74+0.5*(I74-L74))*P74+3*O74*K74*0.5*(I74-L74))</f>
        <v>646.91584514158865</v>
      </c>
      <c r="R74" s="4">
        <f t="shared" ref="R74:R80" si="103">(I74+L74+2*J74-4*M74+12*K74+6*(I74-L74))/30</f>
        <v>655.26666666666665</v>
      </c>
      <c r="S74" s="7">
        <f t="shared" si="84"/>
        <v>1590.3767146043951</v>
      </c>
      <c r="T74" s="7">
        <f t="shared" si="85"/>
        <v>651.09125590412759</v>
      </c>
      <c r="U74" s="7">
        <f t="shared" si="86"/>
        <v>2.4426325805834139</v>
      </c>
      <c r="V74" s="4">
        <f t="shared" si="87"/>
        <v>0.31988251458948014</v>
      </c>
      <c r="W74" s="4">
        <f t="shared" si="97"/>
        <v>1718.7279281399253</v>
      </c>
      <c r="X74" s="4">
        <f t="shared" ref="X74:X80" si="104">SQRT((S74+4/3*T74)/H74)</f>
        <v>13.164982737240972</v>
      </c>
      <c r="Y74" s="4">
        <f t="shared" ref="Y74:Y80" si="105">SQRT(S74/H74)</f>
        <v>10.588521776711312</v>
      </c>
      <c r="Z74" s="4">
        <f t="shared" ref="Z74:Z80" si="106">SQRT(T74/H74)</f>
        <v>6.7749526044078223</v>
      </c>
      <c r="AA74" s="4">
        <f t="shared" si="98"/>
        <v>1.9431844775822875</v>
      </c>
      <c r="AB74" s="4">
        <f t="shared" ref="AB74:AB80" si="107">J74/I74</f>
        <v>1.0786201363818693</v>
      </c>
      <c r="AC74" s="4">
        <f t="shared" ref="AC74:AC80" si="108">((I74-L74)/(2*K74))</f>
        <v>1.1629116117850953</v>
      </c>
      <c r="AD74" s="4">
        <f t="shared" ref="AD74:AD80" si="109">5*R74/Q74 +O74/N74 -6</f>
        <v>6.5047827047454376E-2</v>
      </c>
      <c r="AE74" s="18">
        <f t="shared" si="96"/>
        <v>2.8684378224625277E-2</v>
      </c>
      <c r="AF74" s="18">
        <f t="shared" ref="AF74:AF80" si="110">(R74-Q74)/(R74+Q74)</f>
        <v>6.4129424634045869E-3</v>
      </c>
      <c r="AG74" s="18">
        <f t="shared" ref="AG74:AG80" si="111">(O74-N74)/(O74+N74)</f>
        <v>2.5218124089703201E-4</v>
      </c>
    </row>
    <row r="75" spans="1:35">
      <c r="A75" s="50" t="s">
        <v>602</v>
      </c>
      <c r="B75" t="s">
        <v>550</v>
      </c>
      <c r="G75" s="57">
        <v>1</v>
      </c>
      <c r="H75">
        <v>14.138</v>
      </c>
      <c r="I75">
        <v>2355</v>
      </c>
      <c r="J75">
        <v>2571</v>
      </c>
      <c r="K75">
        <v>476</v>
      </c>
      <c r="L75">
        <v>1282</v>
      </c>
      <c r="M75">
        <v>1083</v>
      </c>
      <c r="N75" s="4">
        <f t="shared" si="99"/>
        <v>1575.2077805261974</v>
      </c>
      <c r="O75" s="4">
        <f t="shared" si="100"/>
        <v>1575.2222222222222</v>
      </c>
      <c r="P75" s="4">
        <f t="shared" si="101"/>
        <v>7004949</v>
      </c>
      <c r="Q75" s="4">
        <f t="shared" si="102"/>
        <v>538.86376921617625</v>
      </c>
      <c r="R75" s="4">
        <f t="shared" si="103"/>
        <v>553.23333333333335</v>
      </c>
      <c r="S75" s="7">
        <f t="shared" si="84"/>
        <v>1575.2150013742098</v>
      </c>
      <c r="T75" s="7">
        <f t="shared" si="85"/>
        <v>546.0485512747548</v>
      </c>
      <c r="U75" s="7">
        <f t="shared" si="86"/>
        <v>2.8847526427766499</v>
      </c>
      <c r="V75" s="4">
        <f t="shared" si="87"/>
        <v>0.34462814116470586</v>
      </c>
      <c r="W75" s="4">
        <f t="shared" si="97"/>
        <v>1468.4644969725084</v>
      </c>
      <c r="X75" s="4">
        <f t="shared" si="104"/>
        <v>12.763781315970125</v>
      </c>
      <c r="Y75" s="4">
        <f t="shared" si="105"/>
        <v>10.555430021586069</v>
      </c>
      <c r="Z75" s="4">
        <f t="shared" si="106"/>
        <v>6.214721064213637</v>
      </c>
      <c r="AA75" s="4">
        <f t="shared" si="98"/>
        <v>2.0537979394550923</v>
      </c>
      <c r="AB75" s="4">
        <f t="shared" si="107"/>
        <v>1.0917197452229299</v>
      </c>
      <c r="AC75" s="4">
        <f t="shared" si="108"/>
        <v>1.1271008403361344</v>
      </c>
      <c r="AD75" s="4">
        <f t="shared" si="109"/>
        <v>0.13334123587248925</v>
      </c>
      <c r="AE75" s="18">
        <f t="shared" si="96"/>
        <v>5.8846739811950481E-2</v>
      </c>
      <c r="AF75" s="18">
        <f t="shared" si="110"/>
        <v>1.3157771487179329E-2</v>
      </c>
      <c r="AG75" s="18">
        <f t="shared" si="111"/>
        <v>4.5840396428848759E-6</v>
      </c>
    </row>
    <row r="76" spans="1:35">
      <c r="A76" s="50" t="s">
        <v>603</v>
      </c>
      <c r="B76" t="s">
        <v>550</v>
      </c>
      <c r="G76" s="57">
        <v>1</v>
      </c>
      <c r="H76">
        <v>13.739000000000001</v>
      </c>
      <c r="I76">
        <v>1924</v>
      </c>
      <c r="J76">
        <v>2108</v>
      </c>
      <c r="K76">
        <v>237</v>
      </c>
      <c r="L76">
        <v>1310</v>
      </c>
      <c r="M76">
        <v>1098</v>
      </c>
      <c r="N76" s="4">
        <f t="shared" si="99"/>
        <v>1440.8319162851537</v>
      </c>
      <c r="O76" s="4">
        <f t="shared" si="100"/>
        <v>1440.8888888888889</v>
      </c>
      <c r="P76" s="4">
        <f t="shared" si="101"/>
        <v>4406064</v>
      </c>
      <c r="Q76" s="4">
        <f t="shared" si="102"/>
        <v>295.58477619916755</v>
      </c>
      <c r="R76" s="4">
        <f t="shared" si="103"/>
        <v>319.53333333333336</v>
      </c>
      <c r="S76" s="7">
        <f t="shared" si="84"/>
        <v>1440.8604025870213</v>
      </c>
      <c r="T76" s="7">
        <f t="shared" si="85"/>
        <v>307.55905476625048</v>
      </c>
      <c r="U76" s="7">
        <f t="shared" si="86"/>
        <v>4.6848251750614107</v>
      </c>
      <c r="V76" s="4">
        <f t="shared" si="87"/>
        <v>0.4003618560147984</v>
      </c>
      <c r="W76" s="4">
        <f t="shared" si="97"/>
        <v>861.38793753324694</v>
      </c>
      <c r="X76" s="4">
        <f t="shared" si="104"/>
        <v>11.606960542203398</v>
      </c>
      <c r="Y76" s="4">
        <f t="shared" si="105"/>
        <v>10.240788370923436</v>
      </c>
      <c r="Z76" s="4">
        <f t="shared" si="106"/>
        <v>4.7313676593210809</v>
      </c>
      <c r="AA76" s="4">
        <f t="shared" si="98"/>
        <v>2.4531935326008711</v>
      </c>
      <c r="AB76" s="4">
        <f t="shared" si="107"/>
        <v>1.0956340956340955</v>
      </c>
      <c r="AC76" s="4">
        <f t="shared" si="108"/>
        <v>1.2953586497890295</v>
      </c>
      <c r="AD76" s="4">
        <f t="shared" si="109"/>
        <v>0.40514425358971806</v>
      </c>
      <c r="AE76" s="18">
        <f t="shared" si="96"/>
        <v>0.17420291882088421</v>
      </c>
      <c r="AF76" s="18">
        <f t="shared" si="110"/>
        <v>3.8933266250878347E-2</v>
      </c>
      <c r="AG76" s="18">
        <f t="shared" si="111"/>
        <v>1.9770341260292484E-5</v>
      </c>
    </row>
    <row r="77" spans="1:35">
      <c r="A77" s="50" t="s">
        <v>604</v>
      </c>
      <c r="B77" t="s">
        <v>550</v>
      </c>
      <c r="G77" s="57">
        <v>1</v>
      </c>
      <c r="H77">
        <v>13.628</v>
      </c>
      <c r="I77">
        <v>1814</v>
      </c>
      <c r="J77">
        <v>2063</v>
      </c>
      <c r="K77">
        <v>236</v>
      </c>
      <c r="L77">
        <v>1298</v>
      </c>
      <c r="M77">
        <v>1130</v>
      </c>
      <c r="N77" s="4">
        <f t="shared" si="99"/>
        <v>1422.4635761589404</v>
      </c>
      <c r="O77" s="4">
        <f t="shared" si="100"/>
        <v>1423</v>
      </c>
      <c r="P77" s="4">
        <f t="shared" si="101"/>
        <v>3866256</v>
      </c>
      <c r="Q77" s="4">
        <f t="shared" si="102"/>
        <v>271.22539056108604</v>
      </c>
      <c r="R77" s="4">
        <f t="shared" si="103"/>
        <v>288.2</v>
      </c>
      <c r="S77" s="7">
        <f t="shared" si="84"/>
        <v>1422.7317880794703</v>
      </c>
      <c r="T77" s="7">
        <f t="shared" si="85"/>
        <v>279.71269528054302</v>
      </c>
      <c r="U77" s="7">
        <f t="shared" si="86"/>
        <v>5.08640405703615</v>
      </c>
      <c r="V77" s="4">
        <f t="shared" si="87"/>
        <v>0.40774460753606495</v>
      </c>
      <c r="W77" s="4">
        <f t="shared" si="97"/>
        <v>787.52807688112591</v>
      </c>
      <c r="X77" s="4">
        <f t="shared" si="104"/>
        <v>11.478857328794152</v>
      </c>
      <c r="Y77" s="4">
        <f t="shared" si="105"/>
        <v>10.217519025940481</v>
      </c>
      <c r="Z77" s="4">
        <f t="shared" si="106"/>
        <v>4.5304362810900072</v>
      </c>
      <c r="AA77" s="4">
        <f t="shared" si="98"/>
        <v>2.533720069457059</v>
      </c>
      <c r="AB77" s="4">
        <f t="shared" si="107"/>
        <v>1.1372657111356119</v>
      </c>
      <c r="AC77" s="4">
        <f t="shared" si="108"/>
        <v>1.0932203389830508</v>
      </c>
      <c r="AD77" s="4">
        <f t="shared" si="109"/>
        <v>0.31330152593467275</v>
      </c>
      <c r="AE77" s="18">
        <f t="shared" si="96"/>
        <v>0.135739932011708</v>
      </c>
      <c r="AF77" s="18">
        <f t="shared" si="110"/>
        <v>3.0342937101744606E-2</v>
      </c>
      <c r="AG77" s="18">
        <f t="shared" si="111"/>
        <v>1.8851896244747281E-4</v>
      </c>
    </row>
    <row r="78" spans="1:35">
      <c r="A78" s="50" t="s">
        <v>605</v>
      </c>
      <c r="B78" t="s">
        <v>550</v>
      </c>
      <c r="G78" s="57">
        <v>1</v>
      </c>
      <c r="H78">
        <v>13.529</v>
      </c>
      <c r="I78">
        <v>1710</v>
      </c>
      <c r="J78">
        <v>1882</v>
      </c>
      <c r="K78">
        <v>203</v>
      </c>
      <c r="L78">
        <v>1304</v>
      </c>
      <c r="M78">
        <v>1060</v>
      </c>
      <c r="N78" s="4">
        <f t="shared" si="99"/>
        <v>1349.5460992907801</v>
      </c>
      <c r="O78" s="4">
        <f t="shared" si="100"/>
        <v>1350</v>
      </c>
      <c r="P78" s="4">
        <f t="shared" si="101"/>
        <v>3425148</v>
      </c>
      <c r="Q78" s="4">
        <f t="shared" si="102"/>
        <v>226.55911947767373</v>
      </c>
      <c r="R78" s="4">
        <f t="shared" si="103"/>
        <v>247</v>
      </c>
      <c r="S78" s="7">
        <f t="shared" si="84"/>
        <v>1349.7730496453901</v>
      </c>
      <c r="T78" s="7">
        <f t="shared" si="85"/>
        <v>236.77955973883687</v>
      </c>
      <c r="U78" s="7">
        <f t="shared" si="86"/>
        <v>5.7005471719525236</v>
      </c>
      <c r="V78" s="4">
        <f t="shared" si="87"/>
        <v>0.41713458701046768</v>
      </c>
      <c r="W78" s="4">
        <f t="shared" si="97"/>
        <v>671.09700720603394</v>
      </c>
      <c r="X78" s="4">
        <f t="shared" si="104"/>
        <v>11.095241229953457</v>
      </c>
      <c r="Y78" s="4">
        <f t="shared" si="105"/>
        <v>9.988436842074476</v>
      </c>
      <c r="Z78" s="4">
        <f t="shared" si="106"/>
        <v>4.1834950163782034</v>
      </c>
      <c r="AA78" s="4">
        <f t="shared" si="98"/>
        <v>2.6521463959000942</v>
      </c>
      <c r="AB78" s="4">
        <f t="shared" si="107"/>
        <v>1.1005847953216374</v>
      </c>
      <c r="AC78" s="4">
        <f t="shared" si="108"/>
        <v>1</v>
      </c>
      <c r="AD78" s="4">
        <f t="shared" si="109"/>
        <v>0.45145215428640029</v>
      </c>
      <c r="AE78" s="18">
        <f t="shared" si="96"/>
        <v>0.19315723939561008</v>
      </c>
      <c r="AF78" s="18">
        <f t="shared" si="110"/>
        <v>4.3164368885709882E-2</v>
      </c>
      <c r="AG78" s="18">
        <f t="shared" si="111"/>
        <v>1.6813963997099353E-4</v>
      </c>
    </row>
    <row r="79" spans="1:35">
      <c r="A79" s="50" t="s">
        <v>606</v>
      </c>
      <c r="B79" t="s">
        <v>550</v>
      </c>
      <c r="G79" s="57">
        <v>1</v>
      </c>
      <c r="H79">
        <v>13.494999999999999</v>
      </c>
      <c r="I79">
        <v>1424</v>
      </c>
      <c r="J79">
        <v>1822</v>
      </c>
      <c r="K79">
        <v>163</v>
      </c>
      <c r="L79">
        <v>1182</v>
      </c>
      <c r="M79">
        <v>1051</v>
      </c>
      <c r="N79" s="4">
        <f t="shared" si="99"/>
        <v>1240.9237536656892</v>
      </c>
      <c r="O79" s="4">
        <f t="shared" si="100"/>
        <v>1248.6666666666667</v>
      </c>
      <c r="P79" s="4">
        <f t="shared" si="101"/>
        <v>2538930</v>
      </c>
      <c r="Q79" s="4">
        <f t="shared" si="102"/>
        <v>157.48173530354634</v>
      </c>
      <c r="R79" s="4">
        <f t="shared" si="103"/>
        <v>181.8</v>
      </c>
      <c r="S79" s="7">
        <f t="shared" si="84"/>
        <v>1244.7952101661781</v>
      </c>
      <c r="T79" s="7">
        <f t="shared" si="85"/>
        <v>169.64086765177319</v>
      </c>
      <c r="U79" s="7">
        <f t="shared" si="86"/>
        <v>7.337826240793615</v>
      </c>
      <c r="V79" s="4">
        <f t="shared" si="87"/>
        <v>0.43482080575062149</v>
      </c>
      <c r="W79" s="4">
        <f t="shared" si="97"/>
        <v>486.80849282470348</v>
      </c>
      <c r="X79" s="4">
        <f t="shared" si="104"/>
        <v>10.44040599497426</v>
      </c>
      <c r="Y79" s="4">
        <f t="shared" si="105"/>
        <v>9.6042290694382224</v>
      </c>
      <c r="Z79" s="4">
        <f t="shared" si="106"/>
        <v>3.5455106813037829</v>
      </c>
      <c r="AA79" s="4">
        <f t="shared" si="98"/>
        <v>2.9446832722938043</v>
      </c>
      <c r="AB79" s="4">
        <f t="shared" si="107"/>
        <v>1.279494382022472</v>
      </c>
      <c r="AC79" s="4">
        <f t="shared" si="108"/>
        <v>0.74233128834355833</v>
      </c>
      <c r="AD79" s="4">
        <f t="shared" si="109"/>
        <v>0.77833757680627169</v>
      </c>
      <c r="AE79" s="18">
        <f t="shared" si="96"/>
        <v>0.32115445467536224</v>
      </c>
      <c r="AF79" s="18">
        <f t="shared" si="110"/>
        <v>7.1675726000094753E-2</v>
      </c>
      <c r="AG79" s="18">
        <f t="shared" si="111"/>
        <v>3.1101151971591606E-3</v>
      </c>
    </row>
    <row r="80" spans="1:35">
      <c r="A80" s="50" t="s">
        <v>607</v>
      </c>
      <c r="B80" t="s">
        <v>550</v>
      </c>
      <c r="G80" s="57">
        <v>1</v>
      </c>
      <c r="H80">
        <v>13.481999999999999</v>
      </c>
      <c r="I80">
        <v>1167</v>
      </c>
      <c r="J80">
        <v>1784</v>
      </c>
      <c r="K80">
        <v>110</v>
      </c>
      <c r="L80">
        <v>1050</v>
      </c>
      <c r="M80">
        <v>1014</v>
      </c>
      <c r="N80" s="4">
        <f t="shared" si="99"/>
        <v>1098.17004048583</v>
      </c>
      <c r="O80" s="4">
        <f t="shared" si="100"/>
        <v>1141.5555555555557</v>
      </c>
      <c r="P80" s="4">
        <f t="shared" si="101"/>
        <v>1898736</v>
      </c>
      <c r="Q80" s="4">
        <f t="shared" si="102"/>
        <v>89.322137839967866</v>
      </c>
      <c r="R80" s="4">
        <f t="shared" si="103"/>
        <v>125.03333333333333</v>
      </c>
      <c r="S80" s="7">
        <f t="shared" si="84"/>
        <v>1119.8627980206929</v>
      </c>
      <c r="T80" s="7">
        <f t="shared" si="85"/>
        <v>107.1777355866506</v>
      </c>
      <c r="U80" s="7">
        <f t="shared" si="86"/>
        <v>10.448651409651317</v>
      </c>
      <c r="V80" s="4">
        <f t="shared" si="87"/>
        <v>0.45362634877355695</v>
      </c>
      <c r="W80" s="4">
        <f t="shared" si="97"/>
        <v>311.59276090128122</v>
      </c>
      <c r="X80" s="4">
        <f t="shared" si="104"/>
        <v>9.6779718642824086</v>
      </c>
      <c r="Y80" s="4">
        <f t="shared" si="105"/>
        <v>9.1139207400030688</v>
      </c>
      <c r="Z80" s="4">
        <f t="shared" si="106"/>
        <v>2.819519659993146</v>
      </c>
      <c r="AA80" s="4">
        <f t="shared" si="98"/>
        <v>3.4324895838129872</v>
      </c>
      <c r="AB80" s="4">
        <f t="shared" si="107"/>
        <v>1.5287060839760069</v>
      </c>
      <c r="AC80" s="4">
        <f t="shared" si="108"/>
        <v>0.53181818181818186</v>
      </c>
      <c r="AD80" s="4">
        <f t="shared" si="109"/>
        <v>2.0385185646130601</v>
      </c>
      <c r="AE80" s="18">
        <f t="shared" si="96"/>
        <v>0.75305646228381429</v>
      </c>
      <c r="AF80" s="18">
        <f t="shared" si="110"/>
        <v>0.16659801262778981</v>
      </c>
      <c r="AG80" s="18">
        <f t="shared" si="111"/>
        <v>1.9370906483547633E-2</v>
      </c>
    </row>
    <row r="81" spans="1:37">
      <c r="N81" s="4"/>
      <c r="O81" s="4"/>
      <c r="P81" s="4"/>
      <c r="Q81" s="4"/>
      <c r="R81" s="4"/>
      <c r="S81" s="7"/>
      <c r="T81" s="7"/>
      <c r="U81" s="7"/>
      <c r="V81" s="4"/>
      <c r="W81" s="4"/>
      <c r="X81" s="4"/>
      <c r="Y81" s="4"/>
      <c r="Z81" s="4"/>
      <c r="AA81" s="4"/>
      <c r="AB81" s="4"/>
      <c r="AC81" s="4"/>
      <c r="AD81" s="4"/>
      <c r="AE81" s="18" t="e">
        <f t="shared" si="96"/>
        <v>#DIV/0!</v>
      </c>
      <c r="AF81" s="18"/>
      <c r="AG81" s="18"/>
    </row>
    <row r="82" spans="1:37">
      <c r="A82" s="50" t="s">
        <v>982</v>
      </c>
      <c r="N82" s="4"/>
      <c r="O82" s="4"/>
      <c r="P82" s="4"/>
      <c r="Q82" s="4"/>
      <c r="R82" s="4"/>
      <c r="S82" s="7"/>
      <c r="T82" s="7"/>
      <c r="U82" s="7"/>
      <c r="V82" s="4"/>
      <c r="W82" s="4"/>
      <c r="X82" s="4"/>
      <c r="Y82" s="4"/>
      <c r="Z82" s="4"/>
      <c r="AA82" s="4"/>
      <c r="AB82" s="4"/>
      <c r="AC82" s="4"/>
      <c r="AD82" s="4"/>
      <c r="AE82" s="18" t="e">
        <f t="shared" si="96"/>
        <v>#DIV/0!</v>
      </c>
      <c r="AF82" s="18"/>
      <c r="AG82" s="18"/>
    </row>
    <row r="83" spans="1:37">
      <c r="A83" s="50" t="s">
        <v>546</v>
      </c>
      <c r="B83" t="s">
        <v>534</v>
      </c>
      <c r="C83" t="s">
        <v>423</v>
      </c>
      <c r="D83" t="s">
        <v>598</v>
      </c>
      <c r="E83" s="57" t="s">
        <v>15</v>
      </c>
      <c r="F83" s="68">
        <v>6</v>
      </c>
      <c r="G83" s="68">
        <v>4</v>
      </c>
      <c r="H83" s="3">
        <v>5.6749999999999998</v>
      </c>
      <c r="I83">
        <v>209</v>
      </c>
      <c r="J83">
        <v>216</v>
      </c>
      <c r="K83">
        <v>44.2</v>
      </c>
      <c r="L83">
        <v>120</v>
      </c>
      <c r="M83">
        <v>104.4</v>
      </c>
      <c r="N83" s="4">
        <f>((I83+L83)*J83-2*M83*M83)/(I83+L83+2*J83-4*M83)</f>
        <v>143.46324985439722</v>
      </c>
      <c r="O83" s="4">
        <f>(2*I83+2*L83+4*M83+J83)/9</f>
        <v>143.51111111111109</v>
      </c>
      <c r="P83" s="4">
        <f>(I83+L83)*J83-2*M83*M83</f>
        <v>49265.279999999999</v>
      </c>
      <c r="Q83" s="4">
        <f>5/2*(K83*0.5*(I83-L83)*P83)/((K83+0.5*(I83-L83))*P83+3*O83*K83*0.5*(I83-L83))</f>
        <v>46.437822665697581</v>
      </c>
      <c r="R83" s="4">
        <f>(I83+L83+2*J83-4*M83+12*K83+6*(I83-L83))/30</f>
        <v>46.926666666666669</v>
      </c>
      <c r="S83" s="7">
        <f t="shared" ref="S83:S85" si="112">0.5*(N83+O83)</f>
        <v>143.48718048275416</v>
      </c>
      <c r="T83" s="7">
        <f t="shared" ref="T83:T85" si="113">0.5*(Q83+R83)</f>
        <v>46.682244666182129</v>
      </c>
      <c r="U83" s="7">
        <f t="shared" ref="U83:U85" si="114">S83/T83</f>
        <v>3.0736992513708348</v>
      </c>
      <c r="V83" s="4">
        <f t="shared" ref="V83:V85" si="115">(3*S83-2*T83)/(2*(3*S83+T83))</f>
        <v>0.35324472614534302</v>
      </c>
      <c r="W83" s="4">
        <f t="shared" si="97"/>
        <v>126.34500279827508</v>
      </c>
      <c r="X83" s="4">
        <f>SQRT((S83+4/3*T83)/H83)</f>
        <v>6.02096445171453</v>
      </c>
      <c r="Y83" s="4">
        <f>SQRT(S83/H83)</f>
        <v>5.0283282178637272</v>
      </c>
      <c r="Z83" s="4">
        <f>SQRT(T83/H83)</f>
        <v>2.8680910370286496</v>
      </c>
      <c r="AA83" s="4">
        <f>X83/Z83</f>
        <v>2.0992933536559795</v>
      </c>
      <c r="AB83" s="4">
        <f>J83/I83</f>
        <v>1.0334928229665072</v>
      </c>
      <c r="AC83" s="4">
        <f>((I83-L83)/(2*K83))</f>
        <v>1.0067873303167421</v>
      </c>
      <c r="AD83" s="4">
        <f>5*R83/Q83 +O83/N83 -6</f>
        <v>5.2967864160402556E-2</v>
      </c>
      <c r="AE83" s="18">
        <f t="shared" si="96"/>
        <v>2.3418096408242665E-2</v>
      </c>
      <c r="AF83" s="18">
        <f>(R83-Q83)/(R83+Q83)</f>
        <v>5.2358664891195769E-3</v>
      </c>
      <c r="AG83" s="18">
        <f>(O83-N83)/(O83+N83)</f>
        <v>1.6677885980073676E-4</v>
      </c>
      <c r="AH83" s="4"/>
      <c r="AI83" s="4"/>
      <c r="AJ83" s="4">
        <v>0.26640000000000003</v>
      </c>
      <c r="AK83" s="4">
        <v>0.44159999999999999</v>
      </c>
    </row>
    <row r="84" spans="1:37">
      <c r="A84" s="50" t="s">
        <v>546</v>
      </c>
      <c r="B84" t="s">
        <v>534</v>
      </c>
      <c r="C84" t="s">
        <v>423</v>
      </c>
      <c r="D84" t="s">
        <v>598</v>
      </c>
      <c r="E84" s="57" t="s">
        <v>15</v>
      </c>
      <c r="F84" s="68">
        <v>6</v>
      </c>
      <c r="G84" s="68">
        <v>4</v>
      </c>
      <c r="H84" s="3">
        <v>5.7039999999999997</v>
      </c>
      <c r="I84">
        <v>207</v>
      </c>
      <c r="J84">
        <v>209.5</v>
      </c>
      <c r="K84">
        <v>44.8</v>
      </c>
      <c r="L84">
        <v>117.7</v>
      </c>
      <c r="M84">
        <v>106.1</v>
      </c>
      <c r="N84" s="4">
        <f>((I84+L84)*J84-2*M84*M84)/(I84+L84+2*J84-4*M84)</f>
        <v>142.53125587222044</v>
      </c>
      <c r="O84" s="4">
        <f>(2*I84+2*L84+4*M84+J84)/9</f>
        <v>142.58888888888887</v>
      </c>
      <c r="P84" s="4">
        <f>(I84+L84)*J84-2*M84*M84</f>
        <v>45510.229999999996</v>
      </c>
      <c r="Q84" s="4">
        <f>5/2*(K84*0.5*(I84-L84)*P84)/((K84+0.5*(I84-L84))*P84+3*O84*K84*0.5*(I84-L84))</f>
        <v>46.196036318863079</v>
      </c>
      <c r="R84" s="4">
        <f>(I84+L84+2*J84-4*M84+12*K84+6*(I84-L84))/30</f>
        <v>46.423333333333325</v>
      </c>
      <c r="S84" s="7">
        <f t="shared" si="112"/>
        <v>142.56007238055466</v>
      </c>
      <c r="T84" s="7">
        <f t="shared" si="113"/>
        <v>46.309684826098206</v>
      </c>
      <c r="U84" s="7">
        <f t="shared" si="114"/>
        <v>3.0784073119023638</v>
      </c>
      <c r="V84" s="4">
        <f t="shared" si="115"/>
        <v>0.35344724233413771</v>
      </c>
      <c r="W84" s="4">
        <f t="shared" si="97"/>
        <v>125.35543044249134</v>
      </c>
      <c r="X84" s="4">
        <f>SQRT((S84+4/3*T84)/H84)</f>
        <v>5.9848206601106506</v>
      </c>
      <c r="Y84" s="4">
        <f>SQRT(S84/H84)</f>
        <v>4.9992999576657891</v>
      </c>
      <c r="Z84" s="4">
        <f>SQRT(T84/H84)</f>
        <v>2.8493523299563353</v>
      </c>
      <c r="AA84" s="4">
        <f t="shared" ref="AA84:AA85" si="116">X84/Z84</f>
        <v>2.1004143984546708</v>
      </c>
      <c r="AB84" s="4">
        <f>J84/I84</f>
        <v>1.0120772946859904</v>
      </c>
      <c r="AC84" s="4">
        <f>((I84-L84)/(2*K84))</f>
        <v>0.9966517857142857</v>
      </c>
      <c r="AD84" s="4">
        <f>5*R84/Q84 +O84/N84 -6</f>
        <v>2.5005708169572927E-2</v>
      </c>
      <c r="AE84" s="18">
        <f t="shared" si="96"/>
        <v>1.0982525397683558E-2</v>
      </c>
      <c r="AF84" s="18">
        <f>(R84-Q84)/(R84+Q84)</f>
        <v>2.4540980501572148E-3</v>
      </c>
      <c r="AG84" s="18">
        <f>(O84-N84)/(O84+N84)</f>
        <v>2.021358985936307E-4</v>
      </c>
      <c r="AH84" s="4"/>
      <c r="AI84" s="4"/>
      <c r="AJ84" s="4">
        <v>0.29509999999999997</v>
      </c>
      <c r="AK84" s="4">
        <v>0.41739999999999999</v>
      </c>
    </row>
    <row r="85" spans="1:37">
      <c r="A85" s="50" t="s">
        <v>546</v>
      </c>
      <c r="B85" t="s">
        <v>534</v>
      </c>
      <c r="C85" t="s">
        <v>423</v>
      </c>
      <c r="D85" t="s">
        <v>598</v>
      </c>
      <c r="E85" s="57" t="s">
        <v>15</v>
      </c>
      <c r="F85" s="68">
        <v>6</v>
      </c>
      <c r="G85" s="68">
        <v>4</v>
      </c>
      <c r="H85" s="3">
        <v>5.7039999999999997</v>
      </c>
      <c r="I85">
        <v>209.6</v>
      </c>
      <c r="J85">
        <v>221</v>
      </c>
      <c r="K85">
        <v>46.1</v>
      </c>
      <c r="L85">
        <v>120.4</v>
      </c>
      <c r="M85">
        <v>101.3</v>
      </c>
      <c r="N85" s="4">
        <f>((I85+L85)*J85-2*M85*M85)/(I85+L85+2*J85-4*M85)</f>
        <v>142.87519083969465</v>
      </c>
      <c r="O85" s="4">
        <f>(2*I85+2*L85+4*M85+J85)/9</f>
        <v>142.91111111111113</v>
      </c>
      <c r="P85" s="4">
        <f>(I85+L85)*J85-2*M85*M85</f>
        <v>52406.62</v>
      </c>
      <c r="Q85" s="4">
        <f>5/2*(K85*0.5*(I85-L85)*P85)/((K85+0.5*(I85-L85))*P85+3*O85*K85*0.5*(I85-L85))</f>
        <v>47.806267037118332</v>
      </c>
      <c r="R85" s="4">
        <f>(I85+L85+2*J85-4*M85+12*K85+6*(I85-L85))/30</f>
        <v>48.506666666666661</v>
      </c>
      <c r="S85" s="7">
        <f t="shared" si="112"/>
        <v>142.89315097540288</v>
      </c>
      <c r="T85" s="7">
        <f t="shared" si="113"/>
        <v>48.156466851892496</v>
      </c>
      <c r="U85" s="7">
        <f t="shared" si="114"/>
        <v>2.9672681638974376</v>
      </c>
      <c r="V85" s="4">
        <f t="shared" si="115"/>
        <v>0.34851246040471601</v>
      </c>
      <c r="W85" s="4">
        <f t="shared" si="97"/>
        <v>129.87919119768739</v>
      </c>
      <c r="X85" s="4">
        <f>SQRT((S85+4/3*T85)/H85)</f>
        <v>6.0256256977921856</v>
      </c>
      <c r="Y85" s="4">
        <f>SQRT(S85/H85)</f>
        <v>5.0051367543523808</v>
      </c>
      <c r="Z85" s="4">
        <f>SQRT(T85/H85)</f>
        <v>2.9056115260119264</v>
      </c>
      <c r="AA85" s="4">
        <f t="shared" si="116"/>
        <v>2.0737891641222284</v>
      </c>
      <c r="AB85" s="4">
        <f>J85/I85</f>
        <v>1.0543893129770994</v>
      </c>
      <c r="AC85" s="4">
        <f>((I85-L85)/(2*K85))</f>
        <v>0.96746203904555295</v>
      </c>
      <c r="AD85" s="4">
        <f>5*R85/Q85 +O85/N85 -6</f>
        <v>7.3505365419904933E-2</v>
      </c>
      <c r="AE85" s="18">
        <f t="shared" si="96"/>
        <v>3.2523473532183739E-2</v>
      </c>
      <c r="AF85" s="18">
        <f>(R85-Q85)/(R85+Q85)</f>
        <v>7.2721243410821786E-3</v>
      </c>
      <c r="AG85" s="18">
        <f>(O85-N85)/(O85+N85)</f>
        <v>1.2568926911918804E-4</v>
      </c>
      <c r="AH85" s="4"/>
      <c r="AI85" s="4"/>
      <c r="AJ85" s="4">
        <v>0.25059999999999999</v>
      </c>
      <c r="AK85" s="4">
        <v>0.45329999999999998</v>
      </c>
    </row>
    <row r="86" spans="1:37">
      <c r="W86" s="4"/>
      <c r="AE86" s="18" t="e">
        <f t="shared" si="96"/>
        <v>#DIV/0!</v>
      </c>
    </row>
    <row r="87" spans="1:37">
      <c r="A87" s="50" t="s">
        <v>893</v>
      </c>
      <c r="W87" s="4"/>
      <c r="AE87" s="18" t="e">
        <f t="shared" si="96"/>
        <v>#DIV/0!</v>
      </c>
    </row>
    <row r="88" spans="1:37">
      <c r="A88" s="50" t="s">
        <v>32</v>
      </c>
      <c r="B88" t="s">
        <v>31</v>
      </c>
      <c r="C88" t="s">
        <v>519</v>
      </c>
      <c r="E88" s="57" t="s">
        <v>15</v>
      </c>
      <c r="F88" s="68">
        <v>6</v>
      </c>
      <c r="G88" s="68">
        <v>9</v>
      </c>
      <c r="H88" s="3">
        <v>2620</v>
      </c>
      <c r="I88">
        <v>79</v>
      </c>
      <c r="J88">
        <v>125</v>
      </c>
      <c r="K88">
        <v>37.200000000000003</v>
      </c>
      <c r="L88">
        <v>38</v>
      </c>
      <c r="M88">
        <v>21</v>
      </c>
      <c r="N88" s="4">
        <f>((I88+L88)*J88-2*M88*M88)/(I88+L88+2*J88-4*M88)</f>
        <v>48.561837455830386</v>
      </c>
      <c r="O88" s="4">
        <f>(2*I88+2*L88+4*M88+J88)/9</f>
        <v>49.222222222222221</v>
      </c>
      <c r="P88" s="4">
        <f>(I88+L88)*J88-2*M88*M88</f>
        <v>13743</v>
      </c>
      <c r="Q88" s="4">
        <f>5/2*(K88*0.5*(I88-L88)*P88)/((K88+0.5*(I88-L88))*P88+3*O88*K88*0.5*(I88-L88))</f>
        <v>28.932816884440133</v>
      </c>
      <c r="R88" s="4">
        <f>(I88+L88+2*J88-4*M88+12*K88+6*(I88-L88))/30</f>
        <v>32.513333333333335</v>
      </c>
      <c r="S88" s="7">
        <f>0.5*(N88+O88)</f>
        <v>48.892029839026307</v>
      </c>
      <c r="T88" s="7">
        <f>0.5*(Q88+R88)</f>
        <v>30.723075108886732</v>
      </c>
      <c r="U88" s="7">
        <f>S88/T88</f>
        <v>1.5913781307940804</v>
      </c>
      <c r="V88" s="4">
        <f>(3*S88-2*T88)/(2*(3*S88+T88))</f>
        <v>0.24022080227662604</v>
      </c>
      <c r="W88" s="4">
        <f t="shared" si="97"/>
        <v>76.206793719897078</v>
      </c>
      <c r="X88" s="4">
        <f>SQRT((S88+4/3*T88)/H88)</f>
        <v>0.18519242106090691</v>
      </c>
      <c r="Y88" s="4">
        <f>SQRT(S88/H88)</f>
        <v>0.1366055639102281</v>
      </c>
      <c r="Z88" s="4">
        <f>SQRT(T88/H88)</f>
        <v>0.10828833984033838</v>
      </c>
      <c r="AA88" s="4">
        <f>X88/Z88</f>
        <v>1.7101787813346925</v>
      </c>
      <c r="AB88" s="4">
        <f>J88/I88</f>
        <v>1.5822784810126582</v>
      </c>
      <c r="AC88" s="4">
        <f>((I88-L88)/(2*K88))</f>
        <v>0.55107526881720426</v>
      </c>
      <c r="AD88" s="4">
        <f>5*R88/Q88 +O88/N88 -6</f>
        <v>0.63236272948740435</v>
      </c>
      <c r="AE88" s="18">
        <f t="shared" si="96"/>
        <v>0.26123992321748751</v>
      </c>
      <c r="AF88" s="18">
        <f>(R88-Q88)/(R88+Q88)</f>
        <v>5.827080193312955E-2</v>
      </c>
      <c r="AG88" s="18">
        <f>(O88-N88)/(O88+N88)</f>
        <v>6.7535012206090435E-3</v>
      </c>
      <c r="AH88" s="4"/>
      <c r="AI88" s="4"/>
      <c r="AJ88" s="4">
        <v>8.7330000000000005E-2</v>
      </c>
      <c r="AK88" s="4">
        <v>0.45679999999999998</v>
      </c>
    </row>
    <row r="89" spans="1:37">
      <c r="A89" s="65" t="s">
        <v>77</v>
      </c>
      <c r="B89" t="s">
        <v>566</v>
      </c>
      <c r="C89" t="s">
        <v>555</v>
      </c>
      <c r="E89" s="57" t="s">
        <v>15</v>
      </c>
      <c r="F89" s="68">
        <v>6</v>
      </c>
      <c r="G89" s="68">
        <v>9</v>
      </c>
      <c r="H89" s="28">
        <v>3.05</v>
      </c>
      <c r="I89">
        <v>186</v>
      </c>
      <c r="J89">
        <v>54</v>
      </c>
      <c r="K89">
        <v>5.8</v>
      </c>
      <c r="L89">
        <v>32</v>
      </c>
      <c r="M89">
        <v>12</v>
      </c>
      <c r="N89" s="4">
        <f>((I89+L89)*J89-2*M89*M89)/(I89+L89+2*J89-4*M89)</f>
        <v>41.309352517985609</v>
      </c>
      <c r="O89" s="4">
        <f>(2*I89+2*L89+4*M89+J89)/9</f>
        <v>59.777777777777779</v>
      </c>
      <c r="P89" s="4">
        <f>(I89+L89)*J89-2*M89*M89</f>
        <v>11484</v>
      </c>
      <c r="Q89" s="4">
        <f>5/2*(K89*0.5*(I89-L89)*P89)/((K89+0.5*(I89-L89))*P89+3*O89*K89*0.5*(I89-L89))</f>
        <v>12.436775444531538</v>
      </c>
      <c r="R89" s="4">
        <f>(I89+L89+2*J89-4*M89+12*K89+6*(I89-L89))/30</f>
        <v>42.386666666666663</v>
      </c>
      <c r="S89" s="7">
        <f>0.5*(N89+O89)</f>
        <v>50.543565147881694</v>
      </c>
      <c r="T89" s="7">
        <f>0.5*(Q89+R89)</f>
        <v>27.411721055599102</v>
      </c>
      <c r="U89" s="7">
        <f>S89/T89</f>
        <v>1.8438669007817623</v>
      </c>
      <c r="V89" s="4">
        <f>(3*S89-2*T89)/(2*(3*S89+T89))</f>
        <v>0.27034725967535056</v>
      </c>
      <c r="W89" s="4">
        <f t="shared" si="97"/>
        <v>69.644809451930854</v>
      </c>
      <c r="X89" s="4">
        <f>SQRT((S89+4/3*T89)/H89)</f>
        <v>5.3436810102641878</v>
      </c>
      <c r="Y89" s="4">
        <f>SQRT(S89/H89)</f>
        <v>4.0708304686173689</v>
      </c>
      <c r="Z89" s="4">
        <f>SQRT(T89/H89)</f>
        <v>2.9979075246621494</v>
      </c>
      <c r="AA89" s="4">
        <f>X89/Z89</f>
        <v>1.7824702617758019</v>
      </c>
      <c r="AB89" s="4">
        <f>J89/I89</f>
        <v>0.29032258064516131</v>
      </c>
      <c r="AC89" s="4">
        <f>((I89-L89)/(2*K89))</f>
        <v>13.275862068965518</v>
      </c>
      <c r="AD89" s="4">
        <f>5*R89/Q89 +O89/N89 -6</f>
        <v>12.487934849314161</v>
      </c>
      <c r="AE89" s="18">
        <f t="shared" si="96"/>
        <v>2.7666046864332423</v>
      </c>
      <c r="AF89" s="18">
        <f>(R89-Q89)/(R89+Q89)</f>
        <v>0.54629716903560821</v>
      </c>
      <c r="AG89" s="18">
        <f>(O89-N89)/(O89+N89)</f>
        <v>0.18269808635141552</v>
      </c>
      <c r="AH89" s="4"/>
      <c r="AI89" s="4"/>
      <c r="AJ89" s="4">
        <v>1.9890000000000001E-2</v>
      </c>
      <c r="AK89" s="4">
        <v>0.78759999999999997</v>
      </c>
    </row>
    <row r="91" spans="1:37">
      <c r="N91" s="4"/>
      <c r="O91" s="4"/>
      <c r="P91" s="4"/>
      <c r="Q91" s="4"/>
      <c r="R91" s="4"/>
      <c r="S91" s="7"/>
      <c r="T91" s="7"/>
      <c r="U91" s="7"/>
      <c r="V91" s="4"/>
      <c r="W91" s="4"/>
      <c r="X91" s="4"/>
      <c r="Y91" s="4"/>
      <c r="Z91" s="4"/>
      <c r="AA91" s="4"/>
      <c r="AB91" s="4"/>
      <c r="AC91" s="4"/>
      <c r="AD91" s="4"/>
      <c r="AE91" s="18"/>
      <c r="AF91" s="18"/>
      <c r="AG91" s="18"/>
      <c r="AH91" s="4"/>
      <c r="AI91" s="4"/>
    </row>
    <row r="92" spans="1:37">
      <c r="A92" s="51"/>
      <c r="H92" s="29"/>
      <c r="N92" s="4"/>
      <c r="O92" s="4"/>
      <c r="P92" s="4"/>
      <c r="Q92" s="4"/>
      <c r="R92" s="4"/>
      <c r="S92" s="7"/>
      <c r="T92" s="7"/>
      <c r="U92" s="7"/>
      <c r="V92" s="4"/>
      <c r="W92" s="4"/>
      <c r="X92" s="4"/>
      <c r="Y92" s="4"/>
      <c r="Z92" s="4"/>
      <c r="AA92" s="4"/>
      <c r="AB92" s="4"/>
      <c r="AC92" s="4"/>
      <c r="AD92" s="4"/>
      <c r="AE92" s="18"/>
      <c r="AF92" s="18"/>
      <c r="AG92" s="18"/>
      <c r="AH92" s="4"/>
      <c r="AI92" s="4"/>
    </row>
    <row r="93" spans="1:37">
      <c r="A93" s="52"/>
      <c r="B93" s="21"/>
      <c r="C93" s="21"/>
      <c r="D93" s="21"/>
      <c r="N93" s="4"/>
      <c r="O93" s="4"/>
      <c r="P93" s="4"/>
      <c r="Q93" s="4"/>
      <c r="R93" s="4"/>
      <c r="S93" s="7"/>
      <c r="T93" s="7"/>
      <c r="U93" s="7"/>
      <c r="V93" s="4"/>
      <c r="W93" s="4"/>
      <c r="X93" s="4"/>
      <c r="Y93" s="4"/>
      <c r="Z93" s="4"/>
      <c r="AA93" s="4"/>
      <c r="AB93" s="4"/>
      <c r="AC93" s="4"/>
      <c r="AD93" s="4"/>
      <c r="AE93" s="18"/>
      <c r="AF93" s="18"/>
      <c r="AG93" s="18"/>
      <c r="AH93" s="4"/>
      <c r="AI93" s="4"/>
    </row>
    <row r="94" spans="1:37">
      <c r="A94" s="52"/>
      <c r="B94" s="21"/>
      <c r="C94" s="21"/>
      <c r="D94" s="21"/>
      <c r="N94" s="4"/>
      <c r="O94" s="4"/>
      <c r="P94" s="4"/>
      <c r="Q94" s="4"/>
      <c r="R94" s="4"/>
      <c r="S94" s="7"/>
      <c r="T94" s="7"/>
      <c r="U94" s="7"/>
      <c r="V94" s="4"/>
      <c r="W94" s="4"/>
      <c r="X94" s="4"/>
      <c r="Y94" s="4"/>
      <c r="Z94" s="4"/>
      <c r="AA94" s="4"/>
      <c r="AB94" s="4"/>
      <c r="AC94" s="4"/>
      <c r="AD94" s="4"/>
      <c r="AE94" s="18"/>
      <c r="AF94" s="18"/>
      <c r="AG94" s="18"/>
      <c r="AH94" s="4"/>
      <c r="AI94" s="4"/>
    </row>
    <row r="95" spans="1:37">
      <c r="A95" s="52"/>
      <c r="B95" s="21"/>
      <c r="C95" s="21"/>
      <c r="D95" s="21"/>
      <c r="N95" s="4"/>
      <c r="O95" s="4"/>
      <c r="P95" s="4"/>
      <c r="Q95" s="4"/>
      <c r="R95" s="4"/>
      <c r="S95" s="7"/>
      <c r="T95" s="7"/>
      <c r="U95" s="7"/>
      <c r="V95" s="4"/>
      <c r="W95" s="4"/>
      <c r="X95" s="4"/>
      <c r="Y95" s="4"/>
      <c r="Z95" s="4"/>
      <c r="AA95" s="4"/>
      <c r="AB95" s="4"/>
      <c r="AC95" s="4"/>
      <c r="AD95" s="4"/>
      <c r="AE95" s="18"/>
      <c r="AF95" s="18"/>
      <c r="AG95" s="18"/>
      <c r="AH95" s="4"/>
      <c r="AI95" s="4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907D-CFC7-43B3-84E7-F50E354B8ACC}">
  <dimension ref="A1:J95"/>
  <sheetViews>
    <sheetView workbookViewId="0">
      <selection activeCell="E5" sqref="E5"/>
    </sheetView>
  </sheetViews>
  <sheetFormatPr defaultRowHeight="14.4"/>
  <cols>
    <col min="1" max="1" width="14.83984375" style="50" customWidth="1"/>
  </cols>
  <sheetData>
    <row r="1" spans="1:10">
      <c r="A1" s="87" t="s">
        <v>242</v>
      </c>
      <c r="B1" s="22" t="s">
        <v>131</v>
      </c>
      <c r="C1" s="22" t="s">
        <v>386</v>
      </c>
      <c r="D1" s="22"/>
      <c r="E1" s="22" t="s">
        <v>698</v>
      </c>
      <c r="F1" s="22" t="s">
        <v>611</v>
      </c>
      <c r="G1" s="24" t="s">
        <v>121</v>
      </c>
      <c r="H1" s="24" t="s">
        <v>122</v>
      </c>
      <c r="I1" s="88"/>
      <c r="J1" s="22" t="s">
        <v>130</v>
      </c>
    </row>
    <row r="2" spans="1:10">
      <c r="A2" s="50" t="s">
        <v>546</v>
      </c>
      <c r="B2" t="s">
        <v>983</v>
      </c>
      <c r="C2" s="57" t="s">
        <v>616</v>
      </c>
      <c r="E2" s="57"/>
      <c r="F2" t="s">
        <v>75</v>
      </c>
      <c r="G2">
        <v>143.5</v>
      </c>
      <c r="H2">
        <v>46.8</v>
      </c>
      <c r="I2" s="46"/>
      <c r="J2" t="s">
        <v>847</v>
      </c>
    </row>
    <row r="3" spans="1:10">
      <c r="A3" s="50" t="s">
        <v>541</v>
      </c>
      <c r="B3" t="s">
        <v>567</v>
      </c>
      <c r="C3" s="57" t="s">
        <v>388</v>
      </c>
      <c r="E3" s="57"/>
      <c r="F3" t="s">
        <v>568</v>
      </c>
      <c r="G3" s="10">
        <v>224</v>
      </c>
      <c r="I3" s="46"/>
    </row>
    <row r="4" spans="1:10">
      <c r="A4" s="50" t="s">
        <v>541</v>
      </c>
      <c r="B4" t="s">
        <v>854</v>
      </c>
      <c r="C4" s="57" t="s">
        <v>388</v>
      </c>
      <c r="E4" s="57"/>
      <c r="F4" t="s">
        <v>568</v>
      </c>
      <c r="G4" s="10">
        <v>251</v>
      </c>
      <c r="H4" s="10">
        <v>162</v>
      </c>
      <c r="I4" s="48"/>
    </row>
    <row r="5" spans="1:10">
      <c r="A5" s="50" t="s">
        <v>541</v>
      </c>
      <c r="B5" t="s">
        <v>856</v>
      </c>
      <c r="C5" s="57" t="s">
        <v>857</v>
      </c>
      <c r="E5" s="57"/>
      <c r="F5" t="s">
        <v>628</v>
      </c>
      <c r="G5" s="10"/>
      <c r="H5" s="10"/>
      <c r="I5" s="48"/>
      <c r="J5" t="s">
        <v>858</v>
      </c>
    </row>
    <row r="6" spans="1:10">
      <c r="A6" s="50" t="s">
        <v>541</v>
      </c>
      <c r="B6" t="s">
        <v>861</v>
      </c>
      <c r="C6" s="57" t="s">
        <v>859</v>
      </c>
      <c r="E6" s="57"/>
      <c r="G6" s="10"/>
      <c r="H6" s="10"/>
      <c r="I6" s="48"/>
      <c r="J6" s="10" t="s">
        <v>612</v>
      </c>
    </row>
    <row r="7" spans="1:10">
      <c r="A7" s="50" t="s">
        <v>548</v>
      </c>
      <c r="B7" t="s">
        <v>860</v>
      </c>
      <c r="C7" s="57" t="s">
        <v>390</v>
      </c>
      <c r="E7" s="57"/>
      <c r="F7" t="s">
        <v>79</v>
      </c>
      <c r="I7" s="46"/>
    </row>
    <row r="8" spans="1:10">
      <c r="A8" s="50" t="s">
        <v>903</v>
      </c>
      <c r="B8" t="s">
        <v>864</v>
      </c>
      <c r="C8" s="57" t="s">
        <v>616</v>
      </c>
      <c r="E8" s="57"/>
      <c r="I8" s="46"/>
    </row>
    <row r="9" spans="1:10">
      <c r="A9" s="50" t="s">
        <v>549</v>
      </c>
      <c r="B9" t="s">
        <v>862</v>
      </c>
      <c r="C9" s="57" t="s">
        <v>390</v>
      </c>
      <c r="E9" s="57"/>
      <c r="F9" t="s">
        <v>863</v>
      </c>
      <c r="I9" s="46"/>
    </row>
    <row r="10" spans="1:10">
      <c r="C10" s="57"/>
      <c r="E10" s="57"/>
      <c r="I10" s="46"/>
    </row>
    <row r="11" spans="1:10">
      <c r="A11" s="50" t="s">
        <v>547</v>
      </c>
      <c r="B11" t="s">
        <v>851</v>
      </c>
      <c r="C11" s="57" t="s">
        <v>616</v>
      </c>
      <c r="E11" s="57"/>
      <c r="F11" t="s">
        <v>98</v>
      </c>
      <c r="G11">
        <v>74</v>
      </c>
      <c r="H11">
        <v>33.299999999999997</v>
      </c>
      <c r="I11" s="46"/>
      <c r="J11" t="s">
        <v>852</v>
      </c>
    </row>
    <row r="12" spans="1:10">
      <c r="A12" s="50" t="s">
        <v>547</v>
      </c>
      <c r="B12" t="s">
        <v>849</v>
      </c>
      <c r="C12" s="57" t="s">
        <v>388</v>
      </c>
      <c r="E12" s="57"/>
      <c r="F12" t="s">
        <v>95</v>
      </c>
      <c r="G12">
        <v>76.2</v>
      </c>
      <c r="I12" s="46"/>
    </row>
    <row r="13" spans="1:10">
      <c r="A13" s="50" t="s">
        <v>547</v>
      </c>
      <c r="B13" t="s">
        <v>850</v>
      </c>
      <c r="C13" s="57" t="s">
        <v>388</v>
      </c>
      <c r="E13" s="57"/>
      <c r="F13" t="s">
        <v>96</v>
      </c>
      <c r="I13" s="46"/>
    </row>
    <row r="14" spans="1:10">
      <c r="A14" s="50" t="s">
        <v>547</v>
      </c>
      <c r="B14" t="s">
        <v>567</v>
      </c>
      <c r="C14" s="57" t="s">
        <v>388</v>
      </c>
      <c r="E14" s="57"/>
      <c r="F14" t="s">
        <v>20</v>
      </c>
      <c r="G14">
        <v>76.7</v>
      </c>
      <c r="I14" s="46"/>
    </row>
    <row r="15" spans="1:10">
      <c r="A15" s="50" t="s">
        <v>545</v>
      </c>
      <c r="B15" t="s">
        <v>865</v>
      </c>
      <c r="C15" s="57" t="s">
        <v>616</v>
      </c>
      <c r="E15" s="57"/>
      <c r="F15" t="s">
        <v>613</v>
      </c>
      <c r="G15">
        <v>62.7</v>
      </c>
      <c r="H15">
        <v>16.899999999999999</v>
      </c>
      <c r="I15" s="46"/>
      <c r="J15" t="s">
        <v>853</v>
      </c>
    </row>
    <row r="16" spans="1:10">
      <c r="A16" s="50" t="s">
        <v>545</v>
      </c>
      <c r="B16" t="s">
        <v>843</v>
      </c>
      <c r="C16" s="57" t="s">
        <v>845</v>
      </c>
      <c r="E16" s="57"/>
      <c r="F16" t="s">
        <v>75</v>
      </c>
      <c r="G16">
        <v>60.7</v>
      </c>
      <c r="H16">
        <v>17.100000000000001</v>
      </c>
      <c r="I16" s="46"/>
      <c r="J16" t="s">
        <v>844</v>
      </c>
    </row>
    <row r="17" spans="1:10">
      <c r="A17" s="50" t="s">
        <v>545</v>
      </c>
      <c r="B17" t="s">
        <v>843</v>
      </c>
      <c r="C17" s="57" t="s">
        <v>845</v>
      </c>
      <c r="E17" s="57"/>
      <c r="F17" t="s">
        <v>75</v>
      </c>
      <c r="G17">
        <v>60.7</v>
      </c>
      <c r="H17" s="11">
        <v>17.5</v>
      </c>
      <c r="I17" s="49"/>
      <c r="J17" t="s">
        <v>76</v>
      </c>
    </row>
    <row r="18" spans="1:10">
      <c r="C18" s="57"/>
      <c r="E18" s="57"/>
      <c r="H18" s="11"/>
      <c r="I18" s="49"/>
    </row>
    <row r="19" spans="1:10">
      <c r="A19" s="65" t="s">
        <v>21</v>
      </c>
      <c r="B19" t="s">
        <v>866</v>
      </c>
      <c r="C19" s="57" t="s">
        <v>867</v>
      </c>
      <c r="E19" s="57"/>
      <c r="F19" t="s">
        <v>13</v>
      </c>
      <c r="G19">
        <v>80.400000000000006</v>
      </c>
      <c r="H19" s="11">
        <v>45.6</v>
      </c>
      <c r="I19" s="49"/>
    </row>
    <row r="20" spans="1:10">
      <c r="A20" s="65" t="s">
        <v>159</v>
      </c>
      <c r="B20" t="s">
        <v>848</v>
      </c>
      <c r="C20" s="57" t="s">
        <v>868</v>
      </c>
      <c r="E20" s="57"/>
      <c r="F20" t="s">
        <v>569</v>
      </c>
      <c r="I20" s="46"/>
      <c r="J20" t="s">
        <v>599</v>
      </c>
    </row>
    <row r="21" spans="1:10">
      <c r="A21" s="50" t="s">
        <v>22</v>
      </c>
      <c r="B21" t="s">
        <v>812</v>
      </c>
      <c r="C21" s="57" t="s">
        <v>616</v>
      </c>
      <c r="E21" s="57"/>
      <c r="F21" t="s">
        <v>13</v>
      </c>
      <c r="G21" s="10">
        <v>212.3</v>
      </c>
      <c r="H21" s="10">
        <v>101.8</v>
      </c>
      <c r="I21" s="48"/>
      <c r="J21" s="41" t="s">
        <v>158</v>
      </c>
    </row>
    <row r="22" spans="1:10">
      <c r="A22" s="50" t="s">
        <v>160</v>
      </c>
      <c r="B22" t="s">
        <v>869</v>
      </c>
      <c r="C22" s="57" t="s">
        <v>874</v>
      </c>
      <c r="E22" s="57"/>
      <c r="I22" s="46"/>
      <c r="J22" t="s">
        <v>870</v>
      </c>
    </row>
    <row r="23" spans="1:10">
      <c r="A23" s="50" t="s">
        <v>160</v>
      </c>
      <c r="B23" t="s">
        <v>565</v>
      </c>
      <c r="C23" s="57" t="s">
        <v>873</v>
      </c>
      <c r="E23" s="57"/>
      <c r="I23" s="46"/>
      <c r="J23" s="10" t="s">
        <v>871</v>
      </c>
    </row>
    <row r="24" spans="1:10">
      <c r="A24" s="50" t="s">
        <v>160</v>
      </c>
      <c r="B24" t="s">
        <v>875</v>
      </c>
      <c r="C24" s="57" t="s">
        <v>388</v>
      </c>
      <c r="E24" s="57"/>
      <c r="I24" s="46"/>
      <c r="J24" t="s">
        <v>872</v>
      </c>
    </row>
    <row r="25" spans="1:10">
      <c r="C25" s="57"/>
      <c r="E25" s="57"/>
      <c r="I25" s="46"/>
    </row>
    <row r="26" spans="1:10">
      <c r="A26" s="50" t="s">
        <v>705</v>
      </c>
      <c r="B26" t="s">
        <v>888</v>
      </c>
      <c r="C26" s="57" t="s">
        <v>616</v>
      </c>
      <c r="E26" s="57"/>
      <c r="F26" t="s">
        <v>568</v>
      </c>
      <c r="G26">
        <v>53.7</v>
      </c>
      <c r="I26" s="46"/>
      <c r="J26" t="s">
        <v>883</v>
      </c>
    </row>
    <row r="27" spans="1:10">
      <c r="C27" s="57"/>
      <c r="E27" s="57"/>
      <c r="I27" s="46"/>
    </row>
    <row r="28" spans="1:10">
      <c r="A28" s="50" t="s">
        <v>544</v>
      </c>
      <c r="B28" t="s">
        <v>812</v>
      </c>
      <c r="C28" s="57"/>
      <c r="E28" s="57"/>
      <c r="F28" t="s">
        <v>14</v>
      </c>
      <c r="G28" s="11">
        <v>161</v>
      </c>
      <c r="H28" s="11">
        <v>109.3</v>
      </c>
      <c r="I28" s="49"/>
      <c r="J28" t="s">
        <v>913</v>
      </c>
    </row>
    <row r="29" spans="1:10">
      <c r="A29" s="50" t="s">
        <v>919</v>
      </c>
      <c r="B29" t="s">
        <v>917</v>
      </c>
      <c r="C29" s="57" t="s">
        <v>390</v>
      </c>
      <c r="E29" s="57"/>
      <c r="G29" s="11"/>
      <c r="H29" s="11"/>
      <c r="I29" s="49"/>
      <c r="J29" t="s">
        <v>918</v>
      </c>
    </row>
    <row r="30" spans="1:10">
      <c r="A30" s="50" t="s">
        <v>944</v>
      </c>
      <c r="B30" t="s">
        <v>945</v>
      </c>
      <c r="C30" s="57" t="s">
        <v>593</v>
      </c>
      <c r="E30" s="57" t="s">
        <v>968</v>
      </c>
      <c r="F30" t="s">
        <v>984</v>
      </c>
      <c r="G30" s="11"/>
      <c r="H30" s="11"/>
      <c r="I30" s="49"/>
    </row>
    <row r="31" spans="1:10">
      <c r="A31" s="50" t="s">
        <v>946</v>
      </c>
      <c r="B31" t="s">
        <v>949</v>
      </c>
      <c r="C31" s="57"/>
      <c r="E31" s="57"/>
      <c r="G31" s="11"/>
      <c r="H31" s="11"/>
      <c r="I31" s="49"/>
    </row>
    <row r="32" spans="1:10">
      <c r="C32" s="57"/>
      <c r="E32" s="57"/>
      <c r="G32" s="11"/>
      <c r="H32" s="11"/>
      <c r="I32" s="49"/>
    </row>
    <row r="33" spans="1:10">
      <c r="A33" s="50" t="s">
        <v>935</v>
      </c>
      <c r="B33" t="s">
        <v>950</v>
      </c>
      <c r="C33" s="57" t="s">
        <v>390</v>
      </c>
      <c r="E33" s="57"/>
      <c r="G33" s="11"/>
      <c r="H33" s="11"/>
      <c r="I33" s="49"/>
    </row>
    <row r="34" spans="1:10">
      <c r="A34" s="50" t="s">
        <v>78</v>
      </c>
      <c r="B34" t="s">
        <v>878</v>
      </c>
      <c r="C34" s="57" t="s">
        <v>881</v>
      </c>
      <c r="E34" s="57"/>
      <c r="F34" t="s">
        <v>879</v>
      </c>
      <c r="I34" s="46"/>
      <c r="J34" t="s">
        <v>880</v>
      </c>
    </row>
    <row r="35" spans="1:10">
      <c r="A35" s="50" t="s">
        <v>542</v>
      </c>
      <c r="B35" t="s">
        <v>885</v>
      </c>
      <c r="C35" s="57" t="s">
        <v>388</v>
      </c>
      <c r="E35" s="57"/>
      <c r="F35" t="s">
        <v>570</v>
      </c>
      <c r="G35">
        <v>181</v>
      </c>
      <c r="H35">
        <v>79.2</v>
      </c>
      <c r="I35" s="46"/>
      <c r="J35" t="s">
        <v>884</v>
      </c>
    </row>
    <row r="36" spans="1:10">
      <c r="A36" s="50" t="s">
        <v>32</v>
      </c>
      <c r="B36" t="s">
        <v>890</v>
      </c>
      <c r="C36" s="57" t="s">
        <v>388</v>
      </c>
      <c r="E36" s="57"/>
      <c r="F36" t="s">
        <v>33</v>
      </c>
      <c r="G36" s="10">
        <v>49</v>
      </c>
      <c r="I36" s="46"/>
      <c r="J36" t="s">
        <v>892</v>
      </c>
    </row>
    <row r="37" spans="1:10">
      <c r="A37" s="50" t="s">
        <v>81</v>
      </c>
      <c r="B37" t="s">
        <v>895</v>
      </c>
      <c r="C37" s="57" t="s">
        <v>390</v>
      </c>
      <c r="E37" s="57"/>
      <c r="I37" s="46"/>
    </row>
    <row r="38" spans="1:10">
      <c r="A38" s="73" t="s">
        <v>584</v>
      </c>
      <c r="B38" t="s">
        <v>951</v>
      </c>
      <c r="C38" s="69" t="s">
        <v>118</v>
      </c>
      <c r="E38" s="57"/>
      <c r="I38" s="46"/>
      <c r="J38" t="s">
        <v>900</v>
      </c>
    </row>
    <row r="39" spans="1:10">
      <c r="A39" s="73" t="s">
        <v>585</v>
      </c>
      <c r="B39" t="s">
        <v>951</v>
      </c>
      <c r="C39" s="69" t="s">
        <v>118</v>
      </c>
      <c r="E39" s="57"/>
      <c r="I39" s="46"/>
      <c r="J39" t="s">
        <v>586</v>
      </c>
    </row>
    <row r="40" spans="1:10">
      <c r="A40" s="50" t="s">
        <v>540</v>
      </c>
      <c r="B40" t="s">
        <v>971</v>
      </c>
      <c r="C40" s="69" t="s">
        <v>390</v>
      </c>
      <c r="E40" s="57"/>
      <c r="F40" t="s">
        <v>968</v>
      </c>
      <c r="I40" s="46"/>
      <c r="J40" t="s">
        <v>972</v>
      </c>
    </row>
    <row r="41" spans="1:10">
      <c r="A41" s="50" t="s">
        <v>540</v>
      </c>
      <c r="B41" t="s">
        <v>971</v>
      </c>
      <c r="C41" s="69" t="s">
        <v>390</v>
      </c>
      <c r="E41" s="57"/>
      <c r="F41" t="s">
        <v>968</v>
      </c>
      <c r="I41" s="46"/>
      <c r="J41" t="s">
        <v>973</v>
      </c>
    </row>
    <row r="42" spans="1:10">
      <c r="A42" s="50" t="s">
        <v>540</v>
      </c>
      <c r="B42" t="s">
        <v>901</v>
      </c>
      <c r="C42" s="69" t="s">
        <v>390</v>
      </c>
      <c r="E42" s="57"/>
      <c r="I42" s="46"/>
    </row>
    <row r="43" spans="1:10">
      <c r="A43" s="73" t="s">
        <v>540</v>
      </c>
      <c r="B43" t="s">
        <v>901</v>
      </c>
      <c r="C43" s="69" t="s">
        <v>118</v>
      </c>
      <c r="E43" s="57"/>
      <c r="I43" s="46"/>
      <c r="J43" s="10"/>
    </row>
    <row r="44" spans="1:10">
      <c r="A44" s="73" t="s">
        <v>540</v>
      </c>
      <c r="B44" t="s">
        <v>929</v>
      </c>
      <c r="C44" s="69" t="s">
        <v>118</v>
      </c>
      <c r="E44" s="57"/>
      <c r="I44" s="46"/>
      <c r="J44" s="10" t="s">
        <v>571</v>
      </c>
    </row>
    <row r="45" spans="1:10">
      <c r="A45" s="73" t="s">
        <v>540</v>
      </c>
      <c r="B45" t="s">
        <v>907</v>
      </c>
      <c r="C45" s="69" t="s">
        <v>118</v>
      </c>
      <c r="E45" s="57"/>
      <c r="I45" s="46"/>
      <c r="J45" s="11" t="s">
        <v>908</v>
      </c>
    </row>
    <row r="46" spans="1:10">
      <c r="A46" s="73" t="s">
        <v>904</v>
      </c>
      <c r="B46" t="s">
        <v>907</v>
      </c>
      <c r="C46" s="69" t="s">
        <v>118</v>
      </c>
      <c r="E46" s="57"/>
      <c r="I46" s="46"/>
      <c r="J46" s="11" t="s">
        <v>908</v>
      </c>
    </row>
    <row r="47" spans="1:10">
      <c r="A47" s="74" t="s">
        <v>556</v>
      </c>
      <c r="B47" t="s">
        <v>907</v>
      </c>
      <c r="C47" s="69" t="s">
        <v>118</v>
      </c>
      <c r="E47" s="57"/>
      <c r="I47" s="46"/>
    </row>
    <row r="48" spans="1:10">
      <c r="A48" s="74" t="s">
        <v>561</v>
      </c>
      <c r="B48" t="s">
        <v>907</v>
      </c>
      <c r="C48" s="69" t="s">
        <v>118</v>
      </c>
      <c r="E48" s="57"/>
      <c r="I48" s="46"/>
    </row>
    <row r="49" spans="1:10">
      <c r="A49" s="74" t="s">
        <v>557</v>
      </c>
      <c r="B49" t="s">
        <v>907</v>
      </c>
      <c r="C49" s="69" t="s">
        <v>118</v>
      </c>
      <c r="E49" s="57"/>
      <c r="I49" s="46"/>
    </row>
    <row r="50" spans="1:10">
      <c r="A50" s="74" t="s">
        <v>558</v>
      </c>
      <c r="B50" t="s">
        <v>907</v>
      </c>
      <c r="C50" s="69" t="s">
        <v>118</v>
      </c>
      <c r="E50" s="57"/>
      <c r="I50" s="46"/>
    </row>
    <row r="51" spans="1:10">
      <c r="A51" s="74" t="s">
        <v>559</v>
      </c>
      <c r="B51" t="s">
        <v>907</v>
      </c>
      <c r="C51" s="69" t="s">
        <v>118</v>
      </c>
      <c r="E51" s="57"/>
      <c r="I51" s="46"/>
    </row>
    <row r="52" spans="1:10">
      <c r="A52" s="74" t="s">
        <v>560</v>
      </c>
      <c r="B52" t="s">
        <v>907</v>
      </c>
      <c r="C52" s="69" t="s">
        <v>118</v>
      </c>
      <c r="E52" s="57"/>
      <c r="I52" s="46"/>
    </row>
    <row r="53" spans="1:10">
      <c r="A53" s="74"/>
      <c r="C53" s="69"/>
      <c r="E53" s="57"/>
      <c r="I53" s="46"/>
    </row>
    <row r="54" spans="1:10">
      <c r="A54" s="50" t="s">
        <v>543</v>
      </c>
      <c r="B54" t="s">
        <v>910</v>
      </c>
      <c r="C54" s="57"/>
      <c r="E54" s="57"/>
      <c r="F54" t="s">
        <v>13</v>
      </c>
      <c r="G54">
        <v>56.4</v>
      </c>
      <c r="H54" s="11">
        <v>41.4</v>
      </c>
      <c r="I54" s="49"/>
      <c r="J54" t="s">
        <v>911</v>
      </c>
    </row>
    <row r="55" spans="1:10">
      <c r="A55" s="50" t="s">
        <v>543</v>
      </c>
      <c r="B55" t="s">
        <v>912</v>
      </c>
      <c r="C55" s="57"/>
      <c r="E55" s="57"/>
      <c r="G55" s="13"/>
      <c r="H55" s="13"/>
      <c r="I55" s="47"/>
    </row>
    <row r="56" spans="1:10">
      <c r="A56" s="74" t="s">
        <v>551</v>
      </c>
      <c r="C56" s="57"/>
      <c r="E56" s="57"/>
      <c r="G56">
        <v>23.5</v>
      </c>
      <c r="H56">
        <v>42.2</v>
      </c>
      <c r="I56" s="46"/>
    </row>
    <row r="57" spans="1:10">
      <c r="A57" s="74">
        <v>578</v>
      </c>
      <c r="C57" s="57"/>
      <c r="E57" s="57"/>
      <c r="G57">
        <v>32.9</v>
      </c>
      <c r="H57">
        <v>41</v>
      </c>
      <c r="I57" s="46"/>
    </row>
    <row r="58" spans="1:10">
      <c r="A58" s="74">
        <v>585</v>
      </c>
      <c r="C58" s="57"/>
      <c r="E58" s="57"/>
      <c r="G58">
        <v>39.9</v>
      </c>
      <c r="H58">
        <v>40</v>
      </c>
      <c r="I58" s="46"/>
    </row>
    <row r="59" spans="1:10">
      <c r="A59" s="74">
        <v>590</v>
      </c>
      <c r="C59" s="57"/>
      <c r="E59" s="57"/>
      <c r="G59">
        <v>45.5</v>
      </c>
      <c r="H59">
        <v>42.1</v>
      </c>
      <c r="I59" s="46"/>
    </row>
    <row r="60" spans="1:10">
      <c r="A60" s="74">
        <v>595</v>
      </c>
      <c r="C60" s="57"/>
      <c r="E60" s="57"/>
      <c r="G60">
        <v>49.9</v>
      </c>
      <c r="H60">
        <v>41.8</v>
      </c>
      <c r="I60" s="46"/>
    </row>
    <row r="61" spans="1:10">
      <c r="A61" s="74">
        <v>600</v>
      </c>
      <c r="C61" s="57"/>
      <c r="E61" s="57"/>
      <c r="G61">
        <v>54.6</v>
      </c>
      <c r="H61">
        <v>41.5</v>
      </c>
      <c r="I61" s="46"/>
    </row>
    <row r="62" spans="1:10">
      <c r="A62" s="74">
        <v>650</v>
      </c>
      <c r="C62" s="57"/>
      <c r="E62" s="57"/>
      <c r="G62">
        <v>63.8</v>
      </c>
      <c r="H62">
        <v>41.6</v>
      </c>
      <c r="I62" s="46"/>
    </row>
    <row r="63" spans="1:10">
      <c r="A63" s="74">
        <v>700</v>
      </c>
      <c r="C63" s="57"/>
      <c r="E63" s="57"/>
      <c r="G63">
        <v>67.8</v>
      </c>
      <c r="H63">
        <v>41.8</v>
      </c>
      <c r="I63" s="46"/>
    </row>
    <row r="64" spans="1:10">
      <c r="A64" s="74">
        <v>750</v>
      </c>
      <c r="C64" s="57"/>
      <c r="E64" s="57"/>
      <c r="G64">
        <v>70.5</v>
      </c>
      <c r="H64">
        <v>42.2</v>
      </c>
      <c r="I64" s="46"/>
    </row>
    <row r="65" spans="1:9">
      <c r="A65" s="74">
        <v>800</v>
      </c>
      <c r="C65" s="57"/>
      <c r="E65" s="57"/>
      <c r="G65">
        <v>72.099999999999994</v>
      </c>
      <c r="H65">
        <v>42.4</v>
      </c>
      <c r="I65" s="46"/>
    </row>
    <row r="66" spans="1:9">
      <c r="A66" s="74">
        <v>850</v>
      </c>
      <c r="C66" s="57"/>
      <c r="E66" s="57"/>
      <c r="G66">
        <v>73.2</v>
      </c>
      <c r="H66">
        <v>42.7</v>
      </c>
      <c r="I66" s="46"/>
    </row>
    <row r="67" spans="1:9">
      <c r="A67" s="74">
        <v>900</v>
      </c>
      <c r="C67" s="57"/>
      <c r="E67" s="57"/>
      <c r="G67">
        <v>73.599999999999994</v>
      </c>
      <c r="H67">
        <v>43</v>
      </c>
      <c r="I67" s="46"/>
    </row>
    <row r="68" spans="1:9">
      <c r="A68" s="74">
        <v>950</v>
      </c>
      <c r="C68" s="57"/>
      <c r="E68" s="57"/>
      <c r="G68">
        <v>75.099999999999994</v>
      </c>
      <c r="H68">
        <v>43.4</v>
      </c>
      <c r="I68" s="46"/>
    </row>
    <row r="69" spans="1:9">
      <c r="A69" s="74">
        <v>975</v>
      </c>
      <c r="C69" s="57"/>
      <c r="E69" s="57"/>
      <c r="G69">
        <v>76</v>
      </c>
      <c r="H69">
        <v>43.4</v>
      </c>
      <c r="I69" s="46"/>
    </row>
    <row r="70" spans="1:9">
      <c r="A70" s="75">
        <v>1000</v>
      </c>
      <c r="C70" s="57"/>
      <c r="E70" s="57"/>
      <c r="G70">
        <v>76.3</v>
      </c>
      <c r="H70">
        <v>43.5</v>
      </c>
      <c r="I70" s="46"/>
    </row>
    <row r="71" spans="1:9">
      <c r="A71" s="75">
        <v>1025</v>
      </c>
      <c r="C71" s="57"/>
      <c r="E71" s="57"/>
      <c r="G71">
        <v>77.099999999999994</v>
      </c>
      <c r="H71">
        <v>43.6</v>
      </c>
      <c r="I71" s="46"/>
    </row>
    <row r="72" spans="1:9">
      <c r="A72" s="75">
        <v>1050</v>
      </c>
      <c r="C72" s="57"/>
      <c r="E72" s="57"/>
      <c r="G72">
        <v>78</v>
      </c>
      <c r="H72">
        <v>43.8</v>
      </c>
      <c r="I72" s="46"/>
    </row>
    <row r="73" spans="1:9">
      <c r="A73" s="75"/>
      <c r="C73" s="57"/>
      <c r="E73" s="57"/>
      <c r="I73" s="46"/>
    </row>
    <row r="74" spans="1:9">
      <c r="A74" s="50" t="s">
        <v>601</v>
      </c>
      <c r="B74" t="s">
        <v>608</v>
      </c>
      <c r="C74" s="57"/>
      <c r="E74" s="57"/>
      <c r="I74" s="46"/>
    </row>
    <row r="75" spans="1:9">
      <c r="A75" s="50" t="s">
        <v>602</v>
      </c>
      <c r="C75" s="57"/>
      <c r="E75" s="57"/>
      <c r="I75" s="46"/>
    </row>
    <row r="76" spans="1:9">
      <c r="A76" s="50" t="s">
        <v>603</v>
      </c>
      <c r="C76" s="57"/>
      <c r="E76" s="57"/>
      <c r="I76" s="46"/>
    </row>
    <row r="77" spans="1:9">
      <c r="A77" s="50" t="s">
        <v>604</v>
      </c>
      <c r="C77" s="57"/>
      <c r="E77" s="57"/>
      <c r="I77" s="46"/>
    </row>
    <row r="78" spans="1:9">
      <c r="A78" s="50" t="s">
        <v>605</v>
      </c>
      <c r="C78" s="57"/>
      <c r="E78" s="57"/>
      <c r="I78" s="46"/>
    </row>
    <row r="79" spans="1:9">
      <c r="A79" s="50" t="s">
        <v>606</v>
      </c>
      <c r="C79" s="57"/>
      <c r="E79" s="57"/>
      <c r="I79" s="46"/>
    </row>
    <row r="80" spans="1:9">
      <c r="A80" s="50" t="s">
        <v>607</v>
      </c>
      <c r="C80" s="57"/>
      <c r="E80" s="57"/>
      <c r="I80" s="46"/>
    </row>
    <row r="81" spans="1:10">
      <c r="C81" s="57"/>
      <c r="E81" s="57"/>
      <c r="I81" s="46"/>
    </row>
    <row r="82" spans="1:10">
      <c r="A82" s="50" t="s">
        <v>982</v>
      </c>
      <c r="C82" s="57"/>
      <c r="E82" s="57"/>
      <c r="I82" s="46"/>
    </row>
    <row r="83" spans="1:10">
      <c r="A83" s="50" t="s">
        <v>546</v>
      </c>
      <c r="B83" t="s">
        <v>846</v>
      </c>
      <c r="C83" s="57" t="s">
        <v>616</v>
      </c>
      <c r="E83" s="57"/>
      <c r="F83" t="s">
        <v>75</v>
      </c>
      <c r="G83">
        <v>143.5</v>
      </c>
      <c r="H83">
        <v>46.8</v>
      </c>
      <c r="I83" s="46"/>
      <c r="J83" t="s">
        <v>847</v>
      </c>
    </row>
    <row r="84" spans="1:10">
      <c r="A84" s="50" t="s">
        <v>546</v>
      </c>
      <c r="B84" t="s">
        <v>855</v>
      </c>
      <c r="C84" s="57" t="s">
        <v>845</v>
      </c>
      <c r="E84" s="57"/>
      <c r="F84" t="s">
        <v>75</v>
      </c>
      <c r="G84">
        <v>142.6</v>
      </c>
      <c r="H84">
        <v>46.3</v>
      </c>
      <c r="I84" s="46"/>
      <c r="J84" t="s">
        <v>844</v>
      </c>
    </row>
    <row r="85" spans="1:10">
      <c r="A85" s="50" t="s">
        <v>546</v>
      </c>
      <c r="B85" t="s">
        <v>855</v>
      </c>
      <c r="C85" s="57" t="s">
        <v>845</v>
      </c>
      <c r="E85" s="57"/>
      <c r="F85" t="s">
        <v>75</v>
      </c>
      <c r="G85">
        <v>142.9</v>
      </c>
      <c r="H85">
        <v>48.2</v>
      </c>
      <c r="I85" s="46"/>
      <c r="J85" t="s">
        <v>42</v>
      </c>
    </row>
    <row r="86" spans="1:10">
      <c r="C86" s="57"/>
      <c r="E86" s="57"/>
      <c r="I86" s="46"/>
    </row>
    <row r="87" spans="1:10">
      <c r="A87" s="50" t="s">
        <v>893</v>
      </c>
      <c r="C87" s="57"/>
      <c r="E87" s="57"/>
      <c r="I87" s="46"/>
    </row>
    <row r="88" spans="1:10">
      <c r="A88" s="50" t="s">
        <v>32</v>
      </c>
      <c r="B88" t="s">
        <v>812</v>
      </c>
      <c r="C88" s="57"/>
      <c r="E88" s="57"/>
      <c r="F88" t="s">
        <v>13</v>
      </c>
      <c r="G88">
        <v>48.9</v>
      </c>
      <c r="H88">
        <v>30.7</v>
      </c>
      <c r="I88" s="46"/>
      <c r="J88" t="s">
        <v>889</v>
      </c>
    </row>
    <row r="89" spans="1:10">
      <c r="A89" s="65" t="s">
        <v>77</v>
      </c>
      <c r="B89" t="s">
        <v>886</v>
      </c>
      <c r="C89" s="57" t="s">
        <v>388</v>
      </c>
      <c r="E89" s="57"/>
      <c r="F89" t="s">
        <v>30</v>
      </c>
      <c r="I89" s="46"/>
      <c r="J89" t="s">
        <v>887</v>
      </c>
    </row>
    <row r="92" spans="1:10">
      <c r="A92" s="51"/>
    </row>
    <row r="93" spans="1:10">
      <c r="A93" s="52"/>
    </row>
    <row r="94" spans="1:10">
      <c r="A94" s="52"/>
    </row>
    <row r="95" spans="1:10">
      <c r="A95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95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defaultColWidth="8.83984375" defaultRowHeight="14.4" outlineLevelCol="1"/>
  <cols>
    <col min="1" max="1" width="14" style="53" customWidth="1"/>
    <col min="2" max="2" width="11.83984375" customWidth="1" outlineLevel="1"/>
    <col min="3" max="3" width="11.68359375" customWidth="1" outlineLevel="1"/>
    <col min="4" max="4" width="9.83984375" customWidth="1" outlineLevel="1"/>
    <col min="5" max="5" width="4.41796875" style="57" customWidth="1" outlineLevel="1"/>
    <col min="6" max="6" width="3.83984375" style="57" customWidth="1" outlineLevel="1"/>
    <col min="7" max="7" width="4" style="57" customWidth="1" outlineLevel="1"/>
    <col min="8" max="8" width="7.15625" customWidth="1"/>
    <col min="9" max="9" width="8" customWidth="1" outlineLevel="1"/>
    <col min="10" max="11" width="7.26171875" customWidth="1" outlineLevel="1"/>
    <col min="12" max="12" width="7.41796875" customWidth="1" outlineLevel="1"/>
    <col min="13" max="13" width="7" customWidth="1" outlineLevel="1"/>
    <col min="14" max="14" width="7.26171875" customWidth="1" outlineLevel="1"/>
    <col min="15" max="15" width="6.68359375" customWidth="1" outlineLevel="1"/>
    <col min="16" max="16" width="8.41796875" customWidth="1"/>
    <col min="17" max="17" width="8.83984375" customWidth="1"/>
    <col min="18" max="18" width="7.83984375" customWidth="1" collapsed="1"/>
    <col min="19" max="19" width="8.41796875" customWidth="1" outlineLevel="1"/>
    <col min="20" max="20" width="10" customWidth="1" outlineLevel="1"/>
    <col min="21" max="21" width="6.68359375" customWidth="1"/>
    <col min="22" max="22" width="7" customWidth="1"/>
    <col min="23" max="23" width="7.83984375" customWidth="1"/>
    <col min="24" max="24" width="7.83984375" customWidth="1" collapsed="1"/>
    <col min="25" max="25" width="7.83984375" customWidth="1"/>
    <col min="26" max="26" width="8.83984375" customWidth="1" outlineLevel="1"/>
    <col min="27" max="30" width="7" customWidth="1" outlineLevel="1"/>
    <col min="31" max="34" width="7" customWidth="1"/>
    <col min="35" max="35" width="7.26171875" style="43" customWidth="1"/>
    <col min="36" max="36" width="8.68359375" style="7" customWidth="1"/>
    <col min="37" max="37" width="9.15625" customWidth="1" outlineLevel="1" collapsed="1"/>
    <col min="38" max="38" width="10.41796875" customWidth="1" outlineLevel="1"/>
    <col min="39" max="41" width="7" customWidth="1" outlineLevel="1"/>
    <col min="42" max="42" width="6.83984375" customWidth="1" outlineLevel="1"/>
    <col min="43" max="43" width="7" customWidth="1" outlineLevel="1"/>
    <col min="44" max="44" width="5.41796875" customWidth="1" outlineLevel="1"/>
    <col min="45" max="45" width="21.41796875" customWidth="1"/>
    <col min="46" max="47" width="10.26171875" customWidth="1"/>
    <col min="48" max="48" width="27.15625" customWidth="1" outlineLevel="1"/>
    <col min="49" max="49" width="7" customWidth="1" outlineLevel="1"/>
    <col min="50" max="50" width="7.83984375" customWidth="1" outlineLevel="1"/>
    <col min="51" max="51" width="47.68359375" customWidth="1"/>
  </cols>
  <sheetData>
    <row r="1" spans="1:44" s="23" customFormat="1" ht="17.100000000000001" thickBot="1">
      <c r="A1" s="83" t="s">
        <v>242</v>
      </c>
      <c r="B1" s="23" t="s">
        <v>412</v>
      </c>
      <c r="C1" s="23" t="s">
        <v>241</v>
      </c>
      <c r="D1" s="23" t="s">
        <v>610</v>
      </c>
      <c r="F1" s="23" t="s">
        <v>703</v>
      </c>
      <c r="G1" s="23" t="s">
        <v>704</v>
      </c>
      <c r="H1" s="121" t="s">
        <v>1391</v>
      </c>
      <c r="I1" s="23">
        <v>11</v>
      </c>
      <c r="J1" s="23">
        <v>33</v>
      </c>
      <c r="K1" s="23">
        <v>44</v>
      </c>
      <c r="L1" s="23">
        <v>12</v>
      </c>
      <c r="M1" s="23">
        <v>13</v>
      </c>
      <c r="N1" s="23">
        <v>14</v>
      </c>
      <c r="O1" s="23">
        <v>15</v>
      </c>
      <c r="P1" s="23" t="s">
        <v>134</v>
      </c>
      <c r="Q1" s="23" t="s">
        <v>135</v>
      </c>
      <c r="R1" s="23" t="s">
        <v>155</v>
      </c>
      <c r="S1" s="23" t="s">
        <v>139</v>
      </c>
      <c r="T1" s="23" t="s">
        <v>138</v>
      </c>
      <c r="U1" s="23" t="s">
        <v>136</v>
      </c>
      <c r="V1" s="23" t="s">
        <v>137</v>
      </c>
      <c r="W1" s="23" t="s">
        <v>157</v>
      </c>
      <c r="X1" s="23" t="s">
        <v>208</v>
      </c>
      <c r="Y1" s="144" t="s">
        <v>1786</v>
      </c>
      <c r="Z1" s="146" t="s">
        <v>1791</v>
      </c>
      <c r="AA1" s="23" t="s">
        <v>166</v>
      </c>
      <c r="AB1" s="23" t="s">
        <v>167</v>
      </c>
      <c r="AC1" s="23" t="s">
        <v>168</v>
      </c>
      <c r="AD1" s="23" t="s">
        <v>169</v>
      </c>
      <c r="AE1" s="23" t="s">
        <v>146</v>
      </c>
      <c r="AF1" s="23" t="s">
        <v>985</v>
      </c>
      <c r="AG1" s="23" t="s">
        <v>120</v>
      </c>
      <c r="AH1" s="23" t="s">
        <v>119</v>
      </c>
      <c r="AI1" s="84" t="s">
        <v>621</v>
      </c>
      <c r="AJ1" s="85" t="s">
        <v>622</v>
      </c>
      <c r="AK1" s="23" t="s">
        <v>1789</v>
      </c>
      <c r="AL1" s="23" t="s">
        <v>1790</v>
      </c>
      <c r="AM1" s="23" t="s">
        <v>161</v>
      </c>
      <c r="AN1" s="23" t="s">
        <v>162</v>
      </c>
      <c r="AO1" s="23" t="s">
        <v>163</v>
      </c>
      <c r="AP1" s="23" t="s">
        <v>161</v>
      </c>
      <c r="AQ1" s="23" t="s">
        <v>162</v>
      </c>
      <c r="AR1" s="23" t="s">
        <v>163</v>
      </c>
    </row>
    <row r="2" spans="1:44">
      <c r="A2" s="53" t="s">
        <v>492</v>
      </c>
      <c r="B2" t="s">
        <v>478</v>
      </c>
      <c r="C2" t="s">
        <v>423</v>
      </c>
      <c r="D2" t="s">
        <v>521</v>
      </c>
      <c r="E2" s="57" t="s">
        <v>93</v>
      </c>
      <c r="F2" s="57">
        <v>4</v>
      </c>
      <c r="G2" s="57">
        <v>4</v>
      </c>
      <c r="H2">
        <v>3.9820000000000002</v>
      </c>
      <c r="I2">
        <v>497</v>
      </c>
      <c r="J2">
        <v>501</v>
      </c>
      <c r="K2">
        <v>146.80000000000001</v>
      </c>
      <c r="L2">
        <v>163</v>
      </c>
      <c r="M2">
        <v>116</v>
      </c>
      <c r="N2">
        <v>-21.9</v>
      </c>
      <c r="O2">
        <v>0</v>
      </c>
      <c r="P2" s="4">
        <f t="shared" ref="P2:P24" si="0">(2*I2+2*L2+4*M2+J2)/9</f>
        <v>253.88888888888889</v>
      </c>
      <c r="Q2" s="4">
        <f t="shared" ref="Q2:Q24" si="1">((I2+L2)*J2-2*M2*M2)/(I2+L2+2*J2-4*M2)</f>
        <v>253.54590984974959</v>
      </c>
      <c r="R2" s="7">
        <f t="shared" ref="R2:R24" si="2">0.5*(P2+Q2)</f>
        <v>253.71739936931925</v>
      </c>
      <c r="S2" s="4">
        <f t="shared" ref="S2:S24" si="3">0.5*(I2-L2)</f>
        <v>167</v>
      </c>
      <c r="T2" s="4">
        <f t="shared" ref="T2:T24" si="4">(I2+L2)*J2-2*M2*M2</f>
        <v>303748</v>
      </c>
      <c r="U2" s="4">
        <f t="shared" ref="U2:U24" si="5">(I2+L2+2*J2-4*M2+12*K2+6*(I2-L2))/30</f>
        <v>165.45333333333335</v>
      </c>
      <c r="V2" s="4">
        <f t="shared" ref="V2:V22" si="6">(5*T2*(K2*S2-N2*N2))/(6*P2*(K2*S2-N2*N2)+2*T2*(K2+S2))</f>
        <v>160.63758059547092</v>
      </c>
      <c r="W2" s="7">
        <f t="shared" ref="W2:W24" si="7">0.5*(U2+V2)</f>
        <v>163.04545696440215</v>
      </c>
      <c r="X2" s="7">
        <f t="shared" ref="X2:X24" si="8">R2/W2</f>
        <v>1.5561144977177352</v>
      </c>
      <c r="Y2" s="4">
        <f t="shared" ref="Y2:Y24" si="9">(3*R2-2*W2)/(2*(3*R2+W2))</f>
        <v>0.23537242374040129</v>
      </c>
      <c r="Z2" s="4">
        <f>9*W2*R2/(W2+3*R2)</f>
        <v>402.84372269994958</v>
      </c>
      <c r="AA2" s="4">
        <f>SQRT((R2+4/3*W2)/H2)</f>
        <v>10.877050682011934</v>
      </c>
      <c r="AB2" s="4">
        <f>SQRT(R2/H2)</f>
        <v>7.9822347852641915</v>
      </c>
      <c r="AC2" s="4">
        <f>SQRT(W2/H2)</f>
        <v>6.3988764270753773</v>
      </c>
      <c r="AD2" s="4">
        <f>AA2/AC2</f>
        <v>1.6998375896099804</v>
      </c>
      <c r="AE2" s="4">
        <f t="shared" ref="AE2:AE22" si="10">5*U2/V2 +P2/Q2 - 6</f>
        <v>0.15124768935103283</v>
      </c>
      <c r="AF2" s="18">
        <f>SQRT((LN(P2/Q2))^2+5*(LN(U2/V2))^2)</f>
        <v>6.6063715573081591E-2</v>
      </c>
      <c r="AG2" s="18">
        <f t="shared" ref="AG2:AG24" si="11">(U2-V2)/(U2+V2)</f>
        <v>1.4768129169382046E-2</v>
      </c>
      <c r="AH2" s="18">
        <f t="shared" ref="AH2:AH24" si="12">(P2-Q2)/(P2+Q2)</f>
        <v>6.7590760427124427E-4</v>
      </c>
      <c r="AK2" s="4">
        <v>0.1089</v>
      </c>
      <c r="AL2" s="4">
        <v>0.34889999999999999</v>
      </c>
      <c r="AM2" s="4">
        <v>0</v>
      </c>
      <c r="AN2" s="4">
        <v>4</v>
      </c>
      <c r="AO2" s="4">
        <v>7</v>
      </c>
      <c r="AP2" s="4">
        <v>1</v>
      </c>
      <c r="AQ2" s="4">
        <v>0</v>
      </c>
      <c r="AR2" s="4">
        <v>0</v>
      </c>
    </row>
    <row r="3" spans="1:44">
      <c r="A3" s="53" t="s">
        <v>492</v>
      </c>
      <c r="B3" t="s">
        <v>478</v>
      </c>
      <c r="C3" t="s">
        <v>423</v>
      </c>
      <c r="D3" t="s">
        <v>521</v>
      </c>
      <c r="E3" s="57" t="s">
        <v>93</v>
      </c>
      <c r="F3" s="57">
        <v>4</v>
      </c>
      <c r="G3" s="57">
        <v>4</v>
      </c>
      <c r="H3">
        <v>0</v>
      </c>
      <c r="I3">
        <v>497.6</v>
      </c>
      <c r="J3">
        <v>501.9</v>
      </c>
      <c r="K3">
        <v>147.19999999999999</v>
      </c>
      <c r="L3">
        <v>162.6</v>
      </c>
      <c r="M3">
        <v>117.2</v>
      </c>
      <c r="N3">
        <v>-22.9</v>
      </c>
      <c r="O3">
        <v>0</v>
      </c>
      <c r="P3" s="4">
        <f t="shared" si="0"/>
        <v>254.56666666666666</v>
      </c>
      <c r="Q3" s="4">
        <f t="shared" si="1"/>
        <v>254.25259370816599</v>
      </c>
      <c r="R3" s="7">
        <f t="shared" si="2"/>
        <v>254.40963018741633</v>
      </c>
      <c r="S3" s="4">
        <f t="shared" si="3"/>
        <v>167.5</v>
      </c>
      <c r="T3" s="4">
        <f t="shared" si="4"/>
        <v>303882.7</v>
      </c>
      <c r="U3" s="4">
        <f t="shared" si="5"/>
        <v>165.72</v>
      </c>
      <c r="V3" s="4">
        <f t="shared" si="6"/>
        <v>160.72893209454128</v>
      </c>
      <c r="W3" s="7">
        <f t="shared" si="7"/>
        <v>163.22446604727065</v>
      </c>
      <c r="X3" s="7">
        <f t="shared" si="8"/>
        <v>1.5586488738381781</v>
      </c>
      <c r="Y3" s="4">
        <f t="shared" si="9"/>
        <v>0.2357269016036396</v>
      </c>
      <c r="Z3" s="4">
        <f t="shared" ref="Z3:Z66" si="13">9*W3*R3/(W3+3*R3)</f>
        <v>403.40172738900446</v>
      </c>
      <c r="AA3" s="4"/>
      <c r="AB3" s="4"/>
      <c r="AC3" s="4"/>
      <c r="AD3" s="4"/>
      <c r="AE3" s="4">
        <f t="shared" si="10"/>
        <v>0.1564987978051029</v>
      </c>
      <c r="AF3" s="18">
        <f t="shared" ref="AF3:AF66" si="14">SQRT((LN(P3/Q3))^2+5*(LN(U3/V3))^2)</f>
        <v>6.839082342112493E-2</v>
      </c>
      <c r="AG3" s="18">
        <f t="shared" si="11"/>
        <v>1.5288969926889764E-2</v>
      </c>
      <c r="AH3" s="18">
        <f t="shared" si="12"/>
        <v>6.172583920453507E-4</v>
      </c>
      <c r="AK3" s="4">
        <v>0.1067</v>
      </c>
      <c r="AL3" s="4">
        <v>0.35170000000000001</v>
      </c>
      <c r="AM3" s="4">
        <v>0</v>
      </c>
      <c r="AN3" s="4">
        <v>10</v>
      </c>
      <c r="AO3" s="4">
        <v>17</v>
      </c>
      <c r="AP3" s="4">
        <v>1</v>
      </c>
      <c r="AQ3" s="4">
        <v>0</v>
      </c>
      <c r="AR3" s="4">
        <v>0</v>
      </c>
    </row>
    <row r="4" spans="1:44">
      <c r="A4" s="53" t="s">
        <v>493</v>
      </c>
      <c r="B4" t="s">
        <v>479</v>
      </c>
      <c r="C4" t="s">
        <v>423</v>
      </c>
      <c r="D4" t="s">
        <v>521</v>
      </c>
      <c r="E4" s="57" t="s">
        <v>93</v>
      </c>
      <c r="F4" s="57">
        <v>4</v>
      </c>
      <c r="G4" s="57">
        <v>4</v>
      </c>
      <c r="H4">
        <v>5.21</v>
      </c>
      <c r="I4">
        <v>374</v>
      </c>
      <c r="J4">
        <v>362</v>
      </c>
      <c r="K4">
        <v>159</v>
      </c>
      <c r="L4">
        <v>148</v>
      </c>
      <c r="M4">
        <v>175</v>
      </c>
      <c r="N4">
        <v>-19</v>
      </c>
      <c r="O4">
        <v>0</v>
      </c>
      <c r="P4" s="4">
        <f t="shared" si="0"/>
        <v>234</v>
      </c>
      <c r="Q4" s="4">
        <f t="shared" si="1"/>
        <v>233.90842490842491</v>
      </c>
      <c r="R4" s="7">
        <f t="shared" si="2"/>
        <v>233.95421245421244</v>
      </c>
      <c r="S4" s="4">
        <f t="shared" si="3"/>
        <v>113</v>
      </c>
      <c r="T4" s="4">
        <f t="shared" si="4"/>
        <v>127714</v>
      </c>
      <c r="U4" s="4">
        <f t="shared" si="5"/>
        <v>127</v>
      </c>
      <c r="V4" s="4">
        <f t="shared" si="6"/>
        <v>119.35489967433598</v>
      </c>
      <c r="W4" s="7">
        <f t="shared" si="7"/>
        <v>123.17744983716798</v>
      </c>
      <c r="X4" s="7">
        <f t="shared" si="8"/>
        <v>1.8993266443126045</v>
      </c>
      <c r="Y4" s="4">
        <f t="shared" si="9"/>
        <v>0.27605188205720971</v>
      </c>
      <c r="Z4" s="4">
        <f t="shared" si="13"/>
        <v>314.36163338345153</v>
      </c>
      <c r="AA4" s="4">
        <f t="shared" ref="AA4:AA66" si="15">SQRT((R4+4/3*W4)/H4)</f>
        <v>8.7423211409937043</v>
      </c>
      <c r="AB4" s="4">
        <f t="shared" ref="AB4:AB66" si="16">SQRT(R4/H4)</f>
        <v>6.7011073146645801</v>
      </c>
      <c r="AC4" s="4">
        <f t="shared" ref="AC4:AC66" si="17">SQRT(W4/H4)</f>
        <v>4.8623558865236038</v>
      </c>
      <c r="AD4" s="4">
        <f t="shared" ref="AD4:AD66" si="18">AA4/AC4</f>
        <v>1.7979599488436717</v>
      </c>
      <c r="AE4" s="4">
        <f t="shared" si="10"/>
        <v>0.32065905251480054</v>
      </c>
      <c r="AF4" s="18">
        <f t="shared" si="14"/>
        <v>0.1388283561278888</v>
      </c>
      <c r="AG4" s="18">
        <f t="shared" si="11"/>
        <v>3.1032873045229902E-2</v>
      </c>
      <c r="AH4" s="18">
        <f t="shared" si="12"/>
        <v>1.957115681193753E-4</v>
      </c>
      <c r="AK4" s="4">
        <v>0.1057</v>
      </c>
      <c r="AL4" s="4">
        <v>0.45179999999999998</v>
      </c>
      <c r="AM4" s="4">
        <v>0</v>
      </c>
      <c r="AN4" s="4">
        <v>13</v>
      </c>
      <c r="AO4" s="4">
        <v>-15</v>
      </c>
      <c r="AP4" s="4">
        <v>0</v>
      </c>
      <c r="AQ4" s="4">
        <v>15</v>
      </c>
      <c r="AR4" s="4">
        <v>13</v>
      </c>
    </row>
    <row r="5" spans="1:44">
      <c r="A5" s="53" t="s">
        <v>669</v>
      </c>
      <c r="B5" t="s">
        <v>69</v>
      </c>
      <c r="C5" t="s">
        <v>423</v>
      </c>
      <c r="D5" t="s">
        <v>521</v>
      </c>
      <c r="E5" s="57" t="s">
        <v>93</v>
      </c>
      <c r="F5" s="57">
        <v>4</v>
      </c>
      <c r="G5" s="57">
        <v>4</v>
      </c>
      <c r="H5">
        <v>4.58</v>
      </c>
      <c r="I5">
        <v>330</v>
      </c>
      <c r="J5">
        <v>297</v>
      </c>
      <c r="K5">
        <v>107</v>
      </c>
      <c r="L5">
        <v>132</v>
      </c>
      <c r="M5">
        <v>163</v>
      </c>
      <c r="N5">
        <v>-2.4</v>
      </c>
      <c r="O5">
        <v>0</v>
      </c>
      <c r="P5" s="4">
        <f t="shared" si="0"/>
        <v>208.11111111111111</v>
      </c>
      <c r="Q5" s="4">
        <f t="shared" si="1"/>
        <v>208.1089108910891</v>
      </c>
      <c r="R5" s="7">
        <f t="shared" si="2"/>
        <v>208.1100110011001</v>
      </c>
      <c r="S5" s="4">
        <f t="shared" si="3"/>
        <v>99</v>
      </c>
      <c r="T5" s="4">
        <f t="shared" si="4"/>
        <v>84076</v>
      </c>
      <c r="U5" s="4">
        <f t="shared" si="5"/>
        <v>95.86666666666666</v>
      </c>
      <c r="V5" s="4">
        <f t="shared" si="6"/>
        <v>92.99486207865364</v>
      </c>
      <c r="W5" s="7">
        <f t="shared" si="7"/>
        <v>94.43076437266015</v>
      </c>
      <c r="X5" s="7">
        <f t="shared" si="8"/>
        <v>2.2038369845214625</v>
      </c>
      <c r="Y5" s="4">
        <f t="shared" si="9"/>
        <v>0.30293006091023666</v>
      </c>
      <c r="Z5" s="4">
        <f t="shared" si="13"/>
        <v>246.07336315174061</v>
      </c>
      <c r="AA5" s="4">
        <f t="shared" si="15"/>
        <v>8.5398845501041638</v>
      </c>
      <c r="AB5" s="4">
        <f t="shared" si="16"/>
        <v>6.7408357813262212</v>
      </c>
      <c r="AC5" s="4">
        <f t="shared" si="17"/>
        <v>4.5407125898613012</v>
      </c>
      <c r="AD5" s="4">
        <f t="shared" si="18"/>
        <v>1.8807366423438441</v>
      </c>
      <c r="AE5" s="4">
        <f t="shared" si="10"/>
        <v>0.15441719899522699</v>
      </c>
      <c r="AF5" s="18">
        <f t="shared" si="14"/>
        <v>6.800797804742223E-2</v>
      </c>
      <c r="AG5" s="18">
        <f t="shared" si="11"/>
        <v>1.5205873885970963E-2</v>
      </c>
      <c r="AH5" s="18">
        <f t="shared" si="12"/>
        <v>5.2861945742892528E-6</v>
      </c>
      <c r="AK5" s="4">
        <v>0.17649999999999999</v>
      </c>
      <c r="AL5" s="4">
        <v>0.45219999999999999</v>
      </c>
      <c r="AM5" s="4">
        <v>1</v>
      </c>
      <c r="AN5" s="4">
        <v>0</v>
      </c>
      <c r="AO5" s="4">
        <v>0</v>
      </c>
      <c r="AP5" s="4">
        <v>0</v>
      </c>
      <c r="AQ5" s="4">
        <v>20</v>
      </c>
      <c r="AR5" s="4">
        <v>1</v>
      </c>
    </row>
    <row r="6" spans="1:44">
      <c r="A6" s="53" t="s">
        <v>494</v>
      </c>
      <c r="B6" t="s">
        <v>480</v>
      </c>
      <c r="C6" t="s">
        <v>516</v>
      </c>
      <c r="E6" s="57" t="s">
        <v>93</v>
      </c>
      <c r="F6" s="57">
        <v>4</v>
      </c>
      <c r="G6" s="57">
        <v>8</v>
      </c>
      <c r="H6" s="67">
        <v>2.66</v>
      </c>
      <c r="I6" s="10">
        <v>69.8</v>
      </c>
      <c r="J6">
        <v>87.1</v>
      </c>
      <c r="K6">
        <v>42.2</v>
      </c>
      <c r="L6" s="10">
        <v>10.6</v>
      </c>
      <c r="M6" s="10">
        <v>14.9</v>
      </c>
      <c r="N6">
        <v>13.4</v>
      </c>
      <c r="O6">
        <v>0</v>
      </c>
      <c r="P6" s="4">
        <f t="shared" si="0"/>
        <v>34.166666666666664</v>
      </c>
      <c r="Q6" s="4">
        <f t="shared" si="1"/>
        <v>33.634974358974361</v>
      </c>
      <c r="R6" s="7">
        <f t="shared" si="2"/>
        <v>33.900820512820516</v>
      </c>
      <c r="S6" s="4">
        <f t="shared" si="3"/>
        <v>29.599999999999998</v>
      </c>
      <c r="T6" s="4">
        <f t="shared" si="4"/>
        <v>6558.8199999999988</v>
      </c>
      <c r="U6" s="4">
        <f t="shared" si="5"/>
        <v>35.22</v>
      </c>
      <c r="V6" s="4">
        <f t="shared" si="6"/>
        <v>30.208479641492819</v>
      </c>
      <c r="W6" s="7">
        <f t="shared" si="7"/>
        <v>32.714239820746407</v>
      </c>
      <c r="X6" s="7">
        <f t="shared" si="8"/>
        <v>1.0362710764051322</v>
      </c>
      <c r="Y6" s="4">
        <f t="shared" si="9"/>
        <v>0.13493108196440595</v>
      </c>
      <c r="Z6" s="4">
        <f t="shared" si="13"/>
        <v>74.25681519080554</v>
      </c>
      <c r="AA6" s="4">
        <f t="shared" si="15"/>
        <v>5.3984057428180705</v>
      </c>
      <c r="AB6" s="4">
        <f t="shared" si="16"/>
        <v>3.5699676981342559</v>
      </c>
      <c r="AC6" s="4">
        <f t="shared" si="17"/>
        <v>3.5069340453987503</v>
      </c>
      <c r="AD6" s="4">
        <f t="shared" si="18"/>
        <v>1.5393519447281916</v>
      </c>
      <c r="AE6" s="4">
        <f t="shared" si="10"/>
        <v>0.84529672889932606</v>
      </c>
      <c r="AF6" s="18">
        <f t="shared" si="14"/>
        <v>0.34357545589478483</v>
      </c>
      <c r="AG6" s="18">
        <f t="shared" si="11"/>
        <v>7.6595396774725322E-2</v>
      </c>
      <c r="AH6" s="18">
        <f t="shared" si="12"/>
        <v>7.8418796307781011E-3</v>
      </c>
      <c r="AI6" s="44"/>
      <c r="AJ6" s="12"/>
      <c r="AK6" s="5">
        <v>-4.1880000000000001E-2</v>
      </c>
      <c r="AL6" s="4">
        <v>0.38569999999999999</v>
      </c>
      <c r="AM6" s="5">
        <v>0</v>
      </c>
      <c r="AN6" s="5">
        <v>13</v>
      </c>
      <c r="AO6" s="5">
        <v>-15</v>
      </c>
      <c r="AP6" s="5">
        <v>1</v>
      </c>
      <c r="AQ6" s="5">
        <v>0</v>
      </c>
      <c r="AR6" s="5">
        <v>0</v>
      </c>
    </row>
    <row r="7" spans="1:44">
      <c r="A7" s="53" t="s">
        <v>494</v>
      </c>
      <c r="B7" t="s">
        <v>480</v>
      </c>
      <c r="C7" t="s">
        <v>516</v>
      </c>
      <c r="E7" s="57" t="s">
        <v>93</v>
      </c>
      <c r="F7" s="57">
        <v>4</v>
      </c>
      <c r="G7" s="57">
        <v>8</v>
      </c>
      <c r="H7" s="8">
        <v>2.62</v>
      </c>
      <c r="I7" s="10">
        <v>64</v>
      </c>
      <c r="J7">
        <v>85.8</v>
      </c>
      <c r="K7">
        <v>43.2</v>
      </c>
      <c r="L7" s="10">
        <v>7.2</v>
      </c>
      <c r="M7" s="10">
        <v>9.6</v>
      </c>
      <c r="N7">
        <v>-12.4</v>
      </c>
      <c r="O7">
        <v>0</v>
      </c>
      <c r="P7" s="4">
        <f t="shared" si="0"/>
        <v>29.622222222222224</v>
      </c>
      <c r="Q7" s="4">
        <f t="shared" si="1"/>
        <v>28.985518590998044</v>
      </c>
      <c r="R7" s="7">
        <f t="shared" si="2"/>
        <v>29.303870406610134</v>
      </c>
      <c r="S7" s="4">
        <f t="shared" si="3"/>
        <v>28.4</v>
      </c>
      <c r="T7" s="4">
        <f t="shared" si="4"/>
        <v>5924.64</v>
      </c>
      <c r="U7" s="4">
        <f t="shared" si="5"/>
        <v>35.453333333333333</v>
      </c>
      <c r="V7" s="4">
        <f t="shared" si="6"/>
        <v>30.591951517049722</v>
      </c>
      <c r="W7" s="7">
        <f t="shared" si="7"/>
        <v>33.022642425191528</v>
      </c>
      <c r="X7" s="7">
        <f t="shared" si="8"/>
        <v>0.88738720630834478</v>
      </c>
      <c r="Y7" s="4">
        <f t="shared" si="9"/>
        <v>9.0405843300738989E-2</v>
      </c>
      <c r="Z7" s="4">
        <f t="shared" si="13"/>
        <v>72.01616452331946</v>
      </c>
      <c r="AA7" s="4">
        <f t="shared" si="15"/>
        <v>5.2905670162814733</v>
      </c>
      <c r="AB7" s="4">
        <f t="shared" si="16"/>
        <v>3.3443509626385772</v>
      </c>
      <c r="AC7" s="4">
        <f t="shared" si="17"/>
        <v>3.5502199923875013</v>
      </c>
      <c r="AD7" s="4">
        <f t="shared" si="18"/>
        <v>1.4902082202302058</v>
      </c>
      <c r="AE7" s="4">
        <f t="shared" si="10"/>
        <v>0.81651868573267627</v>
      </c>
      <c r="AF7" s="18">
        <f t="shared" si="14"/>
        <v>0.33049108809337929</v>
      </c>
      <c r="AG7" s="18">
        <f t="shared" si="11"/>
        <v>7.3606796114157658E-2</v>
      </c>
      <c r="AH7" s="18">
        <f t="shared" si="12"/>
        <v>1.0863814615433134E-2</v>
      </c>
      <c r="AI7" s="44"/>
      <c r="AJ7" s="12"/>
      <c r="AK7" s="5">
        <v>-7.0129999999999998E-2</v>
      </c>
      <c r="AL7" s="4">
        <v>0.3332</v>
      </c>
      <c r="AM7" s="5">
        <v>0</v>
      </c>
      <c r="AN7" s="5">
        <v>25</v>
      </c>
      <c r="AO7" s="5">
        <v>31</v>
      </c>
      <c r="AP7" s="5">
        <v>1</v>
      </c>
      <c r="AQ7" s="5">
        <v>0</v>
      </c>
      <c r="AR7" s="5">
        <v>0</v>
      </c>
    </row>
    <row r="8" spans="1:44">
      <c r="A8" s="53" t="s">
        <v>7</v>
      </c>
      <c r="C8" t="s">
        <v>518</v>
      </c>
      <c r="E8" s="57" t="s">
        <v>93</v>
      </c>
      <c r="F8" s="57">
        <v>4</v>
      </c>
      <c r="G8" s="57">
        <v>9</v>
      </c>
      <c r="H8" s="8">
        <v>3.1</v>
      </c>
      <c r="I8">
        <v>305</v>
      </c>
      <c r="J8">
        <v>176.4</v>
      </c>
      <c r="K8">
        <v>64.8</v>
      </c>
      <c r="L8">
        <v>108</v>
      </c>
      <c r="M8">
        <v>51</v>
      </c>
      <c r="N8">
        <v>-6</v>
      </c>
      <c r="O8">
        <v>0</v>
      </c>
      <c r="P8" s="4">
        <f t="shared" si="0"/>
        <v>134.04444444444445</v>
      </c>
      <c r="Q8" s="4">
        <f t="shared" si="1"/>
        <v>120.4186543253827</v>
      </c>
      <c r="R8" s="7">
        <f t="shared" si="2"/>
        <v>127.23154938491358</v>
      </c>
      <c r="S8" s="4">
        <f t="shared" si="3"/>
        <v>98.5</v>
      </c>
      <c r="T8" s="4">
        <f t="shared" si="4"/>
        <v>67651.199999999997</v>
      </c>
      <c r="U8" s="4">
        <f t="shared" si="5"/>
        <v>84.046666666666653</v>
      </c>
      <c r="V8" s="4">
        <f t="shared" si="6"/>
        <v>78.929794573127651</v>
      </c>
      <c r="W8" s="7">
        <f t="shared" si="7"/>
        <v>81.488230619897152</v>
      </c>
      <c r="X8" s="7">
        <f t="shared" si="8"/>
        <v>1.5613487790449974</v>
      </c>
      <c r="Y8" s="4">
        <f t="shared" si="9"/>
        <v>0.23610348842510218</v>
      </c>
      <c r="Z8" s="4">
        <f t="shared" si="13"/>
        <v>201.45577226968823</v>
      </c>
      <c r="AA8" s="4">
        <f t="shared" si="15"/>
        <v>8.7230233650579674</v>
      </c>
      <c r="AB8" s="4">
        <f t="shared" si="16"/>
        <v>6.4064370195496334</v>
      </c>
      <c r="AC8" s="4">
        <f t="shared" si="17"/>
        <v>5.1270387170781566</v>
      </c>
      <c r="AD8" s="4">
        <f t="shared" si="18"/>
        <v>1.7013765345679159</v>
      </c>
      <c r="AE8" s="4">
        <f t="shared" si="10"/>
        <v>0.43729420302146327</v>
      </c>
      <c r="AF8" s="18">
        <f t="shared" si="14"/>
        <v>0.17668847416712599</v>
      </c>
      <c r="AG8" s="18">
        <f t="shared" si="11"/>
        <v>3.1396387273437763E-2</v>
      </c>
      <c r="AH8" s="18">
        <f t="shared" si="12"/>
        <v>5.3547214448515623E-2</v>
      </c>
      <c r="AK8" s="4">
        <v>0.10580000000000001</v>
      </c>
      <c r="AL8" s="4">
        <v>0.34839999999999999</v>
      </c>
      <c r="AM8" s="4">
        <v>0</v>
      </c>
      <c r="AN8" s="4">
        <v>15</v>
      </c>
      <c r="AO8" s="4">
        <v>37</v>
      </c>
      <c r="AP8" s="4">
        <v>1</v>
      </c>
      <c r="AQ8" s="4">
        <v>0</v>
      </c>
      <c r="AR8" s="4">
        <v>0</v>
      </c>
    </row>
    <row r="9" spans="1:44">
      <c r="A9" s="53" t="s">
        <v>7</v>
      </c>
      <c r="C9" t="s">
        <v>518</v>
      </c>
      <c r="E9" s="57" t="s">
        <v>93</v>
      </c>
      <c r="F9" s="57">
        <v>4</v>
      </c>
      <c r="G9" s="57">
        <v>9</v>
      </c>
      <c r="H9">
        <v>3.1080000000000001</v>
      </c>
      <c r="I9">
        <v>305.2</v>
      </c>
      <c r="J9">
        <v>176.4</v>
      </c>
      <c r="K9">
        <v>64.599999999999994</v>
      </c>
      <c r="L9">
        <v>98.4</v>
      </c>
      <c r="M9">
        <v>51</v>
      </c>
      <c r="N9">
        <v>-6</v>
      </c>
      <c r="O9">
        <v>0</v>
      </c>
      <c r="P9" s="4">
        <f t="shared" si="0"/>
        <v>131.95555555555558</v>
      </c>
      <c r="Q9" s="4">
        <f t="shared" si="1"/>
        <v>119.46603910209993</v>
      </c>
      <c r="R9" s="7">
        <f t="shared" si="2"/>
        <v>125.71079732882775</v>
      </c>
      <c r="S9" s="4">
        <f t="shared" si="3"/>
        <v>103.39999999999999</v>
      </c>
      <c r="T9" s="4">
        <f t="shared" si="4"/>
        <v>65993.040000000008</v>
      </c>
      <c r="U9" s="4">
        <f t="shared" si="5"/>
        <v>85.613333333333316</v>
      </c>
      <c r="V9" s="4">
        <f t="shared" si="6"/>
        <v>79.90806133931531</v>
      </c>
      <c r="W9" s="7">
        <f t="shared" si="7"/>
        <v>82.760697336324313</v>
      </c>
      <c r="X9" s="7">
        <f t="shared" si="8"/>
        <v>1.5189673525582088</v>
      </c>
      <c r="Y9" s="4">
        <f t="shared" si="9"/>
        <v>0.23006542414611161</v>
      </c>
      <c r="Z9" s="4">
        <f t="shared" si="13"/>
        <v>203.60214454326746</v>
      </c>
      <c r="AA9" s="4">
        <f t="shared" si="15"/>
        <v>8.7150366694407886</v>
      </c>
      <c r="AB9" s="4">
        <f t="shared" si="16"/>
        <v>6.3598340770840727</v>
      </c>
      <c r="AC9" s="4">
        <f t="shared" si="17"/>
        <v>5.1602597799183858</v>
      </c>
      <c r="AD9" s="4">
        <f t="shared" si="18"/>
        <v>1.6888755685045425</v>
      </c>
      <c r="AE9" s="4">
        <f t="shared" si="10"/>
        <v>0.46153425684146221</v>
      </c>
      <c r="AF9" s="18">
        <f t="shared" si="14"/>
        <v>0.18348650014698298</v>
      </c>
      <c r="AG9" s="18">
        <f t="shared" si="11"/>
        <v>3.4468486719202142E-2</v>
      </c>
      <c r="AH9" s="18">
        <f t="shared" si="12"/>
        <v>4.9675591591334133E-2</v>
      </c>
      <c r="AK9" s="4">
        <v>0.1053</v>
      </c>
      <c r="AL9" s="4">
        <v>0.32140000000000002</v>
      </c>
      <c r="AM9" s="4">
        <v>0</v>
      </c>
      <c r="AN9" s="4">
        <v>1</v>
      </c>
      <c r="AO9" s="4">
        <v>2</v>
      </c>
      <c r="AP9" s="4">
        <v>1</v>
      </c>
      <c r="AQ9" s="4">
        <v>0</v>
      </c>
      <c r="AR9" s="4">
        <v>0</v>
      </c>
    </row>
    <row r="10" spans="1:44">
      <c r="A10" s="53" t="s">
        <v>7</v>
      </c>
      <c r="C10" t="s">
        <v>518</v>
      </c>
      <c r="E10" s="57" t="s">
        <v>93</v>
      </c>
      <c r="F10" s="57">
        <v>4</v>
      </c>
      <c r="G10" s="57">
        <v>9</v>
      </c>
      <c r="H10">
        <v>3.105</v>
      </c>
      <c r="I10">
        <v>295.8</v>
      </c>
      <c r="J10">
        <v>173.3</v>
      </c>
      <c r="K10">
        <v>63.6</v>
      </c>
      <c r="L10">
        <v>96.3</v>
      </c>
      <c r="M10">
        <v>45</v>
      </c>
      <c r="N10">
        <v>-10</v>
      </c>
      <c r="O10">
        <v>0</v>
      </c>
      <c r="P10" s="4">
        <f t="shared" si="0"/>
        <v>126.38888888888889</v>
      </c>
      <c r="Q10" s="4">
        <f t="shared" si="1"/>
        <v>114.37431537497763</v>
      </c>
      <c r="R10" s="7">
        <f t="shared" si="2"/>
        <v>120.38160213193325</v>
      </c>
      <c r="S10" s="4">
        <f t="shared" si="3"/>
        <v>99.75</v>
      </c>
      <c r="T10" s="4">
        <f t="shared" si="4"/>
        <v>63900.930000000008</v>
      </c>
      <c r="U10" s="4">
        <f t="shared" si="5"/>
        <v>83.963333333333338</v>
      </c>
      <c r="V10" s="4">
        <f t="shared" si="6"/>
        <v>77.895306239329514</v>
      </c>
      <c r="W10" s="7">
        <f t="shared" si="7"/>
        <v>80.929319786331433</v>
      </c>
      <c r="X10" s="7">
        <f t="shared" si="8"/>
        <v>1.4874905961123019</v>
      </c>
      <c r="Y10" s="4">
        <f t="shared" si="9"/>
        <v>0.22539903945999371</v>
      </c>
      <c r="Z10" s="4">
        <f t="shared" si="13"/>
        <v>198.34142146064241</v>
      </c>
      <c r="AA10" s="4">
        <f t="shared" si="15"/>
        <v>8.5745262137162719</v>
      </c>
      <c r="AB10" s="4">
        <f t="shared" si="16"/>
        <v>6.2265754819568908</v>
      </c>
      <c r="AC10" s="4">
        <f t="shared" si="17"/>
        <v>5.1053102910499595</v>
      </c>
      <c r="AD10" s="4">
        <f t="shared" si="18"/>
        <v>1.6795308658805992</v>
      </c>
      <c r="AE10" s="4">
        <f t="shared" si="10"/>
        <v>0.49454497224354554</v>
      </c>
      <c r="AF10" s="18">
        <f t="shared" si="14"/>
        <v>0.19522626517477804</v>
      </c>
      <c r="AG10" s="18">
        <f t="shared" si="11"/>
        <v>3.7489670678219914E-2</v>
      </c>
      <c r="AH10" s="18">
        <f t="shared" si="12"/>
        <v>4.9902033621149949E-2</v>
      </c>
      <c r="AK10" s="4">
        <v>7.6399999999999996E-2</v>
      </c>
      <c r="AL10" s="4">
        <v>0.36280000000000001</v>
      </c>
      <c r="AM10" s="4">
        <v>0</v>
      </c>
      <c r="AN10" s="4">
        <v>19</v>
      </c>
      <c r="AO10" s="4">
        <v>35</v>
      </c>
      <c r="AP10" s="4">
        <v>1</v>
      </c>
      <c r="AQ10" s="4">
        <v>0</v>
      </c>
      <c r="AR10" s="4">
        <v>0</v>
      </c>
    </row>
    <row r="11" spans="1:44">
      <c r="A11" s="53" t="s">
        <v>7</v>
      </c>
      <c r="C11" t="s">
        <v>518</v>
      </c>
      <c r="E11" s="57" t="s">
        <v>93</v>
      </c>
      <c r="F11" s="57">
        <v>4</v>
      </c>
      <c r="G11" s="57">
        <v>9</v>
      </c>
      <c r="H11">
        <v>3.0459999999999998</v>
      </c>
      <c r="I11">
        <v>300</v>
      </c>
      <c r="J11">
        <v>173.8</v>
      </c>
      <c r="K11">
        <v>65.2</v>
      </c>
      <c r="L11">
        <v>96.9</v>
      </c>
      <c r="M11">
        <v>42</v>
      </c>
      <c r="N11">
        <v>-7</v>
      </c>
      <c r="O11">
        <v>0</v>
      </c>
      <c r="P11" s="4">
        <f t="shared" si="0"/>
        <v>126.17777777777776</v>
      </c>
      <c r="Q11" s="4">
        <f t="shared" si="1"/>
        <v>113.53550737207286</v>
      </c>
      <c r="R11" s="7">
        <f t="shared" si="2"/>
        <v>119.8566425749253</v>
      </c>
      <c r="S11" s="4">
        <f t="shared" si="3"/>
        <v>101.55</v>
      </c>
      <c r="T11" s="4">
        <f t="shared" si="4"/>
        <v>65453.22</v>
      </c>
      <c r="U11" s="4">
        <f t="shared" si="5"/>
        <v>85.916666666666671</v>
      </c>
      <c r="V11" s="4">
        <f t="shared" si="6"/>
        <v>80.241810848743626</v>
      </c>
      <c r="W11" s="7">
        <f t="shared" si="7"/>
        <v>83.079238757705156</v>
      </c>
      <c r="X11" s="7">
        <f t="shared" si="8"/>
        <v>1.4426786326783627</v>
      </c>
      <c r="Y11" s="4">
        <f t="shared" si="9"/>
        <v>0.21847036530793998</v>
      </c>
      <c r="Z11" s="4">
        <f t="shared" si="13"/>
        <v>202.45918079721315</v>
      </c>
      <c r="AA11" s="4">
        <f t="shared" si="15"/>
        <v>8.701456865486449</v>
      </c>
      <c r="AB11" s="4">
        <f t="shared" si="16"/>
        <v>6.272867361055158</v>
      </c>
      <c r="AC11" s="4">
        <f t="shared" si="17"/>
        <v>5.2225343454493069</v>
      </c>
      <c r="AD11" s="4">
        <f t="shared" si="18"/>
        <v>1.6661368389216102</v>
      </c>
      <c r="AE11" s="4">
        <f t="shared" si="10"/>
        <v>0.46496046280671877</v>
      </c>
      <c r="AF11" s="18">
        <f t="shared" si="14"/>
        <v>0.18572403306436555</v>
      </c>
      <c r="AG11" s="18">
        <f t="shared" si="11"/>
        <v>3.4153272843973508E-2</v>
      </c>
      <c r="AH11" s="18">
        <f t="shared" si="12"/>
        <v>5.2739131240898539E-2</v>
      </c>
      <c r="AK11" s="4">
        <v>8.4940000000000002E-2</v>
      </c>
      <c r="AL11" s="4">
        <v>0.33250000000000002</v>
      </c>
      <c r="AM11" s="4">
        <v>0</v>
      </c>
      <c r="AN11" s="4">
        <v>16</v>
      </c>
      <c r="AO11" s="4">
        <v>37</v>
      </c>
      <c r="AP11" s="4">
        <v>1</v>
      </c>
      <c r="AQ11" s="4">
        <v>0</v>
      </c>
      <c r="AR11" s="4">
        <v>0</v>
      </c>
    </row>
    <row r="12" spans="1:44">
      <c r="A12" s="53" t="s">
        <v>7</v>
      </c>
      <c r="C12" t="s">
        <v>518</v>
      </c>
      <c r="E12" s="57" t="s">
        <v>93</v>
      </c>
      <c r="F12" s="57">
        <v>4</v>
      </c>
      <c r="G12" s="57">
        <v>9</v>
      </c>
      <c r="H12">
        <v>3.0510000000000002</v>
      </c>
      <c r="I12">
        <v>301.10000000000002</v>
      </c>
      <c r="J12">
        <v>174.6</v>
      </c>
      <c r="K12">
        <v>65.400000000000006</v>
      </c>
      <c r="L12">
        <v>97.3</v>
      </c>
      <c r="M12">
        <v>43</v>
      </c>
      <c r="N12">
        <v>-7</v>
      </c>
      <c r="O12">
        <v>0</v>
      </c>
      <c r="P12" s="4">
        <f t="shared" si="0"/>
        <v>127.04444444444445</v>
      </c>
      <c r="Q12" s="4">
        <f t="shared" si="1"/>
        <v>114.42432244614315</v>
      </c>
      <c r="R12" s="7">
        <f t="shared" si="2"/>
        <v>120.7343834452938</v>
      </c>
      <c r="S12" s="4">
        <f t="shared" si="3"/>
        <v>101.9</v>
      </c>
      <c r="T12" s="4">
        <f t="shared" si="4"/>
        <v>65862.64</v>
      </c>
      <c r="U12" s="4">
        <f t="shared" si="5"/>
        <v>86.106666666666669</v>
      </c>
      <c r="V12" s="4">
        <f t="shared" si="6"/>
        <v>80.445857220625015</v>
      </c>
      <c r="W12" s="7">
        <f t="shared" si="7"/>
        <v>83.276261943645835</v>
      </c>
      <c r="X12" s="7">
        <f t="shared" si="8"/>
        <v>1.4498055103265368</v>
      </c>
      <c r="Y12" s="4">
        <f t="shared" si="9"/>
        <v>0.21959558742281882</v>
      </c>
      <c r="Z12" s="4">
        <f t="shared" si="13"/>
        <v>203.12672320707458</v>
      </c>
      <c r="AA12" s="4">
        <f t="shared" si="15"/>
        <v>8.7157937349055139</v>
      </c>
      <c r="AB12" s="4">
        <f t="shared" si="16"/>
        <v>6.2906334580551855</v>
      </c>
      <c r="AC12" s="4">
        <f t="shared" si="17"/>
        <v>5.2244371318220626</v>
      </c>
      <c r="AD12" s="4">
        <f t="shared" si="18"/>
        <v>1.6682742111714939</v>
      </c>
      <c r="AE12" s="4">
        <f t="shared" si="10"/>
        <v>0.4621320145466381</v>
      </c>
      <c r="AF12" s="18">
        <f t="shared" si="14"/>
        <v>0.18457440685474341</v>
      </c>
      <c r="AG12" s="18">
        <f t="shared" si="11"/>
        <v>3.3988133676511559E-2</v>
      </c>
      <c r="AH12" s="18">
        <f t="shared" si="12"/>
        <v>5.2263993231139616E-2</v>
      </c>
      <c r="AK12" s="4">
        <v>8.6779999999999996E-2</v>
      </c>
      <c r="AL12" s="4">
        <v>0.33210000000000001</v>
      </c>
      <c r="AM12" s="4">
        <v>0</v>
      </c>
      <c r="AN12" s="4">
        <v>16</v>
      </c>
      <c r="AO12" s="4">
        <v>37</v>
      </c>
      <c r="AP12" s="4">
        <v>1</v>
      </c>
      <c r="AQ12" s="4">
        <v>0</v>
      </c>
      <c r="AR12" s="4">
        <v>0</v>
      </c>
    </row>
    <row r="13" spans="1:44">
      <c r="A13" s="53" t="s">
        <v>7</v>
      </c>
      <c r="C13" t="s">
        <v>518</v>
      </c>
      <c r="E13" s="57" t="s">
        <v>93</v>
      </c>
      <c r="F13" s="57">
        <v>4</v>
      </c>
      <c r="G13" s="57">
        <v>9</v>
      </c>
      <c r="H13">
        <v>3.0609999999999999</v>
      </c>
      <c r="I13">
        <v>301.60000000000002</v>
      </c>
      <c r="J13">
        <v>169.8</v>
      </c>
      <c r="K13">
        <v>65.5</v>
      </c>
      <c r="L13">
        <v>102.8</v>
      </c>
      <c r="M13">
        <v>47</v>
      </c>
      <c r="N13">
        <v>-9</v>
      </c>
      <c r="O13">
        <v>0</v>
      </c>
      <c r="P13" s="4">
        <f t="shared" si="0"/>
        <v>129.62222222222223</v>
      </c>
      <c r="Q13" s="4">
        <f t="shared" si="1"/>
        <v>115.5559712230216</v>
      </c>
      <c r="R13" s="7">
        <f t="shared" si="2"/>
        <v>122.58909672262192</v>
      </c>
      <c r="S13" s="4">
        <f t="shared" si="3"/>
        <v>99.4</v>
      </c>
      <c r="T13" s="4">
        <f t="shared" si="4"/>
        <v>64249.12000000001</v>
      </c>
      <c r="U13" s="4">
        <f t="shared" si="5"/>
        <v>84.493333333333339</v>
      </c>
      <c r="V13" s="4">
        <f t="shared" si="6"/>
        <v>78.866614606035441</v>
      </c>
      <c r="W13" s="7">
        <f t="shared" si="7"/>
        <v>81.679973969684397</v>
      </c>
      <c r="X13" s="7">
        <f t="shared" si="8"/>
        <v>1.5008464225040152</v>
      </c>
      <c r="Y13" s="4">
        <f t="shared" si="9"/>
        <v>0.22739858325841267</v>
      </c>
      <c r="Z13" s="4">
        <f t="shared" si="13"/>
        <v>200.50776866194929</v>
      </c>
      <c r="AA13" s="4">
        <f t="shared" si="15"/>
        <v>8.6964063872201152</v>
      </c>
      <c r="AB13" s="4">
        <f t="shared" si="16"/>
        <v>6.3284048939165229</v>
      </c>
      <c r="AC13" s="4">
        <f t="shared" si="17"/>
        <v>5.1656637194800217</v>
      </c>
      <c r="AD13" s="4">
        <f t="shared" si="18"/>
        <v>1.6835022292344457</v>
      </c>
      <c r="AE13" s="4">
        <f t="shared" si="10"/>
        <v>0.47845047314047751</v>
      </c>
      <c r="AF13" s="18">
        <f t="shared" si="14"/>
        <v>0.1922006037703041</v>
      </c>
      <c r="AG13" s="18">
        <f t="shared" si="11"/>
        <v>3.4443685850011785E-2</v>
      </c>
      <c r="AH13" s="18">
        <f t="shared" si="12"/>
        <v>5.7371541904040008E-2</v>
      </c>
      <c r="AK13" s="4">
        <v>8.7169999999999997E-2</v>
      </c>
      <c r="AL13" s="4">
        <v>0.36370000000000002</v>
      </c>
      <c r="AM13" s="4">
        <v>0</v>
      </c>
      <c r="AN13" s="4">
        <v>17</v>
      </c>
      <c r="AO13" s="4">
        <v>36</v>
      </c>
      <c r="AP13" s="4">
        <v>1</v>
      </c>
      <c r="AQ13" s="4">
        <v>0</v>
      </c>
      <c r="AR13" s="4">
        <v>0</v>
      </c>
    </row>
    <row r="14" spans="1:44" ht="14.7">
      <c r="A14" s="53" t="s">
        <v>496</v>
      </c>
      <c r="B14" t="s">
        <v>228</v>
      </c>
      <c r="C14" t="s">
        <v>519</v>
      </c>
      <c r="D14" t="s">
        <v>522</v>
      </c>
      <c r="E14" s="57" t="s">
        <v>93</v>
      </c>
      <c r="F14" s="57">
        <v>4</v>
      </c>
      <c r="G14" s="57">
        <v>9</v>
      </c>
      <c r="H14">
        <v>2.641</v>
      </c>
      <c r="I14">
        <v>87.7</v>
      </c>
      <c r="J14">
        <v>106.3</v>
      </c>
      <c r="K14">
        <v>59</v>
      </c>
      <c r="L14">
        <v>6.8</v>
      </c>
      <c r="M14">
        <v>12.3</v>
      </c>
      <c r="N14">
        <v>18.7</v>
      </c>
      <c r="O14">
        <v>0</v>
      </c>
      <c r="P14" s="4">
        <f t="shared" si="0"/>
        <v>38.277777777777779</v>
      </c>
      <c r="Q14" s="4">
        <f t="shared" si="1"/>
        <v>37.777316789453273</v>
      </c>
      <c r="R14" s="7">
        <f t="shared" si="2"/>
        <v>38.027547283615526</v>
      </c>
      <c r="S14" s="4">
        <f t="shared" si="3"/>
        <v>40.450000000000003</v>
      </c>
      <c r="T14" s="4">
        <f t="shared" si="4"/>
        <v>9742.77</v>
      </c>
      <c r="U14" s="4">
        <f t="shared" si="5"/>
        <v>48.376666666666672</v>
      </c>
      <c r="V14" s="4">
        <f t="shared" si="6"/>
        <v>41.246182204616652</v>
      </c>
      <c r="W14" s="7">
        <f t="shared" si="7"/>
        <v>44.811424435641662</v>
      </c>
      <c r="X14" s="7">
        <f t="shared" si="8"/>
        <v>0.84861277592795192</v>
      </c>
      <c r="Y14" s="4">
        <f t="shared" si="9"/>
        <v>7.6968868477007527E-2</v>
      </c>
      <c r="Z14" s="4">
        <f t="shared" si="13"/>
        <v>96.521018138591842</v>
      </c>
      <c r="AA14" s="4">
        <f t="shared" si="15"/>
        <v>6.0846021138969624</v>
      </c>
      <c r="AB14" s="4">
        <f t="shared" si="16"/>
        <v>3.7945908652666942</v>
      </c>
      <c r="AC14" s="4">
        <f t="shared" si="17"/>
        <v>4.1191743453337173</v>
      </c>
      <c r="AD14" s="4">
        <f t="shared" si="18"/>
        <v>1.4771411947614503</v>
      </c>
      <c r="AE14" s="4">
        <f t="shared" si="10"/>
        <v>0.87762880605709981</v>
      </c>
      <c r="AF14" s="18">
        <f t="shared" si="14"/>
        <v>0.35680406838763334</v>
      </c>
      <c r="AG14" s="18">
        <f t="shared" si="11"/>
        <v>7.9561010968205767E-2</v>
      </c>
      <c r="AH14" s="18">
        <f t="shared" si="12"/>
        <v>6.5802427986215786E-3</v>
      </c>
      <c r="AI14" s="44"/>
      <c r="AJ14" s="12"/>
      <c r="AK14" s="5">
        <v>-0.1017</v>
      </c>
      <c r="AL14" s="4">
        <v>0.32690000000000002</v>
      </c>
      <c r="AM14" s="5">
        <v>0</v>
      </c>
      <c r="AN14" s="5">
        <v>27</v>
      </c>
      <c r="AO14" s="5">
        <v>-29</v>
      </c>
      <c r="AP14" s="5">
        <v>1</v>
      </c>
      <c r="AQ14" s="5">
        <v>0</v>
      </c>
      <c r="AR14" s="5">
        <v>0</v>
      </c>
    </row>
    <row r="15" spans="1:44" ht="14.7">
      <c r="A15" s="53" t="s">
        <v>496</v>
      </c>
      <c r="B15" t="s">
        <v>228</v>
      </c>
      <c r="C15" t="s">
        <v>519</v>
      </c>
      <c r="D15" t="s">
        <v>522</v>
      </c>
      <c r="E15" s="57" t="s">
        <v>93</v>
      </c>
      <c r="F15" s="57">
        <v>4</v>
      </c>
      <c r="G15" s="57">
        <v>9</v>
      </c>
      <c r="H15">
        <v>2.641</v>
      </c>
      <c r="I15">
        <v>88.1</v>
      </c>
      <c r="J15">
        <v>104.7</v>
      </c>
      <c r="K15">
        <v>58.6</v>
      </c>
      <c r="L15">
        <v>7.6</v>
      </c>
      <c r="M15">
        <v>12.1</v>
      </c>
      <c r="N15">
        <v>-18.3</v>
      </c>
      <c r="O15">
        <v>0</v>
      </c>
      <c r="P15" s="4">
        <f t="shared" si="0"/>
        <v>38.277777777777779</v>
      </c>
      <c r="Q15" s="4">
        <f t="shared" si="1"/>
        <v>37.892364627970387</v>
      </c>
      <c r="R15" s="7">
        <f t="shared" si="2"/>
        <v>38.085071202874083</v>
      </c>
      <c r="S15" s="4">
        <f t="shared" si="3"/>
        <v>40.25</v>
      </c>
      <c r="T15" s="4">
        <f t="shared" si="4"/>
        <v>9726.9699999999993</v>
      </c>
      <c r="U15" s="4">
        <f t="shared" si="5"/>
        <v>48.096666666666671</v>
      </c>
      <c r="V15" s="4">
        <f t="shared" si="6"/>
        <v>41.219851696970714</v>
      </c>
      <c r="W15" s="7">
        <f t="shared" si="7"/>
        <v>44.658259181818693</v>
      </c>
      <c r="X15" s="7">
        <f t="shared" si="8"/>
        <v>0.85281137018388997</v>
      </c>
      <c r="Y15" s="4">
        <f t="shared" si="9"/>
        <v>7.8466271006082361E-2</v>
      </c>
      <c r="Z15" s="4">
        <f t="shared" si="13"/>
        <v>96.3248524988783</v>
      </c>
      <c r="AA15" s="4">
        <f t="shared" si="15"/>
        <v>6.0800359455405877</v>
      </c>
      <c r="AB15" s="4">
        <f t="shared" si="16"/>
        <v>3.7974598019859784</v>
      </c>
      <c r="AC15" s="4">
        <f t="shared" si="17"/>
        <v>4.112128659651189</v>
      </c>
      <c r="AD15" s="4">
        <f t="shared" si="18"/>
        <v>1.4785617009503604</v>
      </c>
      <c r="AE15" s="4">
        <f t="shared" si="10"/>
        <v>0.84433425416690522</v>
      </c>
      <c r="AF15" s="18">
        <f t="shared" si="14"/>
        <v>0.34515779345528869</v>
      </c>
      <c r="AG15" s="18">
        <f t="shared" si="11"/>
        <v>7.6993764375119789E-2</v>
      </c>
      <c r="AH15" s="18">
        <f t="shared" si="12"/>
        <v>5.0598979814734605E-3</v>
      </c>
      <c r="AI15" s="44"/>
      <c r="AJ15" s="12"/>
      <c r="AK15" s="5">
        <v>-9.3380000000000005E-2</v>
      </c>
      <c r="AL15" s="4">
        <v>0.3236</v>
      </c>
      <c r="AM15" s="5">
        <v>0</v>
      </c>
      <c r="AN15" s="5">
        <v>9</v>
      </c>
      <c r="AO15" s="5">
        <v>10</v>
      </c>
      <c r="AP15" s="5">
        <v>1</v>
      </c>
      <c r="AQ15" s="5">
        <v>0</v>
      </c>
      <c r="AR15" s="5">
        <v>0</v>
      </c>
    </row>
    <row r="16" spans="1:44" ht="14.7">
      <c r="A16" s="53" t="s">
        <v>496</v>
      </c>
      <c r="B16" t="s">
        <v>228</v>
      </c>
      <c r="C16" t="s">
        <v>519</v>
      </c>
      <c r="D16" t="s">
        <v>522</v>
      </c>
      <c r="E16" s="57" t="s">
        <v>93</v>
      </c>
      <c r="F16" s="57">
        <v>4</v>
      </c>
      <c r="G16" s="57">
        <v>9</v>
      </c>
      <c r="H16">
        <v>2.641</v>
      </c>
      <c r="I16">
        <v>87.6</v>
      </c>
      <c r="J16" s="10">
        <v>104.8</v>
      </c>
      <c r="K16">
        <v>58.4</v>
      </c>
      <c r="L16">
        <v>8.1</v>
      </c>
      <c r="M16">
        <v>12</v>
      </c>
      <c r="N16">
        <v>-18.100000000000001</v>
      </c>
      <c r="O16">
        <v>0</v>
      </c>
      <c r="P16" s="4">
        <f t="shared" si="0"/>
        <v>38.24444444444444</v>
      </c>
      <c r="Q16" s="4">
        <f t="shared" si="1"/>
        <v>37.859930042751657</v>
      </c>
      <c r="R16" s="7">
        <f t="shared" si="2"/>
        <v>38.052187243598048</v>
      </c>
      <c r="S16" s="4">
        <f t="shared" si="3"/>
        <v>39.75</v>
      </c>
      <c r="T16" s="4">
        <f t="shared" si="4"/>
        <v>9741.3599999999988</v>
      </c>
      <c r="U16" s="4">
        <f t="shared" si="5"/>
        <v>47.836666666666666</v>
      </c>
      <c r="V16" s="4">
        <f t="shared" si="6"/>
        <v>40.979702782077979</v>
      </c>
      <c r="W16" s="7">
        <f t="shared" si="7"/>
        <v>44.408184724372319</v>
      </c>
      <c r="X16" s="7">
        <f t="shared" si="8"/>
        <v>0.85687328765577886</v>
      </c>
      <c r="Y16" s="4">
        <f t="shared" si="9"/>
        <v>7.9904874344860599E-2</v>
      </c>
      <c r="Z16" s="4">
        <f t="shared" si="13"/>
        <v>95.913230289313276</v>
      </c>
      <c r="AA16" s="4">
        <f t="shared" si="15"/>
        <v>6.0686187359353925</v>
      </c>
      <c r="AB16" s="4">
        <f t="shared" si="16"/>
        <v>3.79582001930169</v>
      </c>
      <c r="AC16" s="4">
        <f t="shared" si="17"/>
        <v>4.1005990790872193</v>
      </c>
      <c r="AD16" s="4">
        <f t="shared" si="18"/>
        <v>1.4799346678110867</v>
      </c>
      <c r="AE16" s="4">
        <f t="shared" si="10"/>
        <v>0.84678552108580707</v>
      </c>
      <c r="AF16" s="18">
        <f t="shared" si="14"/>
        <v>0.3461020131909967</v>
      </c>
      <c r="AG16" s="18">
        <f t="shared" si="11"/>
        <v>7.7203829960036788E-2</v>
      </c>
      <c r="AH16" s="18">
        <f t="shared" si="12"/>
        <v>5.0524612321394815E-3</v>
      </c>
      <c r="AI16" s="44"/>
      <c r="AJ16" s="12"/>
      <c r="AK16" s="5">
        <v>-9.0079999999999993E-2</v>
      </c>
      <c r="AL16" s="4">
        <v>0.3256</v>
      </c>
      <c r="AM16" s="5">
        <v>0</v>
      </c>
      <c r="AN16" s="5">
        <v>9</v>
      </c>
      <c r="AO16" s="5">
        <v>10</v>
      </c>
      <c r="AP16" s="5">
        <v>1</v>
      </c>
      <c r="AQ16" s="5">
        <v>0</v>
      </c>
      <c r="AR16" s="5">
        <v>0</v>
      </c>
    </row>
    <row r="17" spans="1:44" ht="14.7">
      <c r="A17" s="53" t="s">
        <v>496</v>
      </c>
      <c r="B17" t="s">
        <v>228</v>
      </c>
      <c r="C17" t="s">
        <v>519</v>
      </c>
      <c r="D17" t="s">
        <v>522</v>
      </c>
      <c r="E17" s="57" t="s">
        <v>93</v>
      </c>
      <c r="F17" s="57">
        <v>4</v>
      </c>
      <c r="G17" s="57">
        <v>9</v>
      </c>
      <c r="H17">
        <v>2.6480000000000001</v>
      </c>
      <c r="I17">
        <v>86.6</v>
      </c>
      <c r="J17">
        <v>106.1</v>
      </c>
      <c r="K17">
        <v>57.8</v>
      </c>
      <c r="L17">
        <v>6.7</v>
      </c>
      <c r="M17">
        <v>12.6</v>
      </c>
      <c r="N17">
        <v>-17.8</v>
      </c>
      <c r="O17">
        <v>0</v>
      </c>
      <c r="P17" s="4">
        <f t="shared" si="0"/>
        <v>38.122222222222227</v>
      </c>
      <c r="Q17" s="4">
        <f t="shared" si="1"/>
        <v>37.560211681693453</v>
      </c>
      <c r="R17" s="7">
        <f t="shared" si="2"/>
        <v>37.84121695195784</v>
      </c>
      <c r="S17" s="4">
        <f t="shared" si="3"/>
        <v>39.949999999999996</v>
      </c>
      <c r="T17" s="4">
        <f t="shared" si="4"/>
        <v>9581.6099999999988</v>
      </c>
      <c r="U17" s="4">
        <f t="shared" si="5"/>
        <v>47.603333333333332</v>
      </c>
      <c r="V17" s="4">
        <f t="shared" si="6"/>
        <v>40.983140107500027</v>
      </c>
      <c r="W17" s="7">
        <f t="shared" si="7"/>
        <v>44.293236720416679</v>
      </c>
      <c r="X17" s="7">
        <f t="shared" si="8"/>
        <v>0.85433397407408651</v>
      </c>
      <c r="Y17" s="4">
        <f t="shared" si="9"/>
        <v>7.9006682358329E-2</v>
      </c>
      <c r="Z17" s="4">
        <f t="shared" si="13"/>
        <v>95.585396809217841</v>
      </c>
      <c r="AA17" s="4">
        <f t="shared" si="15"/>
        <v>6.0492336133059847</v>
      </c>
      <c r="AB17" s="4">
        <f t="shared" si="16"/>
        <v>3.7802764165445053</v>
      </c>
      <c r="AC17" s="4">
        <f t="shared" si="17"/>
        <v>4.0898720202655872</v>
      </c>
      <c r="AD17" s="4">
        <f t="shared" si="18"/>
        <v>1.4790765049203571</v>
      </c>
      <c r="AE17" s="4">
        <f t="shared" si="10"/>
        <v>0.82263568858778502</v>
      </c>
      <c r="AF17" s="18">
        <f t="shared" si="14"/>
        <v>0.33516257167019087</v>
      </c>
      <c r="AG17" s="18">
        <f t="shared" si="11"/>
        <v>7.4731423079562043E-2</v>
      </c>
      <c r="AH17" s="18">
        <f t="shared" si="12"/>
        <v>7.4259046853895781E-3</v>
      </c>
      <c r="AI17" s="44"/>
      <c r="AJ17" s="12"/>
      <c r="AK17" s="5">
        <v>-9.3009999999999995E-2</v>
      </c>
      <c r="AL17" s="4">
        <v>0.32250000000000001</v>
      </c>
      <c r="AM17" s="5">
        <v>0</v>
      </c>
      <c r="AN17" s="5">
        <v>27</v>
      </c>
      <c r="AO17" s="5">
        <v>29</v>
      </c>
      <c r="AP17" s="5">
        <v>1</v>
      </c>
      <c r="AQ17" s="5">
        <v>0</v>
      </c>
      <c r="AR17" s="5">
        <v>0</v>
      </c>
    </row>
    <row r="18" spans="1:44" ht="14.7">
      <c r="A18" s="53" t="s">
        <v>496</v>
      </c>
      <c r="B18" t="s">
        <v>228</v>
      </c>
      <c r="C18" t="s">
        <v>519</v>
      </c>
      <c r="D18" t="s">
        <v>522</v>
      </c>
      <c r="E18" s="57" t="s">
        <v>93</v>
      </c>
      <c r="F18" s="57">
        <v>4</v>
      </c>
      <c r="G18" s="57">
        <v>9</v>
      </c>
      <c r="H18">
        <v>2.6480000000000001</v>
      </c>
      <c r="I18">
        <v>86.74</v>
      </c>
      <c r="J18">
        <v>107.2</v>
      </c>
      <c r="K18">
        <v>57.9</v>
      </c>
      <c r="L18">
        <v>6.98</v>
      </c>
      <c r="M18">
        <v>11.9</v>
      </c>
      <c r="N18">
        <v>-17.899999999999999</v>
      </c>
      <c r="O18">
        <v>0</v>
      </c>
      <c r="P18" s="4">
        <f t="shared" si="0"/>
        <v>38.026666666666671</v>
      </c>
      <c r="Q18" s="4">
        <f t="shared" si="1"/>
        <v>37.477214801166902</v>
      </c>
      <c r="R18" s="7">
        <f t="shared" si="2"/>
        <v>37.751940733916783</v>
      </c>
      <c r="S18" s="4">
        <f t="shared" si="3"/>
        <v>39.879999999999995</v>
      </c>
      <c r="T18" s="4">
        <f t="shared" si="4"/>
        <v>9763.5640000000003</v>
      </c>
      <c r="U18" s="4">
        <f t="shared" si="5"/>
        <v>47.795999999999999</v>
      </c>
      <c r="V18" s="4">
        <f t="shared" si="6"/>
        <v>41.082278114727124</v>
      </c>
      <c r="W18" s="7">
        <f t="shared" si="7"/>
        <v>44.439139057363562</v>
      </c>
      <c r="X18" s="7">
        <f t="shared" si="8"/>
        <v>0.84952007475179225</v>
      </c>
      <c r="Y18" s="4">
        <f t="shared" si="9"/>
        <v>7.7293351329620674E-2</v>
      </c>
      <c r="Z18" s="4">
        <f t="shared" si="13"/>
        <v>95.747978090620464</v>
      </c>
      <c r="AA18" s="4">
        <f t="shared" si="15"/>
        <v>6.0525183313193915</v>
      </c>
      <c r="AB18" s="4">
        <f t="shared" si="16"/>
        <v>3.7758145083716976</v>
      </c>
      <c r="AC18" s="4">
        <f t="shared" si="17"/>
        <v>4.0966025206255123</v>
      </c>
      <c r="AD18" s="4">
        <f t="shared" si="18"/>
        <v>1.4774482759423848</v>
      </c>
      <c r="AE18" s="4">
        <f t="shared" si="10"/>
        <v>0.83176777289771753</v>
      </c>
      <c r="AF18" s="18">
        <f t="shared" si="14"/>
        <v>0.33877547761972426</v>
      </c>
      <c r="AG18" s="18">
        <f t="shared" si="11"/>
        <v>7.5538388318083446E-2</v>
      </c>
      <c r="AH18" s="18">
        <f t="shared" si="12"/>
        <v>7.2771340336171796E-3</v>
      </c>
      <c r="AI18" s="44"/>
      <c r="AJ18" s="12"/>
      <c r="AK18" s="5">
        <v>-9.7500000000000003E-2</v>
      </c>
      <c r="AL18" s="4">
        <v>0.32050000000000001</v>
      </c>
      <c r="AM18" s="5">
        <v>0</v>
      </c>
      <c r="AN18" s="5">
        <v>9</v>
      </c>
      <c r="AO18" s="5">
        <v>10</v>
      </c>
      <c r="AP18" s="5">
        <v>1</v>
      </c>
      <c r="AQ18" s="5">
        <v>0</v>
      </c>
      <c r="AR18" s="5">
        <v>0</v>
      </c>
    </row>
    <row r="19" spans="1:44" ht="14.7">
      <c r="A19" s="53" t="s">
        <v>496</v>
      </c>
      <c r="B19" t="s">
        <v>228</v>
      </c>
      <c r="C19" t="s">
        <v>519</v>
      </c>
      <c r="D19" t="s">
        <v>522</v>
      </c>
      <c r="E19" s="57" t="s">
        <v>93</v>
      </c>
      <c r="F19" s="57">
        <v>4</v>
      </c>
      <c r="G19" s="57">
        <v>9</v>
      </c>
      <c r="H19">
        <v>2.6480000000000001</v>
      </c>
      <c r="I19">
        <v>86.6</v>
      </c>
      <c r="J19">
        <v>106.1</v>
      </c>
      <c r="K19">
        <v>57.8</v>
      </c>
      <c r="L19">
        <v>6.7</v>
      </c>
      <c r="M19">
        <v>12.6</v>
      </c>
      <c r="N19">
        <v>-17.8</v>
      </c>
      <c r="O19">
        <v>0</v>
      </c>
      <c r="P19" s="4">
        <f t="shared" si="0"/>
        <v>38.122222222222227</v>
      </c>
      <c r="Q19" s="4">
        <f t="shared" si="1"/>
        <v>37.560211681693453</v>
      </c>
      <c r="R19" s="7">
        <f t="shared" si="2"/>
        <v>37.84121695195784</v>
      </c>
      <c r="S19" s="4">
        <f t="shared" si="3"/>
        <v>39.949999999999996</v>
      </c>
      <c r="T19" s="4">
        <f t="shared" si="4"/>
        <v>9581.6099999999988</v>
      </c>
      <c r="U19" s="4">
        <f t="shared" si="5"/>
        <v>47.603333333333332</v>
      </c>
      <c r="V19" s="4">
        <f t="shared" si="6"/>
        <v>40.983140107500027</v>
      </c>
      <c r="W19" s="7">
        <f t="shared" si="7"/>
        <v>44.293236720416679</v>
      </c>
      <c r="X19" s="7">
        <f t="shared" si="8"/>
        <v>0.85433397407408651</v>
      </c>
      <c r="Y19" s="4">
        <f t="shared" si="9"/>
        <v>7.9006682358329E-2</v>
      </c>
      <c r="Z19" s="4">
        <f t="shared" si="13"/>
        <v>95.585396809217841</v>
      </c>
      <c r="AA19" s="4">
        <f t="shared" si="15"/>
        <v>6.0492336133059847</v>
      </c>
      <c r="AB19" s="4">
        <f t="shared" si="16"/>
        <v>3.7802764165445053</v>
      </c>
      <c r="AC19" s="4">
        <f t="shared" si="17"/>
        <v>4.0898720202655872</v>
      </c>
      <c r="AD19" s="4">
        <f t="shared" si="18"/>
        <v>1.4790765049203571</v>
      </c>
      <c r="AE19" s="4">
        <f t="shared" si="10"/>
        <v>0.82263568858778502</v>
      </c>
      <c r="AF19" s="18">
        <f t="shared" si="14"/>
        <v>0.33516257167019087</v>
      </c>
      <c r="AG19" s="18">
        <f t="shared" si="11"/>
        <v>7.4731423079562043E-2</v>
      </c>
      <c r="AH19" s="18">
        <f t="shared" si="12"/>
        <v>7.4259046853895781E-3</v>
      </c>
      <c r="AI19" s="44"/>
      <c r="AJ19" s="12"/>
      <c r="AK19" s="5">
        <v>-9.3009999999999995E-2</v>
      </c>
      <c r="AL19" s="4">
        <v>0.32250000000000001</v>
      </c>
      <c r="AM19" s="5">
        <v>0</v>
      </c>
      <c r="AN19" s="5">
        <v>27</v>
      </c>
      <c r="AO19" s="5">
        <v>29</v>
      </c>
      <c r="AP19" s="5">
        <v>1</v>
      </c>
      <c r="AQ19" s="5">
        <v>0</v>
      </c>
      <c r="AR19" s="5">
        <v>0</v>
      </c>
    </row>
    <row r="20" spans="1:44" ht="14.25" customHeight="1">
      <c r="A20" s="53" t="s">
        <v>496</v>
      </c>
      <c r="B20" t="s">
        <v>228</v>
      </c>
      <c r="C20" t="s">
        <v>519</v>
      </c>
      <c r="D20" t="s">
        <v>522</v>
      </c>
      <c r="E20" s="57" t="s">
        <v>93</v>
      </c>
      <c r="F20" s="57">
        <v>4</v>
      </c>
      <c r="G20" s="57">
        <v>9</v>
      </c>
      <c r="H20">
        <v>2.649</v>
      </c>
      <c r="I20">
        <v>86.8</v>
      </c>
      <c r="J20">
        <v>105.8</v>
      </c>
      <c r="K20">
        <v>58.2</v>
      </c>
      <c r="L20">
        <v>7.04</v>
      </c>
      <c r="M20">
        <v>11.91</v>
      </c>
      <c r="N20">
        <v>-18.04</v>
      </c>
      <c r="O20">
        <v>0</v>
      </c>
      <c r="P20" s="4">
        <f t="shared" si="0"/>
        <v>37.902222222222221</v>
      </c>
      <c r="Q20" s="4">
        <f t="shared" si="1"/>
        <v>37.411077579519009</v>
      </c>
      <c r="R20" s="7">
        <f t="shared" si="2"/>
        <v>37.656649900870619</v>
      </c>
      <c r="S20" s="4">
        <f t="shared" si="3"/>
        <v>39.879999999999995</v>
      </c>
      <c r="T20" s="4">
        <f t="shared" si="4"/>
        <v>9644.5758000000005</v>
      </c>
      <c r="U20" s="4">
        <f t="shared" si="5"/>
        <v>47.825333333333333</v>
      </c>
      <c r="V20" s="4">
        <f t="shared" si="6"/>
        <v>41.024996376478818</v>
      </c>
      <c r="W20" s="7">
        <f t="shared" si="7"/>
        <v>44.425164854906072</v>
      </c>
      <c r="X20" s="7">
        <f t="shared" si="8"/>
        <v>0.84764232218064628</v>
      </c>
      <c r="Y20" s="4">
        <f t="shared" si="9"/>
        <v>7.6621247300485695E-2</v>
      </c>
      <c r="Z20" s="4">
        <f t="shared" si="13"/>
        <v>95.658152795237356</v>
      </c>
      <c r="AA20" s="4">
        <f t="shared" si="15"/>
        <v>6.0478213505558429</v>
      </c>
      <c r="AB20" s="4">
        <f t="shared" si="16"/>
        <v>3.7703343188808667</v>
      </c>
      <c r="AC20" s="4">
        <f t="shared" si="17"/>
        <v>4.0951851800719821</v>
      </c>
      <c r="AD20" s="4">
        <f t="shared" si="18"/>
        <v>1.4768126677117783</v>
      </c>
      <c r="AE20" s="4">
        <f t="shared" si="10"/>
        <v>0.84193241107796979</v>
      </c>
      <c r="AF20" s="18">
        <f t="shared" si="14"/>
        <v>0.3432024752530467</v>
      </c>
      <c r="AG20" s="18">
        <f t="shared" si="11"/>
        <v>7.6536991804809509E-2</v>
      </c>
      <c r="AH20" s="18">
        <f t="shared" si="12"/>
        <v>6.521353386402232E-3</v>
      </c>
      <c r="AI20" s="44"/>
      <c r="AJ20" s="12"/>
      <c r="AK20" s="5">
        <v>-9.6540000000000001E-2</v>
      </c>
      <c r="AL20" s="4">
        <v>0.3216</v>
      </c>
      <c r="AM20" s="5">
        <v>0</v>
      </c>
      <c r="AN20" s="5">
        <v>9</v>
      </c>
      <c r="AO20" s="5">
        <v>10</v>
      </c>
      <c r="AP20" s="5">
        <v>1</v>
      </c>
      <c r="AQ20" s="5">
        <v>0</v>
      </c>
      <c r="AR20" s="5">
        <v>0</v>
      </c>
    </row>
    <row r="21" spans="1:44" ht="14.7">
      <c r="A21" s="53" t="s">
        <v>496</v>
      </c>
      <c r="B21" t="s">
        <v>228</v>
      </c>
      <c r="C21" t="s">
        <v>519</v>
      </c>
      <c r="D21" t="s">
        <v>522</v>
      </c>
      <c r="E21" s="57" t="s">
        <v>23</v>
      </c>
      <c r="F21" s="57">
        <v>4</v>
      </c>
      <c r="G21" s="57">
        <v>9</v>
      </c>
      <c r="I21">
        <v>86.9</v>
      </c>
      <c r="J21">
        <v>106.4</v>
      </c>
      <c r="K21">
        <v>59.5</v>
      </c>
      <c r="L21">
        <v>7.6</v>
      </c>
      <c r="M21">
        <v>12</v>
      </c>
      <c r="N21">
        <v>17.8</v>
      </c>
      <c r="O21">
        <v>0</v>
      </c>
      <c r="P21" s="4">
        <f t="shared" si="0"/>
        <v>38.155555555555551</v>
      </c>
      <c r="Q21" s="4">
        <f t="shared" si="1"/>
        <v>37.666023910528345</v>
      </c>
      <c r="R21" s="4">
        <f t="shared" si="2"/>
        <v>37.910789733041952</v>
      </c>
      <c r="S21" s="4">
        <f t="shared" si="3"/>
        <v>39.650000000000006</v>
      </c>
      <c r="T21" s="4">
        <f t="shared" si="4"/>
        <v>9766.8000000000011</v>
      </c>
      <c r="U21" s="4">
        <f t="shared" si="5"/>
        <v>48.303333333333327</v>
      </c>
      <c r="V21" s="4">
        <f t="shared" si="6"/>
        <v>41.481830549513916</v>
      </c>
      <c r="W21" s="4">
        <f t="shared" si="7"/>
        <v>44.892581941423622</v>
      </c>
      <c r="X21" s="7">
        <f t="shared" si="8"/>
        <v>0.84447782002176675</v>
      </c>
      <c r="Y21" s="4">
        <f t="shared" si="9"/>
        <v>7.5483727951034058E-2</v>
      </c>
      <c r="Z21" s="4">
        <f t="shared" si="13"/>
        <v>96.562482767419084</v>
      </c>
      <c r="AA21" s="4" t="e">
        <f t="shared" si="15"/>
        <v>#DIV/0!</v>
      </c>
      <c r="AB21" s="4" t="e">
        <f t="shared" si="16"/>
        <v>#DIV/0!</v>
      </c>
      <c r="AC21" s="4" t="e">
        <f t="shared" si="17"/>
        <v>#DIV/0!</v>
      </c>
      <c r="AD21" s="4" t="e">
        <f t="shared" si="18"/>
        <v>#DIV/0!</v>
      </c>
      <c r="AE21" s="4">
        <f t="shared" si="10"/>
        <v>0.83522442860923363</v>
      </c>
      <c r="AF21" s="18">
        <f t="shared" si="14"/>
        <v>0.34067511168322995</v>
      </c>
      <c r="AG21" s="18">
        <f t="shared" si="11"/>
        <v>7.5975834857529359E-2</v>
      </c>
      <c r="AH21" s="18">
        <f t="shared" si="12"/>
        <v>6.4563630627898078E-3</v>
      </c>
    </row>
    <row r="22" spans="1:44" ht="14.7">
      <c r="A22" s="53" t="s">
        <v>496</v>
      </c>
      <c r="B22" t="s">
        <v>228</v>
      </c>
      <c r="C22" t="s">
        <v>519</v>
      </c>
      <c r="D22" t="s">
        <v>522</v>
      </c>
      <c r="E22" s="57" t="s">
        <v>15</v>
      </c>
      <c r="F22" s="57">
        <v>4</v>
      </c>
      <c r="G22" s="57">
        <v>9</v>
      </c>
      <c r="H22">
        <v>2.65</v>
      </c>
      <c r="I22">
        <v>86.05</v>
      </c>
      <c r="J22">
        <v>107.1</v>
      </c>
      <c r="K22">
        <v>58.65</v>
      </c>
      <c r="L22">
        <v>4.8499999999999996</v>
      </c>
      <c r="M22">
        <v>10.45</v>
      </c>
      <c r="N22">
        <v>18.25</v>
      </c>
      <c r="P22" s="4">
        <f t="shared" si="0"/>
        <v>36.74444444444444</v>
      </c>
      <c r="Q22" s="4">
        <f t="shared" si="1"/>
        <v>36.145024686669203</v>
      </c>
      <c r="R22" s="4">
        <f t="shared" si="2"/>
        <v>36.444734565556821</v>
      </c>
      <c r="S22" s="4">
        <f t="shared" si="3"/>
        <v>40.6</v>
      </c>
      <c r="T22" s="4">
        <f t="shared" si="4"/>
        <v>9516.9849999999988</v>
      </c>
      <c r="U22" s="4">
        <f t="shared" si="5"/>
        <v>48.476666666666667</v>
      </c>
      <c r="V22" s="4">
        <f t="shared" si="6"/>
        <v>41.637730416905733</v>
      </c>
      <c r="W22" s="4">
        <f t="shared" si="7"/>
        <v>45.0571985417862</v>
      </c>
      <c r="X22" s="7">
        <f t="shared" si="8"/>
        <v>0.80885487214119289</v>
      </c>
      <c r="Y22" s="4">
        <f t="shared" si="9"/>
        <v>6.2243772433043867E-2</v>
      </c>
      <c r="Z22" s="4">
        <f t="shared" si="13"/>
        <v>95.723457108583233</v>
      </c>
      <c r="AA22" s="4">
        <f t="shared" si="15"/>
        <v>6.035148597940406</v>
      </c>
      <c r="AB22" s="4">
        <f t="shared" si="16"/>
        <v>3.7084673417381504</v>
      </c>
      <c r="AC22" s="4">
        <f t="shared" si="17"/>
        <v>4.1234350280879548</v>
      </c>
      <c r="AD22" s="4">
        <f t="shared" si="18"/>
        <v>1.4636216059742104</v>
      </c>
      <c r="AE22" s="4">
        <f t="shared" si="10"/>
        <v>0.83782642019758136</v>
      </c>
      <c r="AF22" s="18">
        <f t="shared" si="14"/>
        <v>0.34044946952413541</v>
      </c>
      <c r="AG22" s="18">
        <f t="shared" si="11"/>
        <v>7.5891716208437612E-2</v>
      </c>
      <c r="AH22" s="18">
        <f t="shared" si="12"/>
        <v>8.2236812110265279E-3</v>
      </c>
    </row>
    <row r="23" spans="1:44">
      <c r="A23" s="53" t="s">
        <v>504</v>
      </c>
      <c r="B23" t="s">
        <v>482</v>
      </c>
      <c r="D23" t="s">
        <v>504</v>
      </c>
      <c r="E23" s="57" t="s">
        <v>93</v>
      </c>
      <c r="F23" s="57">
        <v>4</v>
      </c>
      <c r="G23" s="57">
        <v>9</v>
      </c>
      <c r="H23">
        <v>2.96</v>
      </c>
      <c r="I23">
        <v>341.9</v>
      </c>
      <c r="J23">
        <v>391</v>
      </c>
      <c r="K23">
        <v>91.4</v>
      </c>
      <c r="L23">
        <v>148</v>
      </c>
      <c r="M23">
        <v>136</v>
      </c>
      <c r="N23">
        <v>0.1</v>
      </c>
      <c r="O23">
        <v>3.5</v>
      </c>
      <c r="P23" s="4">
        <f t="shared" si="0"/>
        <v>212.75555555555556</v>
      </c>
      <c r="Q23" s="4">
        <f t="shared" si="1"/>
        <v>212.33534826212389</v>
      </c>
      <c r="R23" s="7">
        <f t="shared" si="2"/>
        <v>212.54545190883971</v>
      </c>
      <c r="S23" s="4">
        <f t="shared" si="3"/>
        <v>96.949999999999989</v>
      </c>
      <c r="T23" s="4">
        <f t="shared" si="4"/>
        <v>154558.9</v>
      </c>
      <c r="U23" s="4">
        <f t="shared" si="5"/>
        <v>99.603333333333339</v>
      </c>
      <c r="V23" s="4">
        <f>(5*T23*(K23*S23-(N23*N23+O23*O23))/(6*P23*(K23*S23-(N23*N23+O23*O23))+2*T23*(K23+S23)))</f>
        <v>98.368791187574473</v>
      </c>
      <c r="W23" s="7">
        <f t="shared" si="7"/>
        <v>98.986062260453906</v>
      </c>
      <c r="X23" s="7">
        <f t="shared" si="8"/>
        <v>2.1472260544074002</v>
      </c>
      <c r="Y23" s="4">
        <f t="shared" si="9"/>
        <v>0.29843256223936065</v>
      </c>
      <c r="Z23" s="4">
        <f t="shared" si="13"/>
        <v>257.05345289365209</v>
      </c>
      <c r="AA23" s="4">
        <f t="shared" si="15"/>
        <v>10.788614936528523</v>
      </c>
      <c r="AB23" s="4">
        <f t="shared" si="16"/>
        <v>8.473835962251604</v>
      </c>
      <c r="AC23" s="4">
        <f t="shared" si="17"/>
        <v>5.7828398949091913</v>
      </c>
      <c r="AD23" s="4">
        <f t="shared" si="18"/>
        <v>1.8656257362452775</v>
      </c>
      <c r="AE23" s="4">
        <f>5*U23/V23 +P23/Q23-6</f>
        <v>6.4729681736057643E-2</v>
      </c>
      <c r="AF23" s="18">
        <f t="shared" si="14"/>
        <v>2.7958318229845586E-2</v>
      </c>
      <c r="AG23" s="18">
        <f t="shared" si="11"/>
        <v>6.2359392704728275E-3</v>
      </c>
      <c r="AH23" s="18">
        <f t="shared" si="12"/>
        <v>9.8851160930015858E-4</v>
      </c>
      <c r="AK23" s="4">
        <v>0.22320000000000001</v>
      </c>
      <c r="AL23" s="4">
        <v>0.36620000000000003</v>
      </c>
      <c r="AM23" s="4">
        <v>17</v>
      </c>
      <c r="AN23" s="4">
        <v>10</v>
      </c>
      <c r="AO23" s="4">
        <v>0</v>
      </c>
      <c r="AP23" s="4">
        <v>4</v>
      </c>
      <c r="AQ23" s="4">
        <v>-7</v>
      </c>
      <c r="AR23" s="4">
        <v>-39</v>
      </c>
    </row>
    <row r="24" spans="1:44">
      <c r="A24" s="53" t="s">
        <v>505</v>
      </c>
      <c r="B24" t="s">
        <v>311</v>
      </c>
      <c r="D24" t="s">
        <v>523</v>
      </c>
      <c r="E24" s="57" t="s">
        <v>93</v>
      </c>
      <c r="F24" s="57">
        <v>4</v>
      </c>
      <c r="G24" s="57">
        <v>9</v>
      </c>
      <c r="H24">
        <v>3.7949999999999999</v>
      </c>
      <c r="I24">
        <v>472</v>
      </c>
      <c r="J24">
        <v>382</v>
      </c>
      <c r="K24">
        <v>106</v>
      </c>
      <c r="L24">
        <v>168</v>
      </c>
      <c r="M24">
        <v>70</v>
      </c>
      <c r="N24">
        <v>-27</v>
      </c>
      <c r="O24">
        <v>24</v>
      </c>
      <c r="P24" s="4">
        <f t="shared" si="0"/>
        <v>215.77777777777777</v>
      </c>
      <c r="Q24" s="4">
        <f t="shared" si="1"/>
        <v>208.79003558718861</v>
      </c>
      <c r="R24" s="7">
        <f t="shared" si="2"/>
        <v>212.28390668248318</v>
      </c>
      <c r="S24" s="4">
        <f t="shared" si="3"/>
        <v>152</v>
      </c>
      <c r="T24" s="4">
        <f t="shared" si="4"/>
        <v>234680</v>
      </c>
      <c r="U24" s="4">
        <f t="shared" si="5"/>
        <v>140.66666666666666</v>
      </c>
      <c r="V24" s="4">
        <f>(5*T24*(K24*S24-(N24*N24+O24*O24))/(6*P24*(K24*S24-(N24*N24+O24*O24))+2*T24*(K24+S24)))</f>
        <v>123.86933763865669</v>
      </c>
      <c r="W24" s="7">
        <f t="shared" si="7"/>
        <v>132.26800215266167</v>
      </c>
      <c r="X24" s="7">
        <f t="shared" si="8"/>
        <v>1.6049528474579089</v>
      </c>
      <c r="Y24" s="4">
        <f t="shared" si="9"/>
        <v>0.24204015642525439</v>
      </c>
      <c r="Z24" s="4">
        <f t="shared" si="13"/>
        <v>328.56434016749552</v>
      </c>
      <c r="AA24" s="4">
        <f t="shared" si="15"/>
        <v>10.119721322929964</v>
      </c>
      <c r="AB24" s="4">
        <f t="shared" si="16"/>
        <v>7.4791569258927808</v>
      </c>
      <c r="AC24" s="4">
        <f t="shared" si="17"/>
        <v>5.9036622954506024</v>
      </c>
      <c r="AD24" s="4">
        <f t="shared" si="18"/>
        <v>1.714142987265427</v>
      </c>
      <c r="AE24" s="4">
        <f>5*U24/V24 +P24/Q24-6</f>
        <v>0.71149390533095414</v>
      </c>
      <c r="AF24" s="18">
        <f t="shared" si="14"/>
        <v>0.28625051034484233</v>
      </c>
      <c r="AG24" s="18">
        <f t="shared" si="11"/>
        <v>6.3497326468357609E-2</v>
      </c>
      <c r="AH24" s="18">
        <f t="shared" si="12"/>
        <v>1.645848312241787E-2</v>
      </c>
      <c r="AI24" s="45">
        <v>21.1</v>
      </c>
      <c r="AJ24" s="32">
        <v>36.4</v>
      </c>
      <c r="AK24" s="5">
        <v>-2.325E-2</v>
      </c>
      <c r="AL24" s="4">
        <v>0.51259999999999994</v>
      </c>
      <c r="AM24" s="5">
        <v>11</v>
      </c>
      <c r="AN24" s="5">
        <v>38</v>
      </c>
      <c r="AO24" s="5">
        <v>0</v>
      </c>
      <c r="AP24" s="5">
        <v>19</v>
      </c>
      <c r="AQ24" s="5">
        <v>-6</v>
      </c>
      <c r="AR24" s="5">
        <v>35</v>
      </c>
    </row>
    <row r="25" spans="1:44">
      <c r="P25" s="4"/>
      <c r="Q25" s="4"/>
      <c r="R25" s="7"/>
      <c r="S25" s="4"/>
      <c r="T25" s="4"/>
      <c r="U25" s="4"/>
      <c r="V25" s="4"/>
      <c r="W25" s="7"/>
      <c r="X25" s="7"/>
      <c r="Y25" s="4"/>
      <c r="Z25" s="4"/>
      <c r="AA25" s="4"/>
      <c r="AB25" s="4"/>
      <c r="AC25" s="4"/>
      <c r="AD25" s="4"/>
      <c r="AE25" s="4"/>
      <c r="AF25" s="18" t="e">
        <f t="shared" si="14"/>
        <v>#DIV/0!</v>
      </c>
      <c r="AG25" s="18"/>
      <c r="AH25" s="18"/>
      <c r="AI25" s="44"/>
      <c r="AJ25" s="12"/>
      <c r="AK25" s="5"/>
      <c r="AL25" s="4"/>
      <c r="AM25" s="5"/>
      <c r="AN25" s="5"/>
      <c r="AO25" s="5"/>
      <c r="AP25" s="5"/>
      <c r="AQ25" s="5"/>
      <c r="AR25" s="5"/>
    </row>
    <row r="26" spans="1:44">
      <c r="A26" s="53" t="s">
        <v>83</v>
      </c>
      <c r="B26" t="s">
        <v>299</v>
      </c>
      <c r="C26" t="s">
        <v>325</v>
      </c>
      <c r="D26" t="s">
        <v>83</v>
      </c>
      <c r="E26" s="57" t="s">
        <v>23</v>
      </c>
      <c r="F26" s="57">
        <v>4</v>
      </c>
      <c r="G26" s="57">
        <v>5</v>
      </c>
      <c r="I26">
        <v>149.4</v>
      </c>
      <c r="J26">
        <v>85.2</v>
      </c>
      <c r="K26">
        <v>34.1</v>
      </c>
      <c r="L26">
        <v>57.9</v>
      </c>
      <c r="M26">
        <v>53.5</v>
      </c>
      <c r="N26">
        <v>-20</v>
      </c>
      <c r="O26">
        <v>0</v>
      </c>
      <c r="P26" s="4">
        <f t="shared" ref="P26:P46" si="19">(2*I26+2*L26+4*M26+J26)/9</f>
        <v>79.311111111111117</v>
      </c>
      <c r="Q26" s="4">
        <f t="shared" ref="Q26:Q46" si="20">((I26+L26)*J26-2*M26*M26)/(I26+L26+2*J26-4*M26)</f>
        <v>72.92278558338424</v>
      </c>
      <c r="R26" s="7">
        <f t="shared" ref="R26:R46" si="21">0.5*(P26+Q26)</f>
        <v>76.116948347247671</v>
      </c>
      <c r="S26" s="4">
        <f t="shared" ref="S26:S46" si="22">0.5*(I26-L26)</f>
        <v>45.75</v>
      </c>
      <c r="T26" s="4">
        <f t="shared" ref="T26:T46" si="23">(I26+L26)*J26-2*M26*M26</f>
        <v>11937.460000000003</v>
      </c>
      <c r="U26" s="4">
        <f t="shared" ref="U26:U46" si="24">(I26+L26+2*J26-4*M26+12*K26+6*(I26-L26))/30</f>
        <v>37.396666666666668</v>
      </c>
      <c r="V26" s="4">
        <f t="shared" ref="V26:V32" si="25">(5*T26*(K26*S26-N26*N26))/(6*P26*(K26*S26-N26*N26)+2*T26*(K26+S26))</f>
        <v>28.164757957414665</v>
      </c>
      <c r="W26" s="7">
        <f t="shared" ref="W26:W46" si="26">0.5*(U26+V26)</f>
        <v>32.780712312040663</v>
      </c>
      <c r="X26" s="7">
        <f t="shared" ref="X26:X46" si="27">R26/W26</f>
        <v>2.3220040987117052</v>
      </c>
      <c r="Y26" s="4">
        <f t="shared" ref="Y26:Y46" si="28">(3*R26-2*W26)/(2*(3*R26+W26))</f>
        <v>0.31170001448180568</v>
      </c>
      <c r="Z26" s="4">
        <f t="shared" si="13"/>
        <v>85.99692162885529</v>
      </c>
      <c r="AA26" s="4" t="e">
        <f t="shared" si="15"/>
        <v>#DIV/0!</v>
      </c>
      <c r="AB26" s="4" t="e">
        <f t="shared" si="16"/>
        <v>#DIV/0!</v>
      </c>
      <c r="AC26" s="4" t="e">
        <f t="shared" si="17"/>
        <v>#DIV/0!</v>
      </c>
      <c r="AD26" s="4" t="e">
        <f t="shared" si="18"/>
        <v>#DIV/0!</v>
      </c>
      <c r="AE26" s="4">
        <f t="shared" ref="AE26:AE32" si="29">5*U26/V26 +P26/Q26 - 6</f>
        <v>1.7265153932339725</v>
      </c>
      <c r="AF26" s="18">
        <f t="shared" si="14"/>
        <v>0.63948574759918464</v>
      </c>
      <c r="AG26" s="18">
        <f t="shared" ref="AG26:AG46" si="30">(U26-V26)/(U26+V26)</f>
        <v>0.14081311933330132</v>
      </c>
      <c r="AH26" s="18">
        <f t="shared" ref="AH26:AH46" si="31">(P26-Q26)/(P26+Q26)</f>
        <v>4.1963883645092785E-2</v>
      </c>
      <c r="AI26" s="43">
        <v>32.299999999999997</v>
      </c>
      <c r="AJ26" s="7">
        <v>58.9</v>
      </c>
    </row>
    <row r="27" spans="1:44">
      <c r="A27" s="53" t="s">
        <v>83</v>
      </c>
      <c r="B27" t="s">
        <v>299</v>
      </c>
      <c r="C27" t="s">
        <v>325</v>
      </c>
      <c r="D27" t="s">
        <v>83</v>
      </c>
      <c r="E27" s="57" t="s">
        <v>23</v>
      </c>
      <c r="F27" s="57">
        <v>4</v>
      </c>
      <c r="G27" s="57">
        <v>5</v>
      </c>
      <c r="I27">
        <v>148</v>
      </c>
      <c r="J27">
        <v>85.7</v>
      </c>
      <c r="K27">
        <v>32.799999999999997</v>
      </c>
      <c r="L27">
        <v>55.4</v>
      </c>
      <c r="M27">
        <v>54.5</v>
      </c>
      <c r="N27">
        <v>-20.8</v>
      </c>
      <c r="O27">
        <v>0</v>
      </c>
      <c r="P27" s="4">
        <f t="shared" si="19"/>
        <v>78.944444444444443</v>
      </c>
      <c r="Q27" s="4">
        <f t="shared" si="20"/>
        <v>73.28367346938775</v>
      </c>
      <c r="R27" s="4">
        <f t="shared" si="21"/>
        <v>76.114058956916097</v>
      </c>
      <c r="S27" s="4">
        <f t="shared" si="22"/>
        <v>46.3</v>
      </c>
      <c r="T27" s="4">
        <f t="shared" si="23"/>
        <v>11490.880000000001</v>
      </c>
      <c r="U27" s="4">
        <f t="shared" si="24"/>
        <v>36.866666666666667</v>
      </c>
      <c r="V27" s="4">
        <f t="shared" si="25"/>
        <v>26.753234791376638</v>
      </c>
      <c r="W27" s="4">
        <f t="shared" si="26"/>
        <v>31.809950729021651</v>
      </c>
      <c r="X27" s="7">
        <f t="shared" si="27"/>
        <v>2.3927751289307659</v>
      </c>
      <c r="Y27" s="4">
        <f t="shared" si="28"/>
        <v>0.31658836876037655</v>
      </c>
      <c r="Z27" s="4">
        <f t="shared" si="13"/>
        <v>83.761222281341119</v>
      </c>
      <c r="AA27" s="4" t="e">
        <f t="shared" si="15"/>
        <v>#DIV/0!</v>
      </c>
      <c r="AB27" s="4" t="e">
        <f t="shared" si="16"/>
        <v>#DIV/0!</v>
      </c>
      <c r="AC27" s="4" t="e">
        <f t="shared" si="17"/>
        <v>#DIV/0!</v>
      </c>
      <c r="AD27" s="4" t="e">
        <f t="shared" si="18"/>
        <v>#DIV/0!</v>
      </c>
      <c r="AE27" s="4">
        <f t="shared" si="29"/>
        <v>1.967377170544033</v>
      </c>
      <c r="AF27" s="18">
        <f t="shared" si="14"/>
        <v>0.72085099918296858</v>
      </c>
      <c r="AG27" s="18">
        <f t="shared" si="30"/>
        <v>0.15896648129767599</v>
      </c>
      <c r="AH27" s="18">
        <f t="shared" si="31"/>
        <v>3.7186106303048021E-2</v>
      </c>
      <c r="AK27" s="4"/>
      <c r="AL27" s="4"/>
    </row>
    <row r="28" spans="1:44">
      <c r="A28" s="53" t="s">
        <v>83</v>
      </c>
      <c r="B28" t="s">
        <v>299</v>
      </c>
      <c r="C28" t="s">
        <v>325</v>
      </c>
      <c r="D28" t="s">
        <v>83</v>
      </c>
      <c r="E28" s="57" t="s">
        <v>23</v>
      </c>
      <c r="F28" s="57">
        <v>4</v>
      </c>
      <c r="G28" s="57">
        <v>5</v>
      </c>
      <c r="I28">
        <v>146.30000000000001</v>
      </c>
      <c r="J28">
        <v>85.3</v>
      </c>
      <c r="K28">
        <v>34</v>
      </c>
      <c r="L28">
        <v>59.7</v>
      </c>
      <c r="M28">
        <v>50.8</v>
      </c>
      <c r="N28">
        <v>-20.8</v>
      </c>
      <c r="O28">
        <v>0</v>
      </c>
      <c r="P28" s="4">
        <f t="shared" si="19"/>
        <v>77.833333333333329</v>
      </c>
      <c r="Q28" s="4">
        <f t="shared" si="20"/>
        <v>71.571626297577836</v>
      </c>
      <c r="R28" s="4">
        <f t="shared" si="21"/>
        <v>74.702479815455575</v>
      </c>
      <c r="S28" s="4">
        <f t="shared" si="22"/>
        <v>43.300000000000004</v>
      </c>
      <c r="T28" s="4">
        <f t="shared" si="23"/>
        <v>12410.52</v>
      </c>
      <c r="U28" s="4">
        <f t="shared" si="24"/>
        <v>36.700000000000003</v>
      </c>
      <c r="V28" s="4">
        <f t="shared" si="25"/>
        <v>26.83178865848442</v>
      </c>
      <c r="W28" s="4">
        <f t="shared" si="26"/>
        <v>31.765894329242212</v>
      </c>
      <c r="X28" s="7">
        <f t="shared" si="27"/>
        <v>2.3516567498837246</v>
      </c>
      <c r="Y28" s="4">
        <f t="shared" si="28"/>
        <v>0.31377957292083625</v>
      </c>
      <c r="Z28" s="4">
        <f t="shared" si="13"/>
        <v>83.466766170640511</v>
      </c>
      <c r="AA28" s="4" t="e">
        <f t="shared" si="15"/>
        <v>#DIV/0!</v>
      </c>
      <c r="AB28" s="4" t="e">
        <f t="shared" si="16"/>
        <v>#DIV/0!</v>
      </c>
      <c r="AC28" s="4" t="e">
        <f t="shared" si="17"/>
        <v>#DIV/0!</v>
      </c>
      <c r="AD28" s="4" t="e">
        <f t="shared" si="18"/>
        <v>#DIV/0!</v>
      </c>
      <c r="AE28" s="4">
        <f t="shared" si="29"/>
        <v>1.9263916807530421</v>
      </c>
      <c r="AF28" s="18">
        <f t="shared" si="14"/>
        <v>0.7053172628831953</v>
      </c>
      <c r="AG28" s="18">
        <f t="shared" si="30"/>
        <v>0.15532714488115898</v>
      </c>
      <c r="AH28" s="18">
        <f t="shared" si="31"/>
        <v>4.1910971705520113E-2</v>
      </c>
      <c r="AK28" s="4"/>
      <c r="AL28" s="4"/>
    </row>
    <row r="29" spans="1:44">
      <c r="A29" s="53" t="s">
        <v>83</v>
      </c>
      <c r="B29" t="s">
        <v>299</v>
      </c>
      <c r="C29" t="s">
        <v>325</v>
      </c>
      <c r="D29" t="s">
        <v>83</v>
      </c>
      <c r="E29" s="57" t="s">
        <v>23</v>
      </c>
      <c r="F29" s="57">
        <v>4</v>
      </c>
      <c r="G29" s="57">
        <v>5</v>
      </c>
      <c r="I29">
        <v>145.69999999999999</v>
      </c>
      <c r="J29">
        <v>85.3</v>
      </c>
      <c r="K29">
        <v>33.4</v>
      </c>
      <c r="L29">
        <v>55.9</v>
      </c>
      <c r="M29">
        <v>53.5</v>
      </c>
      <c r="N29">
        <v>-20.5</v>
      </c>
      <c r="O29">
        <v>0</v>
      </c>
      <c r="P29" s="4">
        <f t="shared" si="19"/>
        <v>78.055555555555557</v>
      </c>
      <c r="Q29" s="4">
        <f t="shared" si="20"/>
        <v>72.51567635903919</v>
      </c>
      <c r="R29" s="4">
        <f t="shared" si="21"/>
        <v>75.285615957297381</v>
      </c>
      <c r="S29" s="4">
        <f t="shared" si="22"/>
        <v>44.899999999999991</v>
      </c>
      <c r="T29" s="4">
        <f t="shared" si="23"/>
        <v>11471.98</v>
      </c>
      <c r="U29" s="4">
        <f t="shared" si="24"/>
        <v>36.593333333333334</v>
      </c>
      <c r="V29" s="4">
        <f t="shared" si="25"/>
        <v>26.895694223314763</v>
      </c>
      <c r="W29" s="4">
        <f t="shared" si="26"/>
        <v>31.744513778324048</v>
      </c>
      <c r="X29" s="7">
        <f t="shared" si="27"/>
        <v>2.3716103035323317</v>
      </c>
      <c r="Y29" s="4">
        <f t="shared" si="28"/>
        <v>0.31515326486456052</v>
      </c>
      <c r="Z29" s="4">
        <f t="shared" si="13"/>
        <v>83.497801874201812</v>
      </c>
      <c r="AA29" s="4" t="e">
        <f t="shared" si="15"/>
        <v>#DIV/0!</v>
      </c>
      <c r="AB29" s="4" t="e">
        <f t="shared" si="16"/>
        <v>#DIV/0!</v>
      </c>
      <c r="AC29" s="4" t="e">
        <f t="shared" si="17"/>
        <v>#DIV/0!</v>
      </c>
      <c r="AD29" s="4" t="e">
        <f t="shared" si="18"/>
        <v>#DIV/0!</v>
      </c>
      <c r="AE29" s="4">
        <f t="shared" si="29"/>
        <v>1.8792193295880901</v>
      </c>
      <c r="AF29" s="18">
        <f t="shared" si="14"/>
        <v>0.69240974740882177</v>
      </c>
      <c r="AG29" s="18">
        <f t="shared" si="30"/>
        <v>0.15274511964080487</v>
      </c>
      <c r="AH29" s="18">
        <f t="shared" si="31"/>
        <v>3.6792414633750437E-2</v>
      </c>
      <c r="AK29" s="4"/>
      <c r="AL29" s="4"/>
    </row>
    <row r="30" spans="1:44">
      <c r="A30" s="53" t="s">
        <v>83</v>
      </c>
      <c r="B30" t="s">
        <v>299</v>
      </c>
      <c r="C30" t="s">
        <v>325</v>
      </c>
      <c r="D30" t="s">
        <v>83</v>
      </c>
      <c r="E30" s="57" t="s">
        <v>93</v>
      </c>
      <c r="F30" s="57">
        <v>4</v>
      </c>
      <c r="G30" s="57">
        <v>5</v>
      </c>
      <c r="H30" s="29">
        <v>2.7120000000000002</v>
      </c>
      <c r="I30">
        <v>144</v>
      </c>
      <c r="J30">
        <v>84.3</v>
      </c>
      <c r="K30">
        <v>33.5</v>
      </c>
      <c r="L30">
        <v>54.2</v>
      </c>
      <c r="M30">
        <v>51.2</v>
      </c>
      <c r="N30">
        <v>-20.5</v>
      </c>
      <c r="O30">
        <v>0</v>
      </c>
      <c r="P30" s="4">
        <f t="shared" si="19"/>
        <v>76.166666666666671</v>
      </c>
      <c r="Q30" s="4">
        <f t="shared" si="20"/>
        <v>70.773950617283958</v>
      </c>
      <c r="R30" s="7">
        <f t="shared" si="21"/>
        <v>73.470308641975322</v>
      </c>
      <c r="S30" s="4">
        <f t="shared" si="22"/>
        <v>44.9</v>
      </c>
      <c r="T30" s="4">
        <f t="shared" si="23"/>
        <v>11465.379999999997</v>
      </c>
      <c r="U30" s="4">
        <f t="shared" si="24"/>
        <v>36.76</v>
      </c>
      <c r="V30" s="4">
        <f t="shared" si="25"/>
        <v>27.097052328518366</v>
      </c>
      <c r="W30" s="7">
        <f t="shared" si="26"/>
        <v>31.928526164259182</v>
      </c>
      <c r="X30" s="7">
        <f t="shared" si="27"/>
        <v>2.3010867543337481</v>
      </c>
      <c r="Y30" s="4">
        <f t="shared" si="28"/>
        <v>0.31020490910286957</v>
      </c>
      <c r="Z30" s="4">
        <f t="shared" si="13"/>
        <v>83.665823441663591</v>
      </c>
      <c r="AA30" s="4">
        <f t="shared" si="15"/>
        <v>6.5412712014594385</v>
      </c>
      <c r="AB30" s="4">
        <f t="shared" si="16"/>
        <v>5.2048844147242947</v>
      </c>
      <c r="AC30" s="4">
        <f t="shared" si="17"/>
        <v>3.4311886235387958</v>
      </c>
      <c r="AD30" s="4">
        <f t="shared" si="18"/>
        <v>1.9064155076129343</v>
      </c>
      <c r="AE30" s="4">
        <f t="shared" si="29"/>
        <v>1.8592219543318622</v>
      </c>
      <c r="AF30" s="18">
        <f t="shared" si="14"/>
        <v>0.68591012445097244</v>
      </c>
      <c r="AG30" s="18">
        <f t="shared" si="30"/>
        <v>0.15132154271339876</v>
      </c>
      <c r="AH30" s="18">
        <f t="shared" si="31"/>
        <v>3.6699968661229543E-2</v>
      </c>
      <c r="AI30" s="44"/>
      <c r="AJ30" s="12"/>
      <c r="AK30" s="5">
        <v>-4.7649999999999998E-2</v>
      </c>
      <c r="AL30" s="4">
        <v>0.78839999999999999</v>
      </c>
      <c r="AM30" s="5">
        <v>0</v>
      </c>
      <c r="AN30" s="5">
        <v>15</v>
      </c>
      <c r="AO30" s="5">
        <v>13</v>
      </c>
      <c r="AP30" s="5">
        <v>1</v>
      </c>
      <c r="AQ30" s="5">
        <v>0</v>
      </c>
      <c r="AR30" s="5">
        <v>0</v>
      </c>
    </row>
    <row r="31" spans="1:44">
      <c r="A31" s="53" t="s">
        <v>83</v>
      </c>
      <c r="B31" t="s">
        <v>299</v>
      </c>
      <c r="C31" t="s">
        <v>325</v>
      </c>
      <c r="D31" t="s">
        <v>83</v>
      </c>
      <c r="E31" s="57" t="s">
        <v>93</v>
      </c>
      <c r="F31" s="57">
        <v>4</v>
      </c>
      <c r="G31" s="57">
        <v>5</v>
      </c>
      <c r="H31">
        <v>2.7120000000000002</v>
      </c>
      <c r="I31">
        <v>144</v>
      </c>
      <c r="J31">
        <v>84</v>
      </c>
      <c r="K31">
        <v>33.5</v>
      </c>
      <c r="L31">
        <v>53.9</v>
      </c>
      <c r="M31">
        <v>51.1</v>
      </c>
      <c r="N31">
        <v>-20.5</v>
      </c>
      <c r="O31">
        <v>0</v>
      </c>
      <c r="P31" s="4">
        <f t="shared" si="19"/>
        <v>76.022222222222226</v>
      </c>
      <c r="Q31" s="4">
        <f t="shared" si="20"/>
        <v>70.595541795665653</v>
      </c>
      <c r="R31" s="7">
        <f t="shared" si="21"/>
        <v>73.308882008943939</v>
      </c>
      <c r="S31" s="4">
        <f t="shared" si="22"/>
        <v>45.05</v>
      </c>
      <c r="T31" s="4">
        <f t="shared" si="23"/>
        <v>11401.180000000002</v>
      </c>
      <c r="U31" s="4">
        <f t="shared" si="24"/>
        <v>36.803333333333327</v>
      </c>
      <c r="V31" s="4">
        <f t="shared" si="25"/>
        <v>27.132877443418231</v>
      </c>
      <c r="W31" s="7">
        <f t="shared" si="26"/>
        <v>31.968105388375779</v>
      </c>
      <c r="X31" s="7">
        <f t="shared" si="27"/>
        <v>2.293188198622508</v>
      </c>
      <c r="Y31" s="4">
        <f t="shared" si="28"/>
        <v>0.30963415151305662</v>
      </c>
      <c r="Z31" s="4">
        <f t="shared" si="13"/>
        <v>83.733045151570977</v>
      </c>
      <c r="AA31" s="4">
        <f t="shared" si="15"/>
        <v>6.5382080609687749</v>
      </c>
      <c r="AB31" s="4">
        <f t="shared" si="16"/>
        <v>5.1991632668982692</v>
      </c>
      <c r="AC31" s="4">
        <f t="shared" si="17"/>
        <v>3.4333146490657671</v>
      </c>
      <c r="AD31" s="4">
        <f t="shared" si="18"/>
        <v>1.9043428084134015</v>
      </c>
      <c r="AE31" s="4">
        <f t="shared" si="29"/>
        <v>1.8589249989297674</v>
      </c>
      <c r="AF31" s="18">
        <f t="shared" si="14"/>
        <v>0.685659275946221</v>
      </c>
      <c r="AG31" s="18">
        <f t="shared" si="30"/>
        <v>0.15125162677659748</v>
      </c>
      <c r="AH31" s="18">
        <f t="shared" si="31"/>
        <v>3.7012434768098755E-2</v>
      </c>
      <c r="AI31" s="44"/>
      <c r="AJ31" s="12"/>
      <c r="AK31" s="5">
        <v>-4.7140000000000001E-2</v>
      </c>
      <c r="AL31" s="4">
        <v>0.78739999999999999</v>
      </c>
      <c r="AM31" s="5">
        <v>0</v>
      </c>
      <c r="AN31" s="5">
        <v>15</v>
      </c>
      <c r="AO31" s="5">
        <v>13</v>
      </c>
      <c r="AP31" s="5">
        <v>1</v>
      </c>
      <c r="AQ31" s="5">
        <v>0</v>
      </c>
      <c r="AR31" s="5">
        <v>0</v>
      </c>
    </row>
    <row r="32" spans="1:44">
      <c r="A32" s="53" t="s">
        <v>83</v>
      </c>
      <c r="B32" t="s">
        <v>299</v>
      </c>
      <c r="C32" t="s">
        <v>325</v>
      </c>
      <c r="D32" t="s">
        <v>83</v>
      </c>
      <c r="E32" s="57" t="s">
        <v>93</v>
      </c>
      <c r="F32" s="57">
        <v>4</v>
      </c>
      <c r="G32" s="57">
        <v>5</v>
      </c>
      <c r="H32" s="21">
        <v>2.7120000000000002</v>
      </c>
      <c r="I32">
        <v>145</v>
      </c>
      <c r="J32">
        <v>85.6</v>
      </c>
      <c r="K32">
        <v>32.9</v>
      </c>
      <c r="L32">
        <v>55</v>
      </c>
      <c r="M32">
        <v>52.8</v>
      </c>
      <c r="N32">
        <v>-20.3</v>
      </c>
      <c r="O32">
        <v>0</v>
      </c>
      <c r="P32" s="4">
        <f t="shared" si="19"/>
        <v>77.422222222222231</v>
      </c>
      <c r="Q32" s="4">
        <f t="shared" si="20"/>
        <v>72.152000000000001</v>
      </c>
      <c r="R32" s="7">
        <f t="shared" si="21"/>
        <v>74.787111111111116</v>
      </c>
      <c r="S32" s="4">
        <f t="shared" si="22"/>
        <v>45</v>
      </c>
      <c r="T32" s="4">
        <f t="shared" si="23"/>
        <v>11544.32</v>
      </c>
      <c r="U32" s="4">
        <f t="shared" si="24"/>
        <v>36.493333333333332</v>
      </c>
      <c r="V32" s="4">
        <f t="shared" si="25"/>
        <v>26.872576034170851</v>
      </c>
      <c r="W32" s="7">
        <f t="shared" si="26"/>
        <v>31.682954683752094</v>
      </c>
      <c r="X32" s="7">
        <f t="shared" si="27"/>
        <v>2.3604841107027195</v>
      </c>
      <c r="Y32" s="4">
        <f t="shared" si="28"/>
        <v>0.31438979797722766</v>
      </c>
      <c r="Z32" s="4">
        <f t="shared" si="13"/>
        <v>83.287504812197156</v>
      </c>
      <c r="AA32" s="4">
        <f t="shared" si="15"/>
        <v>6.569097524745632</v>
      </c>
      <c r="AB32" s="4">
        <f t="shared" si="16"/>
        <v>5.2513206342597316</v>
      </c>
      <c r="AC32" s="4">
        <f t="shared" si="17"/>
        <v>3.417968024186719</v>
      </c>
      <c r="AD32" s="4">
        <f t="shared" si="18"/>
        <v>1.9219306553661226</v>
      </c>
      <c r="AE32" s="4">
        <f t="shared" si="29"/>
        <v>1.8631131167031549</v>
      </c>
      <c r="AF32" s="18">
        <f t="shared" si="14"/>
        <v>0.68791090241776476</v>
      </c>
      <c r="AG32" s="18">
        <f t="shared" si="30"/>
        <v>0.1518285998763915</v>
      </c>
      <c r="AH32" s="18">
        <f t="shared" si="31"/>
        <v>3.523482953093527E-2</v>
      </c>
      <c r="AI32" s="44"/>
      <c r="AJ32" s="12"/>
      <c r="AK32" s="5">
        <v>-4.795E-2</v>
      </c>
      <c r="AL32" s="4">
        <v>0.79269999999999996</v>
      </c>
      <c r="AM32" s="5">
        <v>0</v>
      </c>
      <c r="AN32" s="5">
        <v>15</v>
      </c>
      <c r="AO32" s="5">
        <v>13</v>
      </c>
      <c r="AP32" s="5">
        <v>1</v>
      </c>
      <c r="AQ32" s="5">
        <v>0</v>
      </c>
      <c r="AR32" s="5">
        <v>0</v>
      </c>
    </row>
    <row r="33" spans="1:44">
      <c r="A33" s="53" t="s">
        <v>506</v>
      </c>
      <c r="B33" t="s">
        <v>483</v>
      </c>
      <c r="C33" t="s">
        <v>325</v>
      </c>
      <c r="D33" t="s">
        <v>83</v>
      </c>
      <c r="E33" s="57" t="s">
        <v>93</v>
      </c>
      <c r="F33" s="57">
        <v>4</v>
      </c>
      <c r="G33" s="57">
        <v>5</v>
      </c>
      <c r="H33">
        <v>3.7949999999999999</v>
      </c>
      <c r="I33">
        <v>205</v>
      </c>
      <c r="J33">
        <v>113</v>
      </c>
      <c r="K33">
        <v>39.799999999999997</v>
      </c>
      <c r="L33">
        <v>71</v>
      </c>
      <c r="M33">
        <v>57.4</v>
      </c>
      <c r="N33">
        <v>-19.5</v>
      </c>
      <c r="O33">
        <v>13.7</v>
      </c>
      <c r="P33" s="4">
        <f t="shared" si="19"/>
        <v>99.4</v>
      </c>
      <c r="Q33" s="4">
        <f t="shared" si="20"/>
        <v>90.302790014684291</v>
      </c>
      <c r="R33" s="7">
        <f t="shared" si="21"/>
        <v>94.851395007342148</v>
      </c>
      <c r="S33" s="4">
        <f t="shared" si="22"/>
        <v>67</v>
      </c>
      <c r="T33" s="4">
        <f t="shared" si="23"/>
        <v>24598.48</v>
      </c>
      <c r="U33" s="4">
        <f t="shared" si="24"/>
        <v>51.8</v>
      </c>
      <c r="V33" s="4">
        <f>(5*T33*(K33*S33-(N33*N33+O33*O33))/(6*P33*(K33*S33-(N33*N33+O33*O33))+2*T33*(K33+S33)))</f>
        <v>39.674783865144803</v>
      </c>
      <c r="W33" s="7">
        <f t="shared" si="26"/>
        <v>45.7373919325724</v>
      </c>
      <c r="X33" s="7">
        <f t="shared" si="27"/>
        <v>2.0738260534657345</v>
      </c>
      <c r="Y33" s="4">
        <f t="shared" si="28"/>
        <v>0.29228629282214774</v>
      </c>
      <c r="Z33" s="4">
        <f t="shared" si="13"/>
        <v>118.2116093277952</v>
      </c>
      <c r="AA33" s="4">
        <f t="shared" si="15"/>
        <v>6.4080520874038349</v>
      </c>
      <c r="AB33" s="4">
        <f t="shared" si="16"/>
        <v>4.9993779588649057</v>
      </c>
      <c r="AC33" s="4">
        <f t="shared" si="17"/>
        <v>3.4716010261077388</v>
      </c>
      <c r="AD33" s="4">
        <f t="shared" si="18"/>
        <v>1.8458492318710835</v>
      </c>
      <c r="AE33" s="4">
        <f>5*U33/V33 +P33/Q33-6</f>
        <v>1.6288170742346386</v>
      </c>
      <c r="AF33" s="18">
        <f t="shared" si="14"/>
        <v>0.60397754450118879</v>
      </c>
      <c r="AG33" s="18">
        <f t="shared" si="30"/>
        <v>0.13255255298258584</v>
      </c>
      <c r="AH33" s="18">
        <f t="shared" si="31"/>
        <v>4.7955066894965162E-2</v>
      </c>
      <c r="AI33" s="44"/>
      <c r="AJ33" s="12"/>
      <c r="AK33" s="5">
        <v>-6.3920000000000005E-2</v>
      </c>
      <c r="AL33" s="4">
        <v>0.74280000000000002</v>
      </c>
      <c r="AM33" s="5">
        <v>13</v>
      </c>
      <c r="AN33" s="5">
        <v>-15</v>
      </c>
      <c r="AO33" s="5">
        <v>0</v>
      </c>
      <c r="AP33" s="5">
        <v>21</v>
      </c>
      <c r="AQ33" s="5">
        <v>18</v>
      </c>
      <c r="AR33" s="5">
        <v>-29</v>
      </c>
    </row>
    <row r="34" spans="1:44">
      <c r="A34" s="53" t="s">
        <v>471</v>
      </c>
      <c r="B34" t="s">
        <v>484</v>
      </c>
      <c r="C34" t="s">
        <v>325</v>
      </c>
      <c r="D34" t="s">
        <v>83</v>
      </c>
      <c r="E34" s="57" t="s">
        <v>93</v>
      </c>
      <c r="F34" s="57">
        <v>4</v>
      </c>
      <c r="G34" s="57">
        <v>5</v>
      </c>
      <c r="H34">
        <v>3.0089999999999999</v>
      </c>
      <c r="I34">
        <v>258.7</v>
      </c>
      <c r="J34">
        <v>155.5</v>
      </c>
      <c r="K34">
        <v>54.8</v>
      </c>
      <c r="L34">
        <v>75.5</v>
      </c>
      <c r="M34">
        <v>58.8</v>
      </c>
      <c r="N34">
        <v>-19.05</v>
      </c>
      <c r="O34">
        <v>0</v>
      </c>
      <c r="P34" s="4">
        <f t="shared" si="19"/>
        <v>117.67777777777776</v>
      </c>
      <c r="Q34" s="4">
        <f t="shared" si="20"/>
        <v>109.88590243902438</v>
      </c>
      <c r="R34" s="7">
        <f t="shared" si="21"/>
        <v>113.78184010840107</v>
      </c>
      <c r="S34" s="4">
        <f t="shared" si="22"/>
        <v>91.6</v>
      </c>
      <c r="T34" s="4">
        <f t="shared" si="23"/>
        <v>45053.22</v>
      </c>
      <c r="U34" s="4">
        <f t="shared" si="24"/>
        <v>72.226666666666659</v>
      </c>
      <c r="V34" s="4">
        <f t="shared" ref="V34:V46" si="32">(5*T34*(K34*S34-N34*N34))/(6*P34*(K34*S34-N34*N34)+2*T34*(K34+S34))</f>
        <v>63.655397872107002</v>
      </c>
      <c r="W34" s="7">
        <f t="shared" si="26"/>
        <v>67.941032269386824</v>
      </c>
      <c r="X34" s="7">
        <f t="shared" si="27"/>
        <v>1.6747146210151034</v>
      </c>
      <c r="Y34" s="4">
        <f t="shared" si="28"/>
        <v>0.25100196241964851</v>
      </c>
      <c r="Z34" s="4">
        <f t="shared" si="13"/>
        <v>169.98872939563918</v>
      </c>
      <c r="AA34" s="4">
        <f t="shared" si="15"/>
        <v>8.2413309465626412</v>
      </c>
      <c r="AB34" s="4">
        <f t="shared" si="16"/>
        <v>6.149295774360831</v>
      </c>
      <c r="AC34" s="4">
        <f t="shared" si="17"/>
        <v>4.7517652443749077</v>
      </c>
      <c r="AD34" s="4">
        <f t="shared" si="18"/>
        <v>1.7343724958463902</v>
      </c>
      <c r="AE34" s="4">
        <f t="shared" ref="AE34:AE46" si="33">5*U34/V34 +P34/Q34 - 6</f>
        <v>0.74416423733406134</v>
      </c>
      <c r="AF34" s="18">
        <f t="shared" si="14"/>
        <v>0.29066057194430223</v>
      </c>
      <c r="AG34" s="18">
        <f t="shared" si="30"/>
        <v>6.307873539935703E-2</v>
      </c>
      <c r="AH34" s="18">
        <f t="shared" si="31"/>
        <v>3.4240417149740195E-2</v>
      </c>
      <c r="AK34" s="4">
        <v>3.7839999999999999E-2</v>
      </c>
      <c r="AL34" s="4">
        <v>0.4894</v>
      </c>
      <c r="AM34" s="4">
        <v>0</v>
      </c>
      <c r="AN34" s="4">
        <v>28</v>
      </c>
      <c r="AO34" s="4">
        <v>29</v>
      </c>
      <c r="AP34" s="4">
        <v>1</v>
      </c>
      <c r="AQ34" s="4">
        <v>0</v>
      </c>
      <c r="AR34" s="4">
        <v>0</v>
      </c>
    </row>
    <row r="35" spans="1:44">
      <c r="A35" s="53" t="s">
        <v>471</v>
      </c>
      <c r="B35" t="s">
        <v>484</v>
      </c>
      <c r="C35" t="s">
        <v>325</v>
      </c>
      <c r="D35" t="s">
        <v>83</v>
      </c>
      <c r="E35" s="57" t="s">
        <v>23</v>
      </c>
      <c r="F35" s="57">
        <v>4</v>
      </c>
      <c r="G35" s="57">
        <v>5</v>
      </c>
      <c r="I35">
        <v>260.3</v>
      </c>
      <c r="J35">
        <v>153.69999999999999</v>
      </c>
      <c r="K35">
        <v>59.7</v>
      </c>
      <c r="L35" s="10">
        <v>82.9</v>
      </c>
      <c r="M35">
        <v>59.6</v>
      </c>
      <c r="N35">
        <v>20.100000000000001</v>
      </c>
      <c r="O35">
        <v>0</v>
      </c>
      <c r="P35" s="4">
        <f t="shared" si="19"/>
        <v>119.83333333333333</v>
      </c>
      <c r="Q35" s="4">
        <f t="shared" si="20"/>
        <v>110.73634158175642</v>
      </c>
      <c r="R35" s="7">
        <f t="shared" si="21"/>
        <v>115.28483745754488</v>
      </c>
      <c r="S35" s="4">
        <f t="shared" si="22"/>
        <v>88.7</v>
      </c>
      <c r="T35" s="4">
        <f t="shared" si="23"/>
        <v>45645.520000000004</v>
      </c>
      <c r="U35" s="4">
        <f t="shared" si="24"/>
        <v>73.099999999999994</v>
      </c>
      <c r="V35" s="4">
        <f t="shared" si="32"/>
        <v>65.419344549772987</v>
      </c>
      <c r="W35" s="7">
        <f t="shared" si="26"/>
        <v>69.259672274886498</v>
      </c>
      <c r="X35" s="7">
        <f t="shared" si="27"/>
        <v>1.6645305077388746</v>
      </c>
      <c r="Y35" s="4">
        <f t="shared" si="28"/>
        <v>0.2497326946306504</v>
      </c>
      <c r="Z35" s="4">
        <f t="shared" si="13"/>
        <v>173.11215372265931</v>
      </c>
      <c r="AA35" s="4" t="e">
        <f t="shared" si="15"/>
        <v>#DIV/0!</v>
      </c>
      <c r="AB35" s="4" t="e">
        <f t="shared" si="16"/>
        <v>#DIV/0!</v>
      </c>
      <c r="AC35" s="4" t="e">
        <f t="shared" si="17"/>
        <v>#DIV/0!</v>
      </c>
      <c r="AD35" s="4" t="e">
        <f t="shared" si="18"/>
        <v>#DIV/0!</v>
      </c>
      <c r="AE35" s="4">
        <f t="shared" si="33"/>
        <v>0.66918244855015718</v>
      </c>
      <c r="AF35" s="18">
        <f t="shared" si="14"/>
        <v>0.26047951445970624</v>
      </c>
      <c r="AG35" s="18">
        <f t="shared" si="30"/>
        <v>5.5448251471238962E-2</v>
      </c>
      <c r="AH35" s="18">
        <f t="shared" si="31"/>
        <v>3.9454415481684622E-2</v>
      </c>
      <c r="AK35" s="4"/>
      <c r="AL35" s="4"/>
      <c r="AM35" s="4"/>
      <c r="AN35" s="4"/>
      <c r="AO35" s="4"/>
      <c r="AP35" s="4"/>
      <c r="AQ35" s="4"/>
      <c r="AR35" s="4"/>
    </row>
    <row r="36" spans="1:44">
      <c r="A36" s="53" t="s">
        <v>471</v>
      </c>
      <c r="B36" t="s">
        <v>484</v>
      </c>
      <c r="C36" t="s">
        <v>325</v>
      </c>
      <c r="D36" t="s">
        <v>83</v>
      </c>
      <c r="E36" s="57" t="s">
        <v>25</v>
      </c>
      <c r="F36" s="57">
        <v>4</v>
      </c>
      <c r="G36" s="57">
        <v>5</v>
      </c>
      <c r="I36">
        <v>262</v>
      </c>
      <c r="J36">
        <v>157</v>
      </c>
      <c r="K36">
        <v>58.4</v>
      </c>
      <c r="L36">
        <v>75.5</v>
      </c>
      <c r="M36">
        <v>61</v>
      </c>
      <c r="N36">
        <v>19.8</v>
      </c>
      <c r="O36">
        <v>0</v>
      </c>
      <c r="P36" s="4">
        <f t="shared" si="19"/>
        <v>119.55555555555556</v>
      </c>
      <c r="Q36" s="4">
        <f t="shared" si="20"/>
        <v>111.76809815950921</v>
      </c>
      <c r="R36" s="7">
        <f t="shared" si="21"/>
        <v>115.66182685753239</v>
      </c>
      <c r="S36" s="4">
        <f t="shared" si="22"/>
        <v>93.25</v>
      </c>
      <c r="T36" s="4">
        <f t="shared" si="23"/>
        <v>45545.5</v>
      </c>
      <c r="U36" s="4">
        <f t="shared" si="24"/>
        <v>74.243333333333339</v>
      </c>
      <c r="V36" s="4">
        <f t="shared" si="32"/>
        <v>65.993933606051641</v>
      </c>
      <c r="W36" s="7">
        <f t="shared" si="26"/>
        <v>70.118633469692497</v>
      </c>
      <c r="X36" s="7">
        <f t="shared" si="27"/>
        <v>1.6495162716986649</v>
      </c>
      <c r="Y36" s="4">
        <f t="shared" si="28"/>
        <v>0.24783765812035388</v>
      </c>
      <c r="Z36" s="4">
        <f t="shared" si="13"/>
        <v>174.9933427588411</v>
      </c>
      <c r="AA36" s="4" t="e">
        <f t="shared" si="15"/>
        <v>#DIV/0!</v>
      </c>
      <c r="AB36" s="4" t="e">
        <f t="shared" si="16"/>
        <v>#DIV/0!</v>
      </c>
      <c r="AC36" s="4" t="e">
        <f t="shared" si="17"/>
        <v>#DIV/0!</v>
      </c>
      <c r="AD36" s="4" t="e">
        <f t="shared" si="18"/>
        <v>#DIV/0!</v>
      </c>
      <c r="AE36" s="4">
        <f t="shared" si="33"/>
        <v>0.69468710841614012</v>
      </c>
      <c r="AF36" s="18">
        <f t="shared" si="14"/>
        <v>0.2718518332801878</v>
      </c>
      <c r="AG36" s="18">
        <f t="shared" si="30"/>
        <v>5.8824589977551058E-2</v>
      </c>
      <c r="AH36" s="18">
        <f t="shared" si="31"/>
        <v>3.36647691274954E-2</v>
      </c>
      <c r="AK36" s="4">
        <v>4.5679999999999998E-2</v>
      </c>
      <c r="AL36" s="4">
        <v>0.48470000000000002</v>
      </c>
      <c r="AM36" s="4">
        <v>0</v>
      </c>
      <c r="AN36" s="4">
        <v>-28</v>
      </c>
      <c r="AO36" s="4">
        <v>29</v>
      </c>
      <c r="AP36" s="4">
        <v>1</v>
      </c>
      <c r="AQ36" s="4">
        <v>0</v>
      </c>
      <c r="AR36" s="4">
        <v>0</v>
      </c>
    </row>
    <row r="37" spans="1:44">
      <c r="A37" s="54" t="s">
        <v>471</v>
      </c>
      <c r="B37" t="s">
        <v>484</v>
      </c>
      <c r="C37" t="s">
        <v>325</v>
      </c>
      <c r="D37" t="s">
        <v>83</v>
      </c>
      <c r="E37" s="57" t="s">
        <v>23</v>
      </c>
      <c r="F37" s="57">
        <v>4</v>
      </c>
      <c r="G37" s="57">
        <v>5</v>
      </c>
      <c r="H37">
        <v>3.0306999999999999</v>
      </c>
      <c r="I37" s="7">
        <v>260.7</v>
      </c>
      <c r="J37" s="7">
        <v>157.6</v>
      </c>
      <c r="K37" s="7">
        <v>57.8</v>
      </c>
      <c r="L37" s="19">
        <v>74.3</v>
      </c>
      <c r="M37" s="19">
        <v>59.7</v>
      </c>
      <c r="N37" s="7">
        <v>19.7</v>
      </c>
      <c r="O37" s="7">
        <v>0</v>
      </c>
      <c r="P37" s="4">
        <f t="shared" si="19"/>
        <v>118.48888888888888</v>
      </c>
      <c r="Q37" s="4">
        <f t="shared" si="20"/>
        <v>111.00588235294117</v>
      </c>
      <c r="R37" s="4">
        <f t="shared" si="21"/>
        <v>114.74738562091503</v>
      </c>
      <c r="S37" s="4">
        <f t="shared" si="22"/>
        <v>93.199999999999989</v>
      </c>
      <c r="T37" s="4">
        <f t="shared" si="23"/>
        <v>45667.82</v>
      </c>
      <c r="U37" s="4">
        <f t="shared" si="24"/>
        <v>74.113333333333316</v>
      </c>
      <c r="V37" s="4">
        <f t="shared" si="32"/>
        <v>65.80580085409126</v>
      </c>
      <c r="W37" s="4">
        <f t="shared" si="26"/>
        <v>69.95956709371228</v>
      </c>
      <c r="X37" s="7">
        <f t="shared" si="27"/>
        <v>1.6401957643221055</v>
      </c>
      <c r="Y37" s="4">
        <f t="shared" si="28"/>
        <v>0.24664675550312271</v>
      </c>
      <c r="Z37" s="4">
        <f t="shared" si="13"/>
        <v>174.42973466755888</v>
      </c>
      <c r="AA37" s="4">
        <f t="shared" si="15"/>
        <v>8.2849173173385537</v>
      </c>
      <c r="AB37" s="4">
        <f t="shared" si="16"/>
        <v>6.1531843280667138</v>
      </c>
      <c r="AC37" s="4">
        <f t="shared" si="17"/>
        <v>4.8045429735800909</v>
      </c>
      <c r="AD37" s="4">
        <f t="shared" si="18"/>
        <v>1.7243923850607319</v>
      </c>
      <c r="AE37" s="4">
        <f t="shared" si="33"/>
        <v>0.69862671862255254</v>
      </c>
      <c r="AF37" s="18">
        <f t="shared" si="14"/>
        <v>0.27372774040941206</v>
      </c>
      <c r="AG37" s="18">
        <f t="shared" si="30"/>
        <v>5.9373812791851222E-2</v>
      </c>
      <c r="AH37" s="18">
        <f t="shared" si="31"/>
        <v>3.2606435847998001E-2</v>
      </c>
      <c r="AI37" s="43">
        <v>26.2</v>
      </c>
      <c r="AJ37" s="7">
        <v>36.200000000000003</v>
      </c>
    </row>
    <row r="38" spans="1:44">
      <c r="A38" s="53" t="s">
        <v>508</v>
      </c>
      <c r="B38" t="s">
        <v>485</v>
      </c>
      <c r="C38" t="s">
        <v>325</v>
      </c>
      <c r="D38" t="s">
        <v>83</v>
      </c>
      <c r="E38" s="57" t="s">
        <v>25</v>
      </c>
      <c r="F38" s="57">
        <v>4</v>
      </c>
      <c r="G38" s="57">
        <v>5</v>
      </c>
      <c r="I38">
        <v>236.5</v>
      </c>
      <c r="J38">
        <v>132</v>
      </c>
      <c r="K38">
        <v>46</v>
      </c>
      <c r="L38">
        <v>102</v>
      </c>
      <c r="M38">
        <v>67.5</v>
      </c>
      <c r="N38">
        <v>15.4</v>
      </c>
      <c r="O38">
        <v>0</v>
      </c>
      <c r="P38" s="4">
        <f t="shared" si="19"/>
        <v>119.88888888888889</v>
      </c>
      <c r="Q38" s="4">
        <f t="shared" si="20"/>
        <v>106.97593984962406</v>
      </c>
      <c r="R38" s="7">
        <f t="shared" si="21"/>
        <v>113.43241436925646</v>
      </c>
      <c r="S38" s="4">
        <f t="shared" si="22"/>
        <v>67.25</v>
      </c>
      <c r="T38" s="4">
        <f t="shared" si="23"/>
        <v>35569.5</v>
      </c>
      <c r="U38" s="4">
        <f t="shared" si="24"/>
        <v>56.383333333333333</v>
      </c>
      <c r="V38" s="4">
        <f t="shared" si="32"/>
        <v>50.240854049613453</v>
      </c>
      <c r="W38" s="7">
        <f t="shared" si="26"/>
        <v>53.312093691473393</v>
      </c>
      <c r="X38" s="7">
        <f t="shared" si="27"/>
        <v>2.1277051136972807</v>
      </c>
      <c r="Y38" s="4">
        <f t="shared" si="28"/>
        <v>0.29683373065411511</v>
      </c>
      <c r="Z38" s="4">
        <f t="shared" si="13"/>
        <v>138.2738427017903</v>
      </c>
      <c r="AA38" s="4" t="e">
        <f t="shared" si="15"/>
        <v>#DIV/0!</v>
      </c>
      <c r="AB38" s="4" t="e">
        <f t="shared" si="16"/>
        <v>#DIV/0!</v>
      </c>
      <c r="AC38" s="4" t="e">
        <f t="shared" si="17"/>
        <v>#DIV/0!</v>
      </c>
      <c r="AD38" s="4" t="e">
        <f t="shared" si="18"/>
        <v>#DIV/0!</v>
      </c>
      <c r="AE38" s="4">
        <f t="shared" si="33"/>
        <v>0.7320121406710447</v>
      </c>
      <c r="AF38" s="18">
        <f t="shared" si="14"/>
        <v>0.28197456115320046</v>
      </c>
      <c r="AG38" s="18">
        <f t="shared" si="30"/>
        <v>5.7608685557047373E-2</v>
      </c>
      <c r="AH38" s="18">
        <f t="shared" si="31"/>
        <v>5.6919131586273548E-2</v>
      </c>
      <c r="AK38" s="4">
        <v>8.4790000000000004E-2</v>
      </c>
      <c r="AL38" s="4">
        <v>0.57620000000000005</v>
      </c>
      <c r="AM38" s="4">
        <v>0</v>
      </c>
      <c r="AN38" s="4">
        <v>-3</v>
      </c>
      <c r="AO38" s="4">
        <v>4</v>
      </c>
      <c r="AP38" s="4">
        <v>1</v>
      </c>
      <c r="AQ38" s="4">
        <v>0</v>
      </c>
      <c r="AR38" s="4">
        <v>0</v>
      </c>
    </row>
    <row r="39" spans="1:44">
      <c r="A39" s="53" t="s">
        <v>508</v>
      </c>
      <c r="B39" t="s">
        <v>486</v>
      </c>
      <c r="C39" t="s">
        <v>325</v>
      </c>
      <c r="D39" t="s">
        <v>83</v>
      </c>
      <c r="E39" s="57" t="s">
        <v>25</v>
      </c>
      <c r="F39" s="57">
        <v>4</v>
      </c>
      <c r="G39" s="57">
        <v>5</v>
      </c>
      <c r="I39">
        <v>230.5</v>
      </c>
      <c r="J39">
        <v>127</v>
      </c>
      <c r="K39">
        <v>41.3</v>
      </c>
      <c r="L39">
        <v>112.4</v>
      </c>
      <c r="M39">
        <v>73</v>
      </c>
      <c r="N39">
        <v>14.2</v>
      </c>
      <c r="O39">
        <v>0</v>
      </c>
      <c r="P39" s="4">
        <f t="shared" si="19"/>
        <v>122.75555555555555</v>
      </c>
      <c r="Q39" s="4">
        <f t="shared" si="20"/>
        <v>107.8724171859626</v>
      </c>
      <c r="R39" s="7">
        <f t="shared" si="21"/>
        <v>115.31398637075907</v>
      </c>
      <c r="S39" s="4">
        <f t="shared" si="22"/>
        <v>59.05</v>
      </c>
      <c r="T39" s="4">
        <f t="shared" si="23"/>
        <v>32890.299999999996</v>
      </c>
      <c r="U39" s="4">
        <f t="shared" si="24"/>
        <v>50.303333333333327</v>
      </c>
      <c r="V39" s="4">
        <f t="shared" si="32"/>
        <v>44.600250536411032</v>
      </c>
      <c r="W39" s="7">
        <f t="shared" si="26"/>
        <v>47.451791934872176</v>
      </c>
      <c r="X39" s="7">
        <f t="shared" si="27"/>
        <v>2.4301292252361741</v>
      </c>
      <c r="Y39" s="4">
        <f t="shared" si="28"/>
        <v>0.31906756852938062</v>
      </c>
      <c r="Z39" s="4">
        <f t="shared" si="13"/>
        <v>125.18423961978783</v>
      </c>
      <c r="AA39" s="4" t="e">
        <f t="shared" si="15"/>
        <v>#DIV/0!</v>
      </c>
      <c r="AB39" s="4" t="e">
        <f t="shared" si="16"/>
        <v>#DIV/0!</v>
      </c>
      <c r="AC39" s="4" t="e">
        <f t="shared" si="17"/>
        <v>#DIV/0!</v>
      </c>
      <c r="AD39" s="4" t="e">
        <f t="shared" si="18"/>
        <v>#DIV/0!</v>
      </c>
      <c r="AE39" s="4">
        <f t="shared" si="33"/>
        <v>0.77732529002224293</v>
      </c>
      <c r="AF39" s="18">
        <f t="shared" si="14"/>
        <v>0.2985017140326427</v>
      </c>
      <c r="AG39" s="18">
        <f t="shared" si="30"/>
        <v>6.0093439724571471E-2</v>
      </c>
      <c r="AH39" s="18">
        <f t="shared" si="31"/>
        <v>6.4533101482332239E-2</v>
      </c>
      <c r="AK39" s="4">
        <v>9.4990000000000005E-2</v>
      </c>
      <c r="AL39" s="4">
        <v>0.61960000000000004</v>
      </c>
      <c r="AM39" s="4">
        <v>0</v>
      </c>
      <c r="AN39" s="4">
        <v>-3</v>
      </c>
      <c r="AO39" s="4">
        <v>4</v>
      </c>
      <c r="AP39" s="4">
        <v>1</v>
      </c>
      <c r="AQ39" s="4">
        <v>0</v>
      </c>
      <c r="AR39" s="4">
        <v>0</v>
      </c>
    </row>
    <row r="40" spans="1:44">
      <c r="A40" s="53" t="s">
        <v>507</v>
      </c>
      <c r="B40" t="s">
        <v>487</v>
      </c>
      <c r="C40" t="s">
        <v>325</v>
      </c>
      <c r="D40" t="s">
        <v>83</v>
      </c>
      <c r="E40" s="57" t="s">
        <v>15</v>
      </c>
      <c r="F40" s="57">
        <v>4</v>
      </c>
      <c r="G40" s="57">
        <v>5</v>
      </c>
      <c r="I40">
        <v>229</v>
      </c>
      <c r="J40">
        <v>125</v>
      </c>
      <c r="K40">
        <v>41</v>
      </c>
      <c r="L40">
        <v>112</v>
      </c>
      <c r="M40">
        <v>75</v>
      </c>
      <c r="N40">
        <v>14</v>
      </c>
      <c r="O40">
        <v>0</v>
      </c>
      <c r="P40" s="4">
        <f t="shared" si="19"/>
        <v>123</v>
      </c>
      <c r="Q40" s="4">
        <f t="shared" si="20"/>
        <v>107.81786941580756</v>
      </c>
      <c r="R40" s="7">
        <f t="shared" si="21"/>
        <v>115.40893470790378</v>
      </c>
      <c r="S40" s="4">
        <f t="shared" si="22"/>
        <v>58.5</v>
      </c>
      <c r="T40" s="4">
        <f t="shared" si="23"/>
        <v>31375</v>
      </c>
      <c r="U40" s="4">
        <f t="shared" si="24"/>
        <v>49.5</v>
      </c>
      <c r="V40" s="4">
        <f t="shared" si="32"/>
        <v>43.908262030964266</v>
      </c>
      <c r="W40" s="7">
        <f t="shared" si="26"/>
        <v>46.704131015482133</v>
      </c>
      <c r="X40" s="7">
        <f t="shared" si="27"/>
        <v>2.4710648115826506</v>
      </c>
      <c r="Y40" s="4">
        <f t="shared" si="28"/>
        <v>0.32170862546516937</v>
      </c>
      <c r="Z40" s="4">
        <f t="shared" si="13"/>
        <v>123.45850561603613</v>
      </c>
      <c r="AA40" s="4" t="e">
        <f t="shared" si="15"/>
        <v>#DIV/0!</v>
      </c>
      <c r="AB40" s="4" t="e">
        <f t="shared" si="16"/>
        <v>#DIV/0!</v>
      </c>
      <c r="AC40" s="4" t="e">
        <f t="shared" si="17"/>
        <v>#DIV/0!</v>
      </c>
      <c r="AD40" s="4" t="e">
        <f t="shared" si="18"/>
        <v>#DIV/0!</v>
      </c>
      <c r="AE40" s="4">
        <f t="shared" si="33"/>
        <v>0.77756511750953017</v>
      </c>
      <c r="AF40" s="18">
        <f t="shared" si="14"/>
        <v>0.29866362419025777</v>
      </c>
      <c r="AG40" s="18">
        <f t="shared" si="30"/>
        <v>5.9863419439086733E-2</v>
      </c>
      <c r="AH40" s="18">
        <f t="shared" si="31"/>
        <v>6.5775369223439711E-2</v>
      </c>
      <c r="AK40" s="4">
        <v>0.1043</v>
      </c>
      <c r="AL40" s="4">
        <v>0.62009999999999998</v>
      </c>
      <c r="AM40" s="4">
        <v>0</v>
      </c>
      <c r="AN40" s="4">
        <v>-3</v>
      </c>
      <c r="AO40" s="4">
        <v>4</v>
      </c>
      <c r="AP40" s="4">
        <v>1</v>
      </c>
      <c r="AQ40" s="4">
        <v>0</v>
      </c>
      <c r="AR40" s="4">
        <v>0</v>
      </c>
    </row>
    <row r="41" spans="1:44">
      <c r="A41" s="53" t="s">
        <v>670</v>
      </c>
      <c r="B41" t="s">
        <v>488</v>
      </c>
      <c r="C41" t="s">
        <v>325</v>
      </c>
      <c r="D41" t="s">
        <v>83</v>
      </c>
      <c r="E41" s="57" t="s">
        <v>93</v>
      </c>
      <c r="F41" s="57">
        <v>4</v>
      </c>
      <c r="G41" s="57">
        <v>5</v>
      </c>
      <c r="H41">
        <v>0</v>
      </c>
      <c r="I41">
        <v>271</v>
      </c>
      <c r="J41" s="11">
        <v>163</v>
      </c>
      <c r="K41" s="11">
        <v>52</v>
      </c>
      <c r="L41" s="11">
        <v>119</v>
      </c>
      <c r="M41" s="11">
        <v>87</v>
      </c>
      <c r="N41">
        <v>5</v>
      </c>
      <c r="O41">
        <v>0</v>
      </c>
      <c r="P41" s="4">
        <f t="shared" si="19"/>
        <v>143.44444444444446</v>
      </c>
      <c r="Q41" s="4">
        <f t="shared" si="20"/>
        <v>131.60869565217391</v>
      </c>
      <c r="R41" s="7">
        <f t="shared" si="21"/>
        <v>137.52657004830917</v>
      </c>
      <c r="S41" s="4">
        <f t="shared" si="22"/>
        <v>76</v>
      </c>
      <c r="T41" s="4">
        <f t="shared" si="23"/>
        <v>48432</v>
      </c>
      <c r="U41" s="4">
        <f t="shared" si="24"/>
        <v>63.466666666666669</v>
      </c>
      <c r="V41" s="4">
        <f t="shared" si="32"/>
        <v>60.269768284930755</v>
      </c>
      <c r="W41" s="7">
        <f t="shared" si="26"/>
        <v>61.868217475798716</v>
      </c>
      <c r="X41" s="7">
        <f t="shared" si="27"/>
        <v>2.2228953032646541</v>
      </c>
      <c r="Y41" s="4">
        <f t="shared" si="28"/>
        <v>0.30439934329761842</v>
      </c>
      <c r="Z41" s="4">
        <f t="shared" si="13"/>
        <v>161.40172449285217</v>
      </c>
      <c r="AA41" s="4" t="e">
        <f t="shared" si="15"/>
        <v>#DIV/0!</v>
      </c>
      <c r="AB41" s="4" t="e">
        <f t="shared" si="16"/>
        <v>#DIV/0!</v>
      </c>
      <c r="AC41" s="4" t="e">
        <f t="shared" si="17"/>
        <v>#DIV/0!</v>
      </c>
      <c r="AD41" s="4" t="e">
        <f t="shared" si="18"/>
        <v>#DIV/0!</v>
      </c>
      <c r="AE41" s="4">
        <f t="shared" si="33"/>
        <v>0.35514711035028235</v>
      </c>
      <c r="AF41" s="18">
        <f t="shared" si="14"/>
        <v>0.14412506136120773</v>
      </c>
      <c r="AG41" s="18">
        <f t="shared" si="30"/>
        <v>2.5836354368755324E-2</v>
      </c>
      <c r="AH41" s="18">
        <f t="shared" si="31"/>
        <v>4.3030771392440707E-2</v>
      </c>
      <c r="AK41" s="4">
        <v>0.19289999999999999</v>
      </c>
      <c r="AL41" s="4">
        <v>0.4088</v>
      </c>
      <c r="AM41" s="4">
        <v>0</v>
      </c>
      <c r="AN41" s="4">
        <v>21</v>
      </c>
      <c r="AO41" s="4">
        <v>-34</v>
      </c>
      <c r="AP41" s="4">
        <v>1</v>
      </c>
      <c r="AQ41" s="4">
        <v>0</v>
      </c>
      <c r="AR41" s="4">
        <v>0</v>
      </c>
    </row>
    <row r="42" spans="1:44">
      <c r="A42" s="53" t="s">
        <v>84</v>
      </c>
      <c r="B42" t="s">
        <v>489</v>
      </c>
      <c r="C42" t="s">
        <v>325</v>
      </c>
      <c r="D42" t="s">
        <v>83</v>
      </c>
      <c r="E42" s="57" t="s">
        <v>93</v>
      </c>
      <c r="F42" s="57">
        <v>4</v>
      </c>
      <c r="G42" s="57">
        <v>5</v>
      </c>
      <c r="H42">
        <v>0</v>
      </c>
      <c r="I42">
        <v>216</v>
      </c>
      <c r="J42">
        <v>126</v>
      </c>
      <c r="K42">
        <v>44</v>
      </c>
      <c r="L42" s="10">
        <v>141</v>
      </c>
      <c r="M42">
        <v>74</v>
      </c>
      <c r="N42">
        <v>22</v>
      </c>
      <c r="O42">
        <v>0</v>
      </c>
      <c r="P42" s="4">
        <f t="shared" si="19"/>
        <v>126.22222222222223</v>
      </c>
      <c r="Q42" s="4">
        <f t="shared" si="20"/>
        <v>108.72204472843451</v>
      </c>
      <c r="R42" s="7">
        <f t="shared" si="21"/>
        <v>117.47213347532838</v>
      </c>
      <c r="S42" s="4">
        <f t="shared" si="22"/>
        <v>37.5</v>
      </c>
      <c r="T42" s="4">
        <f t="shared" si="23"/>
        <v>34030</v>
      </c>
      <c r="U42" s="4">
        <f t="shared" si="24"/>
        <v>43.033333333333331</v>
      </c>
      <c r="V42" s="4">
        <f t="shared" si="32"/>
        <v>30.854857032895378</v>
      </c>
      <c r="W42" s="7">
        <f t="shared" si="26"/>
        <v>36.944095183114356</v>
      </c>
      <c r="X42" s="7">
        <f t="shared" si="27"/>
        <v>3.1797269061016307</v>
      </c>
      <c r="Y42" s="4">
        <f t="shared" si="28"/>
        <v>0.35767394638230871</v>
      </c>
      <c r="Z42" s="4">
        <f t="shared" si="13"/>
        <v>100.31607100556504</v>
      </c>
      <c r="AA42" s="4" t="e">
        <f t="shared" si="15"/>
        <v>#DIV/0!</v>
      </c>
      <c r="AB42" s="4" t="e">
        <f t="shared" si="16"/>
        <v>#DIV/0!</v>
      </c>
      <c r="AC42" s="4" t="e">
        <f t="shared" si="17"/>
        <v>#DIV/0!</v>
      </c>
      <c r="AD42" s="4" t="e">
        <f t="shared" si="18"/>
        <v>#DIV/0!</v>
      </c>
      <c r="AE42" s="4">
        <f t="shared" si="33"/>
        <v>2.134472957722199</v>
      </c>
      <c r="AF42" s="18">
        <f t="shared" si="14"/>
        <v>0.75872134093820798</v>
      </c>
      <c r="AG42" s="18">
        <f t="shared" si="30"/>
        <v>0.16482304195129185</v>
      </c>
      <c r="AH42" s="18">
        <f t="shared" si="31"/>
        <v>7.4486505761228575E-2</v>
      </c>
      <c r="AI42" s="44"/>
      <c r="AJ42" s="12"/>
      <c r="AK42" s="5">
        <v>-5.7419999999999999E-2</v>
      </c>
      <c r="AL42" s="4">
        <v>0.91410000000000002</v>
      </c>
      <c r="AM42" s="5">
        <v>0</v>
      </c>
      <c r="AN42" s="5">
        <v>21</v>
      </c>
      <c r="AO42" s="5">
        <v>-34</v>
      </c>
      <c r="AP42" s="5">
        <v>1</v>
      </c>
      <c r="AQ42" s="5">
        <v>0</v>
      </c>
      <c r="AR42" s="5">
        <v>0</v>
      </c>
    </row>
    <row r="43" spans="1:44">
      <c r="A43" s="53" t="s">
        <v>84</v>
      </c>
      <c r="B43" t="s">
        <v>489</v>
      </c>
      <c r="C43" t="s">
        <v>325</v>
      </c>
      <c r="D43" t="s">
        <v>83</v>
      </c>
      <c r="E43" s="57" t="s">
        <v>23</v>
      </c>
      <c r="F43" s="57">
        <v>4</v>
      </c>
      <c r="G43" s="57">
        <v>5</v>
      </c>
      <c r="I43">
        <v>223.9</v>
      </c>
      <c r="J43">
        <v>132.6</v>
      </c>
      <c r="K43">
        <v>44.5</v>
      </c>
      <c r="L43" s="10">
        <v>93.4</v>
      </c>
      <c r="M43">
        <v>76</v>
      </c>
      <c r="N43">
        <v>-17.3</v>
      </c>
      <c r="O43">
        <v>0</v>
      </c>
      <c r="P43" s="4">
        <f t="shared" si="19"/>
        <v>119.02222222222223</v>
      </c>
      <c r="Q43" s="4">
        <f t="shared" si="20"/>
        <v>109.59418312387793</v>
      </c>
      <c r="R43" s="4">
        <f t="shared" si="21"/>
        <v>114.30820267305008</v>
      </c>
      <c r="S43" s="4">
        <f t="shared" si="22"/>
        <v>65.25</v>
      </c>
      <c r="T43" s="4">
        <f t="shared" si="23"/>
        <v>30521.980000000003</v>
      </c>
      <c r="U43" s="4">
        <f t="shared" si="24"/>
        <v>53.18333333333333</v>
      </c>
      <c r="V43" s="4">
        <f t="shared" si="32"/>
        <v>46.433922058295742</v>
      </c>
      <c r="W43" s="4">
        <f t="shared" si="26"/>
        <v>49.808627695814536</v>
      </c>
      <c r="X43" s="7">
        <f t="shared" si="27"/>
        <v>2.2949478425934529</v>
      </c>
      <c r="Y43" s="4">
        <f t="shared" si="28"/>
        <v>0.30976160215290144</v>
      </c>
      <c r="Z43" s="4">
        <f t="shared" si="13"/>
        <v>130.47485602381485</v>
      </c>
      <c r="AA43" s="4" t="e">
        <f t="shared" si="15"/>
        <v>#DIV/0!</v>
      </c>
      <c r="AB43" s="4" t="e">
        <f t="shared" si="16"/>
        <v>#DIV/0!</v>
      </c>
      <c r="AC43" s="4" t="e">
        <f t="shared" si="17"/>
        <v>#DIV/0!</v>
      </c>
      <c r="AD43" s="4" t="e">
        <f t="shared" si="18"/>
        <v>#DIV/0!</v>
      </c>
      <c r="AE43" s="4">
        <f t="shared" si="33"/>
        <v>0.81280273927509494</v>
      </c>
      <c r="AF43" s="18">
        <f t="shared" si="14"/>
        <v>0.31448855685988919</v>
      </c>
      <c r="AG43" s="18">
        <f t="shared" si="30"/>
        <v>6.7753435371245396E-2</v>
      </c>
      <c r="AH43" s="18">
        <f t="shared" si="31"/>
        <v>4.1239556208012645E-2</v>
      </c>
      <c r="AK43" s="4"/>
      <c r="AL43" s="4"/>
    </row>
    <row r="44" spans="1:44">
      <c r="A44" s="53" t="s">
        <v>510</v>
      </c>
      <c r="B44" t="s">
        <v>491</v>
      </c>
      <c r="C44" t="s">
        <v>524</v>
      </c>
      <c r="E44" s="57" t="s">
        <v>93</v>
      </c>
      <c r="F44" s="57">
        <v>4</v>
      </c>
      <c r="G44" s="57">
        <v>5</v>
      </c>
      <c r="H44" s="8">
        <v>2.2599999999999998</v>
      </c>
      <c r="I44">
        <v>54.6</v>
      </c>
      <c r="J44">
        <v>34.9</v>
      </c>
      <c r="K44">
        <v>11.3</v>
      </c>
      <c r="L44">
        <v>18.899999999999999</v>
      </c>
      <c r="M44">
        <v>19.3</v>
      </c>
      <c r="N44">
        <v>7.5</v>
      </c>
      <c r="O44">
        <v>0</v>
      </c>
      <c r="P44" s="4">
        <f t="shared" si="19"/>
        <v>28.788888888888884</v>
      </c>
      <c r="Q44" s="4">
        <f t="shared" si="20"/>
        <v>27.536611195158848</v>
      </c>
      <c r="R44" s="7">
        <f t="shared" si="21"/>
        <v>28.162750042023866</v>
      </c>
      <c r="S44" s="4">
        <f t="shared" si="22"/>
        <v>17.850000000000001</v>
      </c>
      <c r="T44" s="4">
        <f t="shared" si="23"/>
        <v>1820.17</v>
      </c>
      <c r="U44" s="4">
        <f t="shared" si="24"/>
        <v>13.863333333333337</v>
      </c>
      <c r="V44" s="4">
        <f t="shared" si="32"/>
        <v>10.086526091444192</v>
      </c>
      <c r="W44" s="7">
        <f t="shared" si="26"/>
        <v>11.974929712388764</v>
      </c>
      <c r="X44" s="7">
        <f t="shared" si="27"/>
        <v>2.3518092146200953</v>
      </c>
      <c r="Y44" s="4">
        <f t="shared" si="28"/>
        <v>0.31379014667914307</v>
      </c>
      <c r="Z44" s="4">
        <f t="shared" si="13"/>
        <v>31.465089326623328</v>
      </c>
      <c r="AA44" s="4">
        <f t="shared" si="15"/>
        <v>4.4188515602415706</v>
      </c>
      <c r="AB44" s="4">
        <f t="shared" si="16"/>
        <v>3.5300699460356824</v>
      </c>
      <c r="AC44" s="4">
        <f t="shared" si="17"/>
        <v>2.3018778129298578</v>
      </c>
      <c r="AD44" s="4">
        <f t="shared" si="18"/>
        <v>1.9196725106000319</v>
      </c>
      <c r="AE44" s="4">
        <f t="shared" si="33"/>
        <v>1.9176809966684329</v>
      </c>
      <c r="AF44" s="18">
        <f t="shared" si="14"/>
        <v>0.7125638700535244</v>
      </c>
      <c r="AG44" s="18">
        <f t="shared" si="30"/>
        <v>0.15769642630895014</v>
      </c>
      <c r="AH44" s="18">
        <f t="shared" si="31"/>
        <v>2.2232873065688077E-2</v>
      </c>
      <c r="AI44" s="44"/>
      <c r="AJ44" s="12"/>
      <c r="AK44" s="5">
        <v>-9.5589999999999994E-2</v>
      </c>
      <c r="AL44" s="4">
        <v>0.79679999999999995</v>
      </c>
      <c r="AM44" s="5">
        <v>0</v>
      </c>
      <c r="AN44" s="5">
        <v>-15</v>
      </c>
      <c r="AO44" s="5">
        <v>13</v>
      </c>
      <c r="AP44" s="5">
        <v>1</v>
      </c>
      <c r="AQ44" s="5">
        <v>0</v>
      </c>
      <c r="AR44" s="5">
        <v>0</v>
      </c>
    </row>
    <row r="45" spans="1:44">
      <c r="A45" s="63" t="s">
        <v>509</v>
      </c>
      <c r="B45" t="s">
        <v>490</v>
      </c>
      <c r="C45" t="s">
        <v>517</v>
      </c>
      <c r="E45" s="57" t="s">
        <v>93</v>
      </c>
      <c r="F45" s="57">
        <v>4</v>
      </c>
      <c r="G45" s="57">
        <v>11</v>
      </c>
      <c r="H45">
        <v>4.28</v>
      </c>
      <c r="I45">
        <v>445</v>
      </c>
      <c r="J45">
        <v>305</v>
      </c>
      <c r="K45">
        <v>95</v>
      </c>
      <c r="L45">
        <v>145</v>
      </c>
      <c r="M45">
        <v>140</v>
      </c>
      <c r="N45">
        <v>20</v>
      </c>
      <c r="O45">
        <v>0</v>
      </c>
      <c r="P45" s="4">
        <f t="shared" si="19"/>
        <v>227.22222222222223</v>
      </c>
      <c r="Q45" s="4">
        <f t="shared" si="20"/>
        <v>219.921875</v>
      </c>
      <c r="R45" s="7">
        <f t="shared" si="21"/>
        <v>223.57204861111111</v>
      </c>
      <c r="S45" s="4">
        <f t="shared" si="22"/>
        <v>150</v>
      </c>
      <c r="T45" s="4">
        <f t="shared" si="23"/>
        <v>140750</v>
      </c>
      <c r="U45" s="4">
        <f t="shared" si="24"/>
        <v>119.33333333333333</v>
      </c>
      <c r="V45" s="4">
        <f t="shared" si="32"/>
        <v>110.95019332268382</v>
      </c>
      <c r="W45" s="7">
        <f t="shared" si="26"/>
        <v>115.14176332800858</v>
      </c>
      <c r="X45" s="7">
        <f t="shared" si="27"/>
        <v>1.9417111754161103</v>
      </c>
      <c r="Y45" s="4">
        <f t="shared" si="28"/>
        <v>0.28022407997861892</v>
      </c>
      <c r="Z45" s="4">
        <f t="shared" si="13"/>
        <v>294.81451604743131</v>
      </c>
      <c r="AA45" s="4">
        <f t="shared" si="15"/>
        <v>9.3864885957283786</v>
      </c>
      <c r="AB45" s="4">
        <f t="shared" si="16"/>
        <v>7.2274795022792757</v>
      </c>
      <c r="AC45" s="4">
        <f t="shared" si="17"/>
        <v>5.1867408988114949</v>
      </c>
      <c r="AD45" s="4">
        <f t="shared" si="18"/>
        <v>1.8097084043429326</v>
      </c>
      <c r="AE45" s="4">
        <f t="shared" si="33"/>
        <v>0.41098362092366703</v>
      </c>
      <c r="AF45" s="18">
        <f t="shared" si="14"/>
        <v>0.16611515496481066</v>
      </c>
      <c r="AG45" s="18">
        <f t="shared" si="30"/>
        <v>3.6403559266189774E-2</v>
      </c>
      <c r="AH45" s="18">
        <f t="shared" si="31"/>
        <v>1.6326609850323245E-2</v>
      </c>
      <c r="AK45" s="4">
        <v>0.1249</v>
      </c>
      <c r="AL45" s="4">
        <v>0.43490000000000001</v>
      </c>
      <c r="AM45" s="4">
        <v>0</v>
      </c>
      <c r="AN45" s="4">
        <v>-15</v>
      </c>
      <c r="AO45" s="4">
        <v>13</v>
      </c>
      <c r="AP45" s="4">
        <v>1</v>
      </c>
      <c r="AQ45" s="4">
        <v>0</v>
      </c>
      <c r="AR45" s="4">
        <v>0</v>
      </c>
    </row>
    <row r="46" spans="1:44">
      <c r="A46" s="63" t="s">
        <v>495</v>
      </c>
      <c r="B46" t="s">
        <v>481</v>
      </c>
      <c r="C46" t="s">
        <v>517</v>
      </c>
      <c r="E46" s="57" t="s">
        <v>93</v>
      </c>
      <c r="F46" s="57">
        <v>4</v>
      </c>
      <c r="G46" s="57">
        <v>11</v>
      </c>
      <c r="H46">
        <v>3.84</v>
      </c>
      <c r="I46">
        <v>123.8</v>
      </c>
      <c r="J46">
        <v>53.3</v>
      </c>
      <c r="K46">
        <v>7.8</v>
      </c>
      <c r="L46">
        <v>60.3</v>
      </c>
      <c r="M46">
        <v>49.4</v>
      </c>
      <c r="N46">
        <v>12.3</v>
      </c>
      <c r="O46">
        <v>0</v>
      </c>
      <c r="P46" s="4">
        <f t="shared" si="19"/>
        <v>68.788888888888877</v>
      </c>
      <c r="Q46" s="4">
        <f t="shared" si="20"/>
        <v>52.973254564983883</v>
      </c>
      <c r="R46" s="7">
        <f t="shared" si="21"/>
        <v>60.881071726936383</v>
      </c>
      <c r="S46" s="4">
        <f t="shared" si="22"/>
        <v>31.75</v>
      </c>
      <c r="T46" s="4">
        <f t="shared" si="23"/>
        <v>4931.8099999999995</v>
      </c>
      <c r="U46" s="4">
        <f t="shared" si="24"/>
        <v>18.923333333333336</v>
      </c>
      <c r="V46" s="4">
        <f t="shared" si="32"/>
        <v>5.5275001947940217</v>
      </c>
      <c r="W46" s="7">
        <f t="shared" si="26"/>
        <v>12.225416764063679</v>
      </c>
      <c r="X46" s="7">
        <f t="shared" si="27"/>
        <v>4.9798769973956913</v>
      </c>
      <c r="Y46" s="4">
        <f t="shared" si="28"/>
        <v>0.40589493566474427</v>
      </c>
      <c r="Z46" s="4">
        <f t="shared" si="13"/>
        <v>34.375303029975989</v>
      </c>
      <c r="AA46" s="4">
        <f t="shared" si="15"/>
        <v>4.4832334468142543</v>
      </c>
      <c r="AB46" s="4">
        <f t="shared" si="16"/>
        <v>3.9817641520088829</v>
      </c>
      <c r="AC46" s="4">
        <f t="shared" si="17"/>
        <v>1.7842932164608625</v>
      </c>
      <c r="AD46" s="4">
        <f t="shared" si="18"/>
        <v>2.5126102624022342</v>
      </c>
      <c r="AE46" s="4">
        <f t="shared" si="33"/>
        <v>12.41600134115858</v>
      </c>
      <c r="AF46" s="18">
        <f t="shared" si="14"/>
        <v>2.7642132924659255</v>
      </c>
      <c r="AG46" s="18">
        <f t="shared" si="30"/>
        <v>0.54786815848748993</v>
      </c>
      <c r="AH46" s="18">
        <f t="shared" si="31"/>
        <v>0.12988958534469658</v>
      </c>
      <c r="AI46" s="44"/>
      <c r="AJ46" s="12"/>
      <c r="AK46" s="5">
        <v>-0.76349999999999996</v>
      </c>
      <c r="AL46" s="4">
        <v>1.7330000000000001</v>
      </c>
      <c r="AM46" s="5">
        <v>1</v>
      </c>
      <c r="AN46" s="5">
        <v>0</v>
      </c>
      <c r="AO46" s="5">
        <v>0</v>
      </c>
      <c r="AP46" s="5">
        <v>0</v>
      </c>
      <c r="AQ46" s="5">
        <v>27</v>
      </c>
      <c r="AR46" s="5">
        <v>-29</v>
      </c>
    </row>
    <row r="47" spans="1:44">
      <c r="H47" s="8"/>
      <c r="P47" s="4"/>
      <c r="Q47" s="4"/>
      <c r="R47" s="7"/>
      <c r="S47" s="4"/>
      <c r="T47" s="4"/>
      <c r="U47" s="4"/>
      <c r="V47" s="4"/>
      <c r="W47" s="7"/>
      <c r="X47" s="7"/>
      <c r="Y47" s="4"/>
      <c r="Z47" s="4"/>
      <c r="AA47" s="4"/>
      <c r="AB47" s="4"/>
      <c r="AC47" s="4"/>
      <c r="AD47" s="4"/>
      <c r="AE47" s="4"/>
      <c r="AF47" s="18" t="e">
        <f t="shared" si="14"/>
        <v>#DIV/0!</v>
      </c>
      <c r="AG47" s="18"/>
      <c r="AH47" s="18"/>
      <c r="AI47" s="44"/>
      <c r="AJ47" s="12"/>
      <c r="AK47" s="5"/>
      <c r="AL47" s="4"/>
      <c r="AM47" s="5"/>
      <c r="AN47" s="5"/>
      <c r="AO47" s="5"/>
      <c r="AP47" s="5"/>
      <c r="AQ47" s="5"/>
      <c r="AR47" s="5"/>
    </row>
    <row r="48" spans="1:44">
      <c r="A48" s="53" t="s">
        <v>511</v>
      </c>
      <c r="B48" t="s">
        <v>497</v>
      </c>
      <c r="C48" t="s">
        <v>461</v>
      </c>
      <c r="D48" t="s">
        <v>511</v>
      </c>
      <c r="E48" s="57" t="s">
        <v>23</v>
      </c>
      <c r="F48" s="57">
        <v>4</v>
      </c>
      <c r="G48" s="57">
        <v>4</v>
      </c>
      <c r="I48">
        <v>154</v>
      </c>
      <c r="J48">
        <v>49.7</v>
      </c>
      <c r="K48">
        <v>21.3</v>
      </c>
      <c r="L48">
        <v>42.1</v>
      </c>
      <c r="M48">
        <v>7.8</v>
      </c>
      <c r="N48">
        <v>1.3</v>
      </c>
      <c r="O48">
        <v>0</v>
      </c>
      <c r="P48" s="4">
        <f t="shared" ref="P48:P53" si="34">(2*I48+2*L48+4*M48+J48)/9</f>
        <v>52.566666666666663</v>
      </c>
      <c r="Q48" s="4">
        <f t="shared" ref="Q48:Q53" si="35">((I48+L48)*J48-2*M48*M48)/(I48+L48+2*J48-4*M48)</f>
        <v>36.415020809685963</v>
      </c>
      <c r="R48" s="7">
        <f t="shared" ref="R48:R53" si="36">0.5*(P48+Q48)</f>
        <v>44.490843738176309</v>
      </c>
      <c r="S48" s="4">
        <f t="shared" ref="S48:S53" si="37">0.5*(I48-L48)</f>
        <v>55.95</v>
      </c>
      <c r="T48" s="4">
        <f t="shared" ref="T48:T53" si="38">(I48+L48)*J48-2*M48*M48</f>
        <v>9624.49</v>
      </c>
      <c r="U48" s="4">
        <f t="shared" ref="U48:U53" si="39">(I48+L48+2*J48-4*M48+12*K48+6*(I48-L48))/30</f>
        <v>39.710000000000008</v>
      </c>
      <c r="V48" s="4">
        <f t="shared" ref="V48:V53" si="40">(5*T48*(K48*S48-N48*N48))/(6*P48*(K48*S48-N48*N48)+2*T48*(K48+S48))</f>
        <v>30.750763103964637</v>
      </c>
      <c r="W48" s="7">
        <f t="shared" ref="W48:W53" si="41">0.5*(U48+V48)</f>
        <v>35.230381551982319</v>
      </c>
      <c r="X48" s="7">
        <f t="shared" ref="X48:X53" si="42">R48/W48</f>
        <v>1.2628544392154881</v>
      </c>
      <c r="Y48" s="4">
        <f t="shared" ref="Y48:Y53" si="43">(3*R48-2*W48)/(2*(3*R48+W48))</f>
        <v>0.18675364603151237</v>
      </c>
      <c r="Z48" s="4">
        <f t="shared" si="13"/>
        <v>83.619567515792696</v>
      </c>
      <c r="AA48" s="4" t="e">
        <f t="shared" si="15"/>
        <v>#DIV/0!</v>
      </c>
      <c r="AB48" s="4" t="e">
        <f t="shared" si="16"/>
        <v>#DIV/0!</v>
      </c>
      <c r="AC48" s="4" t="e">
        <f t="shared" si="17"/>
        <v>#DIV/0!</v>
      </c>
      <c r="AD48" s="4" t="e">
        <f t="shared" si="18"/>
        <v>#DIV/0!</v>
      </c>
      <c r="AE48" s="4">
        <f t="shared" ref="AE48:AE53" si="44">5*U48/V48 +P48/Q48 - 6</f>
        <v>1.9002938379223782</v>
      </c>
      <c r="AF48" s="18">
        <f t="shared" si="14"/>
        <v>0.67944492470111095</v>
      </c>
      <c r="AG48" s="18">
        <f t="shared" ref="AG48:AG53" si="45">(U48-V48)/(U48+V48)</f>
        <v>0.1271521411543052</v>
      </c>
      <c r="AH48" s="18">
        <f t="shared" ref="AH48:AH53" si="46">(P48-Q48)/(P48+Q48)</f>
        <v>0.18151651553330106</v>
      </c>
      <c r="AK48" s="4">
        <v>0.04</v>
      </c>
      <c r="AL48" s="4">
        <v>0.31</v>
      </c>
      <c r="AM48" s="4">
        <v>0</v>
      </c>
      <c r="AN48" s="4">
        <v>10</v>
      </c>
      <c r="AO48" s="4">
        <v>-39</v>
      </c>
      <c r="AP48" s="4">
        <v>1</v>
      </c>
      <c r="AQ48" s="4">
        <v>0</v>
      </c>
      <c r="AR48" s="4">
        <v>0</v>
      </c>
    </row>
    <row r="49" spans="1:44">
      <c r="A49" s="53" t="s">
        <v>512</v>
      </c>
      <c r="B49" t="s">
        <v>498</v>
      </c>
      <c r="C49" t="s">
        <v>461</v>
      </c>
      <c r="D49" t="s">
        <v>511</v>
      </c>
      <c r="E49" s="57" t="s">
        <v>23</v>
      </c>
      <c r="F49" s="57">
        <v>4</v>
      </c>
      <c r="G49" s="57">
        <v>4</v>
      </c>
      <c r="I49">
        <v>102</v>
      </c>
      <c r="J49">
        <v>33.6</v>
      </c>
      <c r="K49">
        <v>12</v>
      </c>
      <c r="L49">
        <v>32.1</v>
      </c>
      <c r="M49">
        <v>8.4</v>
      </c>
      <c r="N49">
        <v>4.5</v>
      </c>
      <c r="O49">
        <v>0</v>
      </c>
      <c r="P49" s="4">
        <f t="shared" si="34"/>
        <v>37.266666666666673</v>
      </c>
      <c r="Q49" s="4">
        <f t="shared" si="35"/>
        <v>26.026475849731664</v>
      </c>
      <c r="R49" s="7">
        <f t="shared" si="36"/>
        <v>31.646571258199167</v>
      </c>
      <c r="S49" s="4">
        <f t="shared" si="37"/>
        <v>34.950000000000003</v>
      </c>
      <c r="T49" s="4">
        <f t="shared" si="38"/>
        <v>4364.6400000000003</v>
      </c>
      <c r="U49" s="4">
        <f t="shared" si="39"/>
        <v>24.370000000000005</v>
      </c>
      <c r="V49" s="4">
        <f t="shared" si="40"/>
        <v>17.453238159407501</v>
      </c>
      <c r="W49" s="7">
        <f t="shared" si="41"/>
        <v>20.911619079703755</v>
      </c>
      <c r="X49" s="7">
        <f t="shared" si="42"/>
        <v>1.5133486860859311</v>
      </c>
      <c r="Y49" s="4">
        <f t="shared" si="43"/>
        <v>0.22924412825699275</v>
      </c>
      <c r="Z49" s="4">
        <f t="shared" si="13"/>
        <v>51.410969932145484</v>
      </c>
      <c r="AA49" s="4" t="e">
        <f t="shared" si="15"/>
        <v>#DIV/0!</v>
      </c>
      <c r="AB49" s="4" t="e">
        <f t="shared" si="16"/>
        <v>#DIV/0!</v>
      </c>
      <c r="AC49" s="4" t="e">
        <f t="shared" si="17"/>
        <v>#DIV/0!</v>
      </c>
      <c r="AD49" s="4" t="e">
        <f t="shared" si="18"/>
        <v>#DIV/0!</v>
      </c>
      <c r="AE49" s="4">
        <f t="shared" si="44"/>
        <v>2.4133877305175861</v>
      </c>
      <c r="AF49" s="18">
        <f t="shared" si="14"/>
        <v>0.82829629674960836</v>
      </c>
      <c r="AG49" s="18">
        <f t="shared" si="45"/>
        <v>0.16538083001200329</v>
      </c>
      <c r="AH49" s="18">
        <f t="shared" si="46"/>
        <v>0.17758939389086012</v>
      </c>
      <c r="AK49" s="5">
        <v>-1.355E-2</v>
      </c>
      <c r="AL49" s="4">
        <v>0.50549999999999995</v>
      </c>
      <c r="AM49" s="4">
        <v>1</v>
      </c>
      <c r="AN49" s="4">
        <v>0</v>
      </c>
      <c r="AO49" s="4">
        <v>0</v>
      </c>
      <c r="AP49" s="4">
        <v>0</v>
      </c>
      <c r="AQ49" s="4">
        <v>-3</v>
      </c>
      <c r="AR49" s="4">
        <v>4</v>
      </c>
    </row>
    <row r="50" spans="1:44">
      <c r="A50" s="53" t="s">
        <v>513</v>
      </c>
      <c r="B50" t="s">
        <v>499</v>
      </c>
      <c r="C50" t="s">
        <v>238</v>
      </c>
      <c r="E50" s="57" t="s">
        <v>23</v>
      </c>
      <c r="F50" s="57">
        <v>4</v>
      </c>
      <c r="G50" s="57">
        <v>7</v>
      </c>
      <c r="I50">
        <v>181.9</v>
      </c>
      <c r="J50">
        <v>66.8</v>
      </c>
      <c r="K50">
        <v>42.8</v>
      </c>
      <c r="L50">
        <v>48.2</v>
      </c>
      <c r="M50">
        <v>27.1</v>
      </c>
      <c r="N50">
        <v>5.4</v>
      </c>
      <c r="O50">
        <v>0</v>
      </c>
      <c r="P50" s="4">
        <f t="shared" si="34"/>
        <v>70.599999999999994</v>
      </c>
      <c r="Q50" s="4">
        <f t="shared" si="35"/>
        <v>54.453035644339984</v>
      </c>
      <c r="R50" s="7">
        <f t="shared" si="36"/>
        <v>62.526517822169993</v>
      </c>
      <c r="S50" s="4">
        <f t="shared" si="37"/>
        <v>66.849999999999994</v>
      </c>
      <c r="T50" s="4">
        <f t="shared" si="38"/>
        <v>13901.86</v>
      </c>
      <c r="U50" s="4">
        <f t="shared" si="39"/>
        <v>52.37</v>
      </c>
      <c r="V50" s="4">
        <f t="shared" si="40"/>
        <v>46.336352967273136</v>
      </c>
      <c r="W50" s="7">
        <f t="shared" si="41"/>
        <v>49.353176483636567</v>
      </c>
      <c r="X50" s="7">
        <f t="shared" si="42"/>
        <v>1.2669198271949356</v>
      </c>
      <c r="Y50" s="4">
        <f t="shared" si="43"/>
        <v>0.18754943759339798</v>
      </c>
      <c r="Z50" s="4">
        <f t="shared" si="13"/>
        <v>117.21867395318064</v>
      </c>
      <c r="AA50" s="4" t="e">
        <f t="shared" si="15"/>
        <v>#DIV/0!</v>
      </c>
      <c r="AB50" s="4" t="e">
        <f t="shared" si="16"/>
        <v>#DIV/0!</v>
      </c>
      <c r="AC50" s="4" t="e">
        <f t="shared" si="17"/>
        <v>#DIV/0!</v>
      </c>
      <c r="AD50" s="4" t="e">
        <f t="shared" si="18"/>
        <v>#DIV/0!</v>
      </c>
      <c r="AE50" s="4">
        <f t="shared" si="44"/>
        <v>0.94760066220646344</v>
      </c>
      <c r="AF50" s="18">
        <f t="shared" si="14"/>
        <v>0.37730250751312461</v>
      </c>
      <c r="AG50" s="18">
        <f t="shared" si="45"/>
        <v>6.1127241067526469E-2</v>
      </c>
      <c r="AH50" s="18">
        <f t="shared" si="46"/>
        <v>0.12912093075119874</v>
      </c>
      <c r="AK50" s="4">
        <v>8.6459999999999995E-2</v>
      </c>
      <c r="AL50" s="4">
        <v>0.35899999999999999</v>
      </c>
      <c r="AM50" s="4">
        <v>0</v>
      </c>
      <c r="AN50" s="4">
        <v>10</v>
      </c>
      <c r="AO50" s="4">
        <v>17</v>
      </c>
      <c r="AP50" s="4">
        <v>0</v>
      </c>
      <c r="AQ50" s="4">
        <v>17</v>
      </c>
      <c r="AR50" s="4">
        <v>-10</v>
      </c>
    </row>
    <row r="51" spans="1:44">
      <c r="A51" s="53" t="s">
        <v>674</v>
      </c>
      <c r="B51" t="s">
        <v>675</v>
      </c>
      <c r="C51" t="s">
        <v>238</v>
      </c>
      <c r="E51" s="57" t="s">
        <v>23</v>
      </c>
      <c r="F51" s="57">
        <v>4</v>
      </c>
      <c r="G51" s="57">
        <v>7</v>
      </c>
      <c r="H51">
        <v>1.78</v>
      </c>
      <c r="I51">
        <v>35.1</v>
      </c>
      <c r="J51">
        <v>55</v>
      </c>
      <c r="K51" s="7">
        <v>11</v>
      </c>
      <c r="L51">
        <v>21.9</v>
      </c>
      <c r="M51" s="1">
        <v>20</v>
      </c>
      <c r="N51">
        <v>0.6</v>
      </c>
      <c r="O51">
        <v>0</v>
      </c>
      <c r="P51" s="4">
        <f t="shared" si="34"/>
        <v>27.666666666666668</v>
      </c>
      <c r="Q51" s="4">
        <f t="shared" si="35"/>
        <v>26.839080459770116</v>
      </c>
      <c r="R51" s="7">
        <f t="shared" si="36"/>
        <v>27.252873563218394</v>
      </c>
      <c r="S51" s="4">
        <f t="shared" si="37"/>
        <v>6.6000000000000014</v>
      </c>
      <c r="T51" s="4">
        <f t="shared" si="38"/>
        <v>2335</v>
      </c>
      <c r="U51" s="4">
        <f t="shared" si="39"/>
        <v>9.9400000000000013</v>
      </c>
      <c r="V51" s="4">
        <f t="shared" si="40"/>
        <v>8.9548483051869656</v>
      </c>
      <c r="W51" s="7">
        <f t="shared" si="41"/>
        <v>9.4474241525934843</v>
      </c>
      <c r="X51" s="7">
        <f t="shared" si="42"/>
        <v>2.8846882624336287</v>
      </c>
      <c r="Y51" s="4">
        <f t="shared" si="43"/>
        <v>0.34462503276618522</v>
      </c>
      <c r="Z51" s="4">
        <f t="shared" si="13"/>
        <v>25.406486021474127</v>
      </c>
      <c r="AA51" s="4"/>
      <c r="AB51" s="4"/>
      <c r="AC51" s="4"/>
      <c r="AD51" s="4"/>
      <c r="AE51" s="4">
        <f t="shared" si="44"/>
        <v>0.58090121673887296</v>
      </c>
      <c r="AF51" s="18">
        <f t="shared" si="14"/>
        <v>0.2353503474319551</v>
      </c>
      <c r="AG51" s="18">
        <f t="shared" si="45"/>
        <v>5.2138640062148273E-2</v>
      </c>
      <c r="AH51" s="18">
        <f t="shared" si="46"/>
        <v>1.5183466891606913E-2</v>
      </c>
      <c r="AK51" s="4"/>
      <c r="AL51" s="4"/>
      <c r="AM51" s="4"/>
      <c r="AN51" s="4"/>
      <c r="AO51" s="4"/>
      <c r="AP51" s="4"/>
      <c r="AQ51" s="4"/>
      <c r="AR51" s="4"/>
    </row>
    <row r="52" spans="1:44">
      <c r="A52" s="53" t="s">
        <v>514</v>
      </c>
      <c r="B52" s="10" t="s">
        <v>500</v>
      </c>
      <c r="E52" s="57" t="s">
        <v>23</v>
      </c>
      <c r="F52" s="57">
        <v>4</v>
      </c>
      <c r="G52" s="57">
        <v>9</v>
      </c>
      <c r="I52">
        <v>361.8</v>
      </c>
      <c r="J52">
        <v>255.4</v>
      </c>
      <c r="K52">
        <v>84.1</v>
      </c>
      <c r="L52">
        <v>119.1</v>
      </c>
      <c r="M52">
        <v>61.2</v>
      </c>
      <c r="N52">
        <v>-6.5</v>
      </c>
      <c r="O52">
        <v>0</v>
      </c>
      <c r="P52" s="4">
        <f t="shared" si="34"/>
        <v>162.44444444444446</v>
      </c>
      <c r="Q52" s="4">
        <f t="shared" si="35"/>
        <v>154.41287990360152</v>
      </c>
      <c r="R52" s="7">
        <f t="shared" si="36"/>
        <v>158.42866217402297</v>
      </c>
      <c r="S52" s="4">
        <f t="shared" si="37"/>
        <v>121.35000000000001</v>
      </c>
      <c r="T52" s="4">
        <f t="shared" si="38"/>
        <v>115330.98</v>
      </c>
      <c r="U52" s="4">
        <f t="shared" si="39"/>
        <v>107.07666666666667</v>
      </c>
      <c r="V52" s="4">
        <f t="shared" si="40"/>
        <v>102.28948241722291</v>
      </c>
      <c r="W52" s="7">
        <f t="shared" si="41"/>
        <v>104.68307454194479</v>
      </c>
      <c r="X52" s="7">
        <f t="shared" si="42"/>
        <v>1.5134123913273412</v>
      </c>
      <c r="Y52" s="4">
        <f t="shared" si="43"/>
        <v>0.22925346823701398</v>
      </c>
      <c r="Z52" s="4">
        <f t="shared" si="13"/>
        <v>257.36406489279904</v>
      </c>
      <c r="AA52" s="4" t="e">
        <f t="shared" si="15"/>
        <v>#DIV/0!</v>
      </c>
      <c r="AB52" s="4" t="e">
        <f t="shared" si="16"/>
        <v>#DIV/0!</v>
      </c>
      <c r="AC52" s="4" t="e">
        <f t="shared" si="17"/>
        <v>#DIV/0!</v>
      </c>
      <c r="AD52" s="4" t="e">
        <f t="shared" si="18"/>
        <v>#DIV/0!</v>
      </c>
      <c r="AE52" s="4">
        <f t="shared" si="44"/>
        <v>0.28601534893324576</v>
      </c>
      <c r="AF52" s="18">
        <f t="shared" si="14"/>
        <v>0.114153532121581</v>
      </c>
      <c r="AG52" s="18">
        <f t="shared" si="45"/>
        <v>2.2865130157815571E-2</v>
      </c>
      <c r="AH52" s="18">
        <f t="shared" si="46"/>
        <v>2.534757420352643E-2</v>
      </c>
      <c r="AK52" s="4">
        <v>0.1084</v>
      </c>
      <c r="AL52" s="4">
        <v>0.32179999999999997</v>
      </c>
      <c r="AM52" s="4">
        <v>0</v>
      </c>
      <c r="AN52" s="4">
        <v>16</v>
      </c>
      <c r="AO52" s="4">
        <v>37</v>
      </c>
      <c r="AP52" s="4">
        <v>1</v>
      </c>
      <c r="AQ52" s="4">
        <v>0</v>
      </c>
      <c r="AR52" s="4">
        <v>0</v>
      </c>
    </row>
    <row r="53" spans="1:44">
      <c r="A53" s="53" t="s">
        <v>515</v>
      </c>
      <c r="B53" s="10" t="s">
        <v>501</v>
      </c>
      <c r="C53" t="s">
        <v>520</v>
      </c>
      <c r="E53" s="57" t="s">
        <v>23</v>
      </c>
      <c r="F53" s="57">
        <v>4</v>
      </c>
      <c r="G53" s="57">
        <v>2</v>
      </c>
      <c r="H53">
        <v>5.59</v>
      </c>
      <c r="I53">
        <v>59.5</v>
      </c>
      <c r="J53">
        <v>39.799999999999997</v>
      </c>
      <c r="K53">
        <v>9.9700000000000006</v>
      </c>
      <c r="L53">
        <v>31.7</v>
      </c>
      <c r="M53">
        <v>29.6</v>
      </c>
      <c r="N53">
        <v>0.18</v>
      </c>
      <c r="O53">
        <v>0</v>
      </c>
      <c r="P53" s="4">
        <f t="shared" si="34"/>
        <v>37.844444444444449</v>
      </c>
      <c r="Q53" s="4">
        <f t="shared" si="35"/>
        <v>35.829007633587771</v>
      </c>
      <c r="R53" s="7">
        <f t="shared" si="36"/>
        <v>36.836726039016114</v>
      </c>
      <c r="S53" s="4">
        <f t="shared" si="37"/>
        <v>13.9</v>
      </c>
      <c r="T53" s="4">
        <f t="shared" si="38"/>
        <v>1877.4399999999996</v>
      </c>
      <c r="U53" s="4">
        <f t="shared" si="39"/>
        <v>11.294666666666668</v>
      </c>
      <c r="V53" s="4">
        <f t="shared" si="40"/>
        <v>10.740859638605979</v>
      </c>
      <c r="W53" s="7">
        <f t="shared" si="41"/>
        <v>11.017763152636324</v>
      </c>
      <c r="X53" s="7">
        <f t="shared" si="42"/>
        <v>3.3433942560475032</v>
      </c>
      <c r="Y53" s="4">
        <f t="shared" si="43"/>
        <v>0.36400950632184298</v>
      </c>
      <c r="Z53" s="4">
        <f t="shared" si="13"/>
        <v>30.056667357196929</v>
      </c>
      <c r="AA53" s="4">
        <f t="shared" si="15"/>
        <v>3.0360704792764261</v>
      </c>
      <c r="AB53" s="4">
        <f t="shared" si="16"/>
        <v>2.5670516572354414</v>
      </c>
      <c r="AC53" s="4">
        <f t="shared" si="17"/>
        <v>1.4039149932114559</v>
      </c>
      <c r="AD53" s="4">
        <f t="shared" si="18"/>
        <v>2.1625742968464312</v>
      </c>
      <c r="AE53" s="4">
        <f t="shared" si="44"/>
        <v>0.31405540486005812</v>
      </c>
      <c r="AF53" s="18">
        <f t="shared" si="14"/>
        <v>0.12503243266592867</v>
      </c>
      <c r="AG53" s="18">
        <f t="shared" si="45"/>
        <v>2.513246202466125E-2</v>
      </c>
      <c r="AH53" s="18">
        <f t="shared" si="46"/>
        <v>2.7356350951520503E-2</v>
      </c>
      <c r="AK53" s="4">
        <v>0.2581</v>
      </c>
      <c r="AL53" s="4">
        <v>0.55189999999999995</v>
      </c>
      <c r="AM53" s="4">
        <v>1</v>
      </c>
      <c r="AN53" s="4">
        <v>0</v>
      </c>
      <c r="AO53" s="4">
        <v>0</v>
      </c>
      <c r="AP53" s="4">
        <v>0</v>
      </c>
      <c r="AQ53" s="4">
        <v>-40</v>
      </c>
      <c r="AR53" s="4">
        <v>1</v>
      </c>
    </row>
    <row r="54" spans="1:44">
      <c r="A54" s="53" t="s">
        <v>502</v>
      </c>
      <c r="P54" s="4"/>
      <c r="Q54" s="4"/>
      <c r="R54" s="4"/>
      <c r="S54" s="4"/>
      <c r="T54" s="4"/>
      <c r="U54" s="4"/>
      <c r="V54" s="4"/>
      <c r="W54" s="4"/>
      <c r="X54" s="7"/>
      <c r="Y54" s="4"/>
      <c r="Z54" s="4"/>
      <c r="AA54" s="4"/>
      <c r="AB54" s="4"/>
      <c r="AC54" s="4"/>
      <c r="AD54" s="4"/>
      <c r="AE54" s="4"/>
      <c r="AF54" s="18" t="e">
        <f t="shared" si="14"/>
        <v>#DIV/0!</v>
      </c>
      <c r="AG54" s="18"/>
      <c r="AH54" s="18"/>
    </row>
    <row r="55" spans="1:44">
      <c r="A55" s="53">
        <v>100</v>
      </c>
      <c r="E55" s="57" t="s">
        <v>23</v>
      </c>
      <c r="F55" s="57">
        <v>4</v>
      </c>
      <c r="G55" s="57">
        <v>9</v>
      </c>
      <c r="I55">
        <v>86.7</v>
      </c>
      <c r="J55">
        <v>104.9</v>
      </c>
      <c r="K55">
        <v>58.4</v>
      </c>
      <c r="L55">
        <v>6.1</v>
      </c>
      <c r="M55">
        <v>11.5</v>
      </c>
      <c r="N55">
        <v>17.8</v>
      </c>
      <c r="O55">
        <v>0</v>
      </c>
      <c r="P55" s="4">
        <f t="shared" ref="P55:P67" si="47">(2*I55+2*L55+4*M55+J55)/9</f>
        <v>37.388888888888886</v>
      </c>
      <c r="Q55" s="4">
        <f t="shared" ref="Q55:Q67" si="48">((I55+L55)*J55-2*M55*M55)/(I55+L55+2*J55-4*M55)</f>
        <v>36.906547155105216</v>
      </c>
      <c r="R55" s="4">
        <f t="shared" ref="R55:R67" si="49">0.5*(P55+Q55)</f>
        <v>37.147718021997051</v>
      </c>
      <c r="S55" s="4">
        <f t="shared" ref="S55:S67" si="50">0.5*(I55-L55)</f>
        <v>40.300000000000004</v>
      </c>
      <c r="T55" s="4">
        <f t="shared" ref="T55:T67" si="51">(I55+L55)*J55-2*M55*M55</f>
        <v>9470.2199999999993</v>
      </c>
      <c r="U55" s="4">
        <f t="shared" ref="U55:U67" si="52">(I55+L55+2*J55-4*M55+12*K55+6*(I55-L55))/30</f>
        <v>48.033333333333331</v>
      </c>
      <c r="V55" s="4">
        <f t="shared" ref="V55:V67" si="53">(5*T55*(K55*S55-N55*N55))/(6*P55*(K55*S55-N55*N55)+2*T55*(K55+S55))</f>
        <v>41.455680037058819</v>
      </c>
      <c r="W55" s="4">
        <f t="shared" ref="W55:W67" si="54">0.5*(U55+V55)</f>
        <v>44.744506685196072</v>
      </c>
      <c r="X55" s="7">
        <f t="shared" ref="X55:X67" si="55">R55/W55</f>
        <v>0.83021851784741085</v>
      </c>
      <c r="Y55" s="4">
        <f t="shared" ref="Y55:Y67" si="56">(3*R55-2*W55)/(2*(3*R55+W55))</f>
        <v>7.0281290436165683E-2</v>
      </c>
      <c r="Z55" s="4">
        <f t="shared" si="13"/>
        <v>95.778416709922595</v>
      </c>
      <c r="AA55" s="4" t="e">
        <f t="shared" si="15"/>
        <v>#DIV/0!</v>
      </c>
      <c r="AB55" s="4" t="e">
        <f t="shared" si="16"/>
        <v>#DIV/0!</v>
      </c>
      <c r="AC55" s="4" t="e">
        <f t="shared" si="17"/>
        <v>#DIV/0!</v>
      </c>
      <c r="AD55" s="4" t="e">
        <f t="shared" si="18"/>
        <v>#DIV/0!</v>
      </c>
      <c r="AE55" s="4">
        <f t="shared" ref="AE55:AE67" si="57">5*U55/V55 +P55/Q55 - 6</f>
        <v>0.80640486524455479</v>
      </c>
      <c r="AF55" s="18">
        <f t="shared" si="14"/>
        <v>0.32956231445295298</v>
      </c>
      <c r="AG55" s="18">
        <f t="shared" ref="AG55:AG67" si="58">(U55-V55)/(U55+V55)</f>
        <v>7.3502355747848261E-2</v>
      </c>
      <c r="AH55" s="18">
        <f t="shared" ref="AH55:AH67" si="59">(P55-Q55)/(P55+Q55)</f>
        <v>6.492212166276959E-3</v>
      </c>
    </row>
    <row r="56" spans="1:44">
      <c r="A56" s="53">
        <v>200</v>
      </c>
      <c r="E56" s="57" t="s">
        <v>124</v>
      </c>
      <c r="F56" s="57">
        <v>4</v>
      </c>
      <c r="G56" s="57">
        <v>9</v>
      </c>
      <c r="I56">
        <v>86.1</v>
      </c>
      <c r="J56">
        <v>102.4</v>
      </c>
      <c r="K56">
        <v>56.8</v>
      </c>
      <c r="L56">
        <v>3.6</v>
      </c>
      <c r="M56">
        <v>10.3</v>
      </c>
      <c r="N56">
        <v>17.899999999999999</v>
      </c>
      <c r="O56">
        <v>0</v>
      </c>
      <c r="P56" s="4">
        <f t="shared" si="47"/>
        <v>35.888888888888886</v>
      </c>
      <c r="Q56" s="4">
        <f t="shared" si="48"/>
        <v>35.424792735886292</v>
      </c>
      <c r="R56" s="4">
        <f t="shared" si="49"/>
        <v>35.656840812387586</v>
      </c>
      <c r="S56" s="4">
        <f t="shared" si="50"/>
        <v>41.25</v>
      </c>
      <c r="T56" s="4">
        <f t="shared" si="51"/>
        <v>8973.0999999999985</v>
      </c>
      <c r="U56" s="4">
        <f t="shared" si="52"/>
        <v>47.663333333333327</v>
      </c>
      <c r="V56" s="4">
        <f t="shared" si="53"/>
        <v>41.338526025638338</v>
      </c>
      <c r="W56" s="4">
        <f t="shared" si="54"/>
        <v>44.500929679485836</v>
      </c>
      <c r="X56" s="7">
        <f t="shared" si="55"/>
        <v>0.80126058195194916</v>
      </c>
      <c r="Y56" s="4">
        <f t="shared" si="56"/>
        <v>5.9313695178525673E-2</v>
      </c>
      <c r="Z56" s="4">
        <f t="shared" si="13"/>
        <v>94.280888515311716</v>
      </c>
      <c r="AA56" s="4" t="e">
        <f t="shared" si="15"/>
        <v>#DIV/0!</v>
      </c>
      <c r="AB56" s="4" t="e">
        <f t="shared" si="16"/>
        <v>#DIV/0!</v>
      </c>
      <c r="AC56" s="4" t="e">
        <f t="shared" si="17"/>
        <v>#DIV/0!</v>
      </c>
      <c r="AD56" s="4" t="e">
        <f t="shared" si="18"/>
        <v>#DIV/0!</v>
      </c>
      <c r="AE56" s="4">
        <f t="shared" si="57"/>
        <v>0.77810243679595192</v>
      </c>
      <c r="AF56" s="18">
        <f t="shared" si="14"/>
        <v>0.31860940255268361</v>
      </c>
      <c r="AG56" s="18">
        <f t="shared" si="58"/>
        <v>7.1063766007237114E-2</v>
      </c>
      <c r="AH56" s="18">
        <f t="shared" si="59"/>
        <v>6.5078136821555025E-3</v>
      </c>
    </row>
    <row r="57" spans="1:44">
      <c r="A57" s="53">
        <v>300</v>
      </c>
      <c r="E57" s="57" t="s">
        <v>23</v>
      </c>
      <c r="F57" s="57">
        <v>4</v>
      </c>
      <c r="G57" s="57">
        <v>9</v>
      </c>
      <c r="I57" s="7">
        <v>84.4</v>
      </c>
      <c r="J57" s="7">
        <v>98.9</v>
      </c>
      <c r="K57" s="7">
        <v>53</v>
      </c>
      <c r="L57" s="19">
        <v>-0.8</v>
      </c>
      <c r="M57" s="7">
        <v>7.9</v>
      </c>
      <c r="N57" s="7">
        <v>19.399999999999999</v>
      </c>
      <c r="O57" s="7">
        <v>0</v>
      </c>
      <c r="P57" s="4">
        <f t="shared" si="47"/>
        <v>33.077777777777783</v>
      </c>
      <c r="Q57" s="4">
        <f t="shared" si="48"/>
        <v>32.598959167333867</v>
      </c>
      <c r="R57" s="4">
        <f t="shared" si="49"/>
        <v>32.838368472555828</v>
      </c>
      <c r="S57" s="4">
        <f t="shared" si="50"/>
        <v>42.6</v>
      </c>
      <c r="T57" s="4">
        <f t="shared" si="51"/>
        <v>8143.2200000000012</v>
      </c>
      <c r="U57" s="4">
        <f t="shared" si="52"/>
        <v>46.56666666666667</v>
      </c>
      <c r="V57" s="4">
        <f t="shared" si="53"/>
        <v>39.683704637481391</v>
      </c>
      <c r="W57" s="4">
        <f t="shared" si="54"/>
        <v>43.12518565207403</v>
      </c>
      <c r="X57" s="7">
        <f t="shared" si="55"/>
        <v>0.76146613576320976</v>
      </c>
      <c r="Y57" s="4">
        <f t="shared" si="56"/>
        <v>4.3295357630550389E-2</v>
      </c>
      <c r="Z57" s="4">
        <f t="shared" si="13"/>
        <v>89.984611975528907</v>
      </c>
      <c r="AA57" s="4" t="e">
        <f t="shared" si="15"/>
        <v>#DIV/0!</v>
      </c>
      <c r="AB57" s="4" t="e">
        <f t="shared" si="16"/>
        <v>#DIV/0!</v>
      </c>
      <c r="AC57" s="4" t="e">
        <f t="shared" si="17"/>
        <v>#DIV/0!</v>
      </c>
      <c r="AD57" s="4" t="e">
        <f t="shared" si="18"/>
        <v>#DIV/0!</v>
      </c>
      <c r="AE57" s="4">
        <f t="shared" si="57"/>
        <v>0.88191591298089289</v>
      </c>
      <c r="AF57" s="18">
        <f t="shared" si="14"/>
        <v>0.35794352822314673</v>
      </c>
      <c r="AG57" s="18">
        <f t="shared" si="58"/>
        <v>7.9802114763235288E-2</v>
      </c>
      <c r="AH57" s="18">
        <f t="shared" si="59"/>
        <v>7.2905359297018926E-3</v>
      </c>
    </row>
    <row r="58" spans="1:44">
      <c r="A58" s="53">
        <v>400</v>
      </c>
      <c r="E58" s="57" t="s">
        <v>23</v>
      </c>
      <c r="F58" s="57">
        <v>4</v>
      </c>
      <c r="G58" s="57">
        <v>9</v>
      </c>
      <c r="I58" s="7">
        <v>84.1</v>
      </c>
      <c r="J58" s="7">
        <v>95.4</v>
      </c>
      <c r="K58" s="7">
        <v>52.6</v>
      </c>
      <c r="L58" s="19">
        <f>-7/0.6</f>
        <v>-11.666666666666668</v>
      </c>
      <c r="M58" s="7">
        <v>6.8</v>
      </c>
      <c r="N58" s="7">
        <v>17.100000000000001</v>
      </c>
      <c r="O58" s="7">
        <v>0</v>
      </c>
      <c r="P58" s="4">
        <f t="shared" si="47"/>
        <v>29.718518518518515</v>
      </c>
      <c r="Q58" s="4">
        <f t="shared" si="48"/>
        <v>28.884310125688458</v>
      </c>
      <c r="R58" s="4">
        <f t="shared" si="49"/>
        <v>29.301414322103486</v>
      </c>
      <c r="S58" s="4">
        <f t="shared" si="50"/>
        <v>47.883333333333333</v>
      </c>
      <c r="T58" s="4">
        <f t="shared" si="51"/>
        <v>6817.66</v>
      </c>
      <c r="U58" s="4">
        <f t="shared" si="52"/>
        <v>48.061111111111117</v>
      </c>
      <c r="V58" s="4">
        <f t="shared" si="53"/>
        <v>42.945901263692122</v>
      </c>
      <c r="W58" s="4">
        <f t="shared" si="54"/>
        <v>45.503506187401619</v>
      </c>
      <c r="X58" s="7">
        <f t="shared" si="55"/>
        <v>0.64393750673692163</v>
      </c>
      <c r="Y58" s="4">
        <f t="shared" si="56"/>
        <v>-1.1628894978648403E-2</v>
      </c>
      <c r="Z58" s="4">
        <f t="shared" si="13"/>
        <v>89.948701385576101</v>
      </c>
      <c r="AA58" s="4" t="e">
        <f t="shared" si="15"/>
        <v>#DIV/0!</v>
      </c>
      <c r="AB58" s="4" t="e">
        <f t="shared" si="16"/>
        <v>#DIV/0!</v>
      </c>
      <c r="AC58" s="4" t="e">
        <f t="shared" si="17"/>
        <v>#DIV/0!</v>
      </c>
      <c r="AD58" s="4" t="e">
        <f t="shared" si="18"/>
        <v>#DIV/0!</v>
      </c>
      <c r="AE58" s="4">
        <f t="shared" si="57"/>
        <v>0.62442212090610205</v>
      </c>
      <c r="AF58" s="18">
        <f t="shared" si="14"/>
        <v>0.25323517291084391</v>
      </c>
      <c r="AG58" s="18">
        <f t="shared" si="58"/>
        <v>5.6206765983620226E-2</v>
      </c>
      <c r="AH58" s="18">
        <f t="shared" si="59"/>
        <v>1.4234950976423903E-2</v>
      </c>
    </row>
    <row r="59" spans="1:44">
      <c r="A59" s="53">
        <v>450</v>
      </c>
      <c r="E59" s="57" t="s">
        <v>124</v>
      </c>
      <c r="F59" s="57">
        <v>4</v>
      </c>
      <c r="G59" s="57">
        <v>9</v>
      </c>
      <c r="I59" s="7">
        <v>82.9</v>
      </c>
      <c r="J59" s="7">
        <v>92.4</v>
      </c>
      <c r="K59" s="7">
        <v>49</v>
      </c>
      <c r="L59" s="19">
        <v>-10.5</v>
      </c>
      <c r="M59" s="7">
        <v>4.9000000000000004</v>
      </c>
      <c r="N59" s="7">
        <v>18</v>
      </c>
      <c r="O59" s="7">
        <v>0</v>
      </c>
      <c r="P59" s="4">
        <f t="shared" si="47"/>
        <v>28.533333333333335</v>
      </c>
      <c r="Q59" s="4">
        <f t="shared" si="48"/>
        <v>27.953451178451175</v>
      </c>
      <c r="R59" s="4">
        <f t="shared" si="49"/>
        <v>28.243392255892253</v>
      </c>
      <c r="S59" s="4">
        <f t="shared" si="50"/>
        <v>46.7</v>
      </c>
      <c r="T59" s="4">
        <f t="shared" si="51"/>
        <v>6641.7400000000007</v>
      </c>
      <c r="U59" s="4">
        <f t="shared" si="52"/>
        <v>46.2</v>
      </c>
      <c r="V59" s="4">
        <f t="shared" si="53"/>
        <v>40.579254500242371</v>
      </c>
      <c r="W59" s="4">
        <f t="shared" si="54"/>
        <v>43.389627250121187</v>
      </c>
      <c r="X59" s="7">
        <f t="shared" si="55"/>
        <v>0.65092498013596944</v>
      </c>
      <c r="Y59" s="4">
        <f t="shared" si="56"/>
        <v>-7.996725206826559E-3</v>
      </c>
      <c r="Z59" s="4">
        <f t="shared" si="13"/>
        <v>86.085304648350657</v>
      </c>
      <c r="AA59" s="4" t="e">
        <f t="shared" si="15"/>
        <v>#DIV/0!</v>
      </c>
      <c r="AB59" s="4" t="e">
        <f t="shared" si="16"/>
        <v>#DIV/0!</v>
      </c>
      <c r="AC59" s="4" t="e">
        <f t="shared" si="17"/>
        <v>#DIV/0!</v>
      </c>
      <c r="AD59" s="4" t="e">
        <f t="shared" si="18"/>
        <v>#DIV/0!</v>
      </c>
      <c r="AE59" s="4">
        <f t="shared" si="57"/>
        <v>0.71330848223455323</v>
      </c>
      <c r="AF59" s="18">
        <f t="shared" si="14"/>
        <v>0.2907948520198354</v>
      </c>
      <c r="AG59" s="18">
        <f t="shared" si="58"/>
        <v>6.4770612885847428E-2</v>
      </c>
      <c r="AH59" s="18">
        <f t="shared" si="59"/>
        <v>1.0265802167605816E-2</v>
      </c>
    </row>
    <row r="60" spans="1:44">
      <c r="A60" s="53">
        <v>500</v>
      </c>
      <c r="E60" s="57" t="s">
        <v>23</v>
      </c>
      <c r="F60" s="57">
        <v>4</v>
      </c>
      <c r="G60" s="57">
        <v>9</v>
      </c>
      <c r="I60" s="7">
        <v>81.099999999999994</v>
      </c>
      <c r="J60" s="7">
        <v>88.9</v>
      </c>
      <c r="K60" s="7">
        <v>46.8</v>
      </c>
      <c r="L60" s="19">
        <v>-14.3</v>
      </c>
      <c r="M60" s="7">
        <v>2.2999999999999998</v>
      </c>
      <c r="N60" s="7">
        <v>17.3</v>
      </c>
      <c r="O60" s="7">
        <v>0</v>
      </c>
      <c r="P60" s="4">
        <f t="shared" si="47"/>
        <v>25.744444444444444</v>
      </c>
      <c r="Q60" s="4">
        <f t="shared" si="48"/>
        <v>25.182412914188614</v>
      </c>
      <c r="R60" s="4">
        <f t="shared" si="49"/>
        <v>25.463428679316529</v>
      </c>
      <c r="S60" s="4">
        <f t="shared" si="50"/>
        <v>47.699999999999996</v>
      </c>
      <c r="T60" s="4">
        <f t="shared" si="51"/>
        <v>5927.9400000000005</v>
      </c>
      <c r="U60" s="4">
        <f t="shared" si="52"/>
        <v>45.646666666666668</v>
      </c>
      <c r="V60" s="4">
        <f t="shared" si="53"/>
        <v>40.378155430303444</v>
      </c>
      <c r="W60" s="4">
        <f t="shared" si="54"/>
        <v>43.012411048485056</v>
      </c>
      <c r="X60" s="7">
        <f t="shared" si="55"/>
        <v>0.59200189104984802</v>
      </c>
      <c r="Y60" s="4">
        <f t="shared" si="56"/>
        <v>-4.0344717054616321E-2</v>
      </c>
      <c r="Z60" s="4">
        <f t="shared" si="13"/>
        <v>82.554174989794149</v>
      </c>
      <c r="AA60" s="4" t="e">
        <f t="shared" si="15"/>
        <v>#DIV/0!</v>
      </c>
      <c r="AB60" s="4" t="e">
        <f t="shared" si="16"/>
        <v>#DIV/0!</v>
      </c>
      <c r="AC60" s="4" t="e">
        <f t="shared" si="17"/>
        <v>#DIV/0!</v>
      </c>
      <c r="AD60" s="4" t="e">
        <f t="shared" si="18"/>
        <v>#DIV/0!</v>
      </c>
      <c r="AE60" s="4">
        <f t="shared" si="57"/>
        <v>0.67471463969288425</v>
      </c>
      <c r="AF60" s="18">
        <f t="shared" si="14"/>
        <v>0.27512196077883228</v>
      </c>
      <c r="AG60" s="18">
        <f t="shared" si="58"/>
        <v>6.1244081742178776E-2</v>
      </c>
      <c r="AH60" s="18">
        <f t="shared" si="59"/>
        <v>1.1036053654321058E-2</v>
      </c>
    </row>
    <row r="61" spans="1:44">
      <c r="A61" s="53">
        <v>520</v>
      </c>
      <c r="E61" s="57" t="s">
        <v>23</v>
      </c>
      <c r="F61" s="57">
        <v>4</v>
      </c>
      <c r="G61" s="57">
        <v>9</v>
      </c>
      <c r="I61" s="7">
        <v>79.3</v>
      </c>
      <c r="J61" s="7">
        <v>87.2</v>
      </c>
      <c r="K61" s="7">
        <v>45.5</v>
      </c>
      <c r="L61" s="19">
        <v>-17.2</v>
      </c>
      <c r="M61" s="7">
        <v>0.6</v>
      </c>
      <c r="N61" s="7">
        <v>16.5</v>
      </c>
      <c r="O61" s="7">
        <v>0</v>
      </c>
      <c r="P61" s="4">
        <f t="shared" si="47"/>
        <v>23.755555555555556</v>
      </c>
      <c r="Q61" s="4">
        <f t="shared" si="48"/>
        <v>23.128577530969672</v>
      </c>
      <c r="R61" s="4">
        <f t="shared" si="49"/>
        <v>23.442066543262612</v>
      </c>
      <c r="S61" s="4">
        <f t="shared" si="50"/>
        <v>48.25</v>
      </c>
      <c r="T61" s="4">
        <f t="shared" si="51"/>
        <v>5414.4</v>
      </c>
      <c r="U61" s="4">
        <f t="shared" si="52"/>
        <v>45.303333333333327</v>
      </c>
      <c r="V61" s="4">
        <f t="shared" si="53"/>
        <v>40.380407780314961</v>
      </c>
      <c r="W61" s="4">
        <f t="shared" si="54"/>
        <v>42.841870556824148</v>
      </c>
      <c r="X61" s="7">
        <f t="shared" si="55"/>
        <v>0.54717654104691282</v>
      </c>
      <c r="Y61" s="4">
        <f t="shared" si="56"/>
        <v>-6.785280273197275E-2</v>
      </c>
      <c r="Z61" s="4">
        <f t="shared" si="13"/>
        <v>79.869859130526493</v>
      </c>
      <c r="AA61" s="4" t="e">
        <f t="shared" si="15"/>
        <v>#DIV/0!</v>
      </c>
      <c r="AB61" s="4" t="e">
        <f t="shared" si="16"/>
        <v>#DIV/0!</v>
      </c>
      <c r="AC61" s="4" t="e">
        <f t="shared" si="17"/>
        <v>#DIV/0!</v>
      </c>
      <c r="AD61" s="4" t="e">
        <f t="shared" si="18"/>
        <v>#DIV/0!</v>
      </c>
      <c r="AE61" s="4">
        <f t="shared" si="57"/>
        <v>0.636676947832016</v>
      </c>
      <c r="AF61" s="18">
        <f t="shared" si="14"/>
        <v>0.25861500242362156</v>
      </c>
      <c r="AG61" s="18">
        <f t="shared" si="58"/>
        <v>5.745460561168482E-2</v>
      </c>
      <c r="AH61" s="18">
        <f t="shared" si="59"/>
        <v>1.3372925621313916E-2</v>
      </c>
    </row>
    <row r="62" spans="1:44">
      <c r="A62" s="53">
        <v>540</v>
      </c>
      <c r="E62" s="57" t="s">
        <v>124</v>
      </c>
      <c r="F62" s="57">
        <v>4</v>
      </c>
      <c r="G62" s="57">
        <v>9</v>
      </c>
      <c r="I62" s="7">
        <v>76.5</v>
      </c>
      <c r="J62" s="7">
        <v>84.9</v>
      </c>
      <c r="K62" s="7">
        <v>43.9</v>
      </c>
      <c r="L62" s="19">
        <v>-21</v>
      </c>
      <c r="M62" s="19">
        <v>-2</v>
      </c>
      <c r="N62" s="7">
        <v>15.3</v>
      </c>
      <c r="O62" s="7">
        <v>0</v>
      </c>
      <c r="P62" s="4">
        <f t="shared" si="47"/>
        <v>20.87777777777778</v>
      </c>
      <c r="Q62" s="4">
        <f t="shared" si="48"/>
        <v>20.162666095156453</v>
      </c>
      <c r="R62" s="4">
        <f t="shared" si="49"/>
        <v>20.520221936467117</v>
      </c>
      <c r="S62" s="4">
        <f t="shared" si="50"/>
        <v>48.75</v>
      </c>
      <c r="T62" s="4">
        <f t="shared" si="51"/>
        <v>4703.9500000000007</v>
      </c>
      <c r="U62" s="4">
        <f t="shared" si="52"/>
        <v>44.836666666666666</v>
      </c>
      <c r="V62" s="4">
        <f t="shared" si="53"/>
        <v>40.372191592560661</v>
      </c>
      <c r="W62" s="4">
        <f t="shared" si="54"/>
        <v>42.604429129613663</v>
      </c>
      <c r="X62" s="7">
        <f t="shared" si="55"/>
        <v>0.48164527387608713</v>
      </c>
      <c r="Y62" s="4">
        <f t="shared" si="56"/>
        <v>-0.11351303651031644</v>
      </c>
      <c r="Z62" s="4">
        <f t="shared" si="13"/>
        <v>75.536542020645285</v>
      </c>
      <c r="AA62" s="4" t="e">
        <f t="shared" si="15"/>
        <v>#DIV/0!</v>
      </c>
      <c r="AB62" s="4" t="e">
        <f t="shared" si="16"/>
        <v>#DIV/0!</v>
      </c>
      <c r="AC62" s="4" t="e">
        <f t="shared" si="17"/>
        <v>#DIV/0!</v>
      </c>
      <c r="AD62" s="4" t="e">
        <f t="shared" si="18"/>
        <v>#DIV/0!</v>
      </c>
      <c r="AE62" s="4">
        <f t="shared" si="57"/>
        <v>0.58838174908882035</v>
      </c>
      <c r="AF62" s="18">
        <f t="shared" si="14"/>
        <v>0.23710559030376707</v>
      </c>
      <c r="AG62" s="18">
        <f t="shared" si="58"/>
        <v>5.2394494719362632E-2</v>
      </c>
      <c r="AH62" s="18">
        <f t="shared" si="59"/>
        <v>1.7424560144509937E-2</v>
      </c>
    </row>
    <row r="63" spans="1:44">
      <c r="A63" s="53">
        <v>550</v>
      </c>
      <c r="E63" s="57" t="s">
        <v>23</v>
      </c>
      <c r="F63" s="57">
        <v>4</v>
      </c>
      <c r="G63" s="57">
        <v>9</v>
      </c>
      <c r="I63" s="7">
        <v>74.5</v>
      </c>
      <c r="J63" s="7">
        <v>83.3</v>
      </c>
      <c r="K63" s="7">
        <v>42.9</v>
      </c>
      <c r="L63" s="19">
        <v>-23.5</v>
      </c>
      <c r="M63" s="19">
        <v>-3.7</v>
      </c>
      <c r="N63" s="7">
        <v>14.3</v>
      </c>
      <c r="O63" s="7">
        <v>0</v>
      </c>
      <c r="P63" s="4">
        <f t="shared" si="47"/>
        <v>18.944444444444443</v>
      </c>
      <c r="Q63" s="4">
        <f t="shared" si="48"/>
        <v>18.162306368330466</v>
      </c>
      <c r="R63" s="4">
        <f t="shared" si="49"/>
        <v>18.553375406387453</v>
      </c>
      <c r="S63" s="4">
        <f t="shared" si="50"/>
        <v>49</v>
      </c>
      <c r="T63" s="4">
        <f t="shared" si="51"/>
        <v>4220.92</v>
      </c>
      <c r="U63" s="4">
        <f t="shared" si="52"/>
        <v>44.506666666666661</v>
      </c>
      <c r="V63" s="4">
        <f t="shared" si="53"/>
        <v>40.391624804604405</v>
      </c>
      <c r="W63" s="4">
        <f t="shared" si="54"/>
        <v>42.449145735635533</v>
      </c>
      <c r="X63" s="7">
        <f t="shared" si="55"/>
        <v>0.43707299840458563</v>
      </c>
      <c r="Y63" s="4">
        <f t="shared" si="56"/>
        <v>-0.14900816543404621</v>
      </c>
      <c r="Z63" s="4">
        <f t="shared" si="13"/>
        <v>72.247752810652031</v>
      </c>
      <c r="AA63" s="4" t="e">
        <f t="shared" si="15"/>
        <v>#DIV/0!</v>
      </c>
      <c r="AB63" s="4" t="e">
        <f t="shared" si="16"/>
        <v>#DIV/0!</v>
      </c>
      <c r="AC63" s="4" t="e">
        <f t="shared" si="17"/>
        <v>#DIV/0!</v>
      </c>
      <c r="AD63" s="4" t="e">
        <f t="shared" si="18"/>
        <v>#DIV/0!</v>
      </c>
      <c r="AE63" s="4">
        <f t="shared" si="57"/>
        <v>0.55245676789989151</v>
      </c>
      <c r="AF63" s="18">
        <f t="shared" si="14"/>
        <v>0.22099480370831751</v>
      </c>
      <c r="AG63" s="18">
        <f t="shared" si="58"/>
        <v>4.8470255299009814E-2</v>
      </c>
      <c r="AH63" s="18">
        <f t="shared" si="59"/>
        <v>2.1078053426459183E-2</v>
      </c>
    </row>
    <row r="64" spans="1:44">
      <c r="A64" s="53">
        <v>560</v>
      </c>
      <c r="E64" s="57" t="s">
        <v>23</v>
      </c>
      <c r="F64" s="57">
        <v>4</v>
      </c>
      <c r="G64" s="57">
        <v>9</v>
      </c>
      <c r="I64" s="7">
        <v>72.3</v>
      </c>
      <c r="J64" s="7">
        <v>81.400000000000006</v>
      </c>
      <c r="K64" s="7">
        <v>41.8</v>
      </c>
      <c r="L64" s="19">
        <v>-26.6</v>
      </c>
      <c r="M64" s="19">
        <v>-5.7</v>
      </c>
      <c r="N64" s="7">
        <v>13.4</v>
      </c>
      <c r="O64" s="7">
        <v>0</v>
      </c>
      <c r="P64" s="4">
        <f t="shared" si="47"/>
        <v>16.666666666666668</v>
      </c>
      <c r="Q64" s="4">
        <f t="shared" si="48"/>
        <v>15.801988759187202</v>
      </c>
      <c r="R64" s="4">
        <f t="shared" si="49"/>
        <v>16.234327712926934</v>
      </c>
      <c r="S64" s="4">
        <f t="shared" si="50"/>
        <v>49.45</v>
      </c>
      <c r="T64" s="4">
        <f t="shared" si="51"/>
        <v>3655</v>
      </c>
      <c r="U64" s="4">
        <f t="shared" si="52"/>
        <v>44.210000000000008</v>
      </c>
      <c r="V64" s="4">
        <f t="shared" si="53"/>
        <v>40.305975817453614</v>
      </c>
      <c r="W64" s="4">
        <f t="shared" si="54"/>
        <v>42.257987908726811</v>
      </c>
      <c r="X64" s="7">
        <f t="shared" si="55"/>
        <v>0.384171810262039</v>
      </c>
      <c r="Y64" s="4">
        <f t="shared" si="56"/>
        <v>-0.19685911587271979</v>
      </c>
      <c r="Z64" s="4">
        <f t="shared" si="13"/>
        <v>67.878235540909543</v>
      </c>
      <c r="AA64" s="4" t="e">
        <f t="shared" si="15"/>
        <v>#DIV/0!</v>
      </c>
      <c r="AB64" s="4" t="e">
        <f t="shared" si="16"/>
        <v>#DIV/0!</v>
      </c>
      <c r="AC64" s="4" t="e">
        <f t="shared" si="17"/>
        <v>#DIV/0!</v>
      </c>
      <c r="AD64" s="4" t="e">
        <f t="shared" si="18"/>
        <v>#DIV/0!</v>
      </c>
      <c r="AE64" s="4">
        <f t="shared" si="57"/>
        <v>0.53901799484165824</v>
      </c>
      <c r="AF64" s="18">
        <f t="shared" si="14"/>
        <v>0.21348161487808709</v>
      </c>
      <c r="AG64" s="18">
        <f t="shared" si="58"/>
        <v>4.6192736281939289E-2</v>
      </c>
      <c r="AH64" s="18">
        <f t="shared" si="59"/>
        <v>2.6631158455392882E-2</v>
      </c>
    </row>
    <row r="65" spans="1:36">
      <c r="A65" s="53">
        <v>565</v>
      </c>
      <c r="E65" s="57" t="s">
        <v>124</v>
      </c>
      <c r="F65" s="57">
        <v>4</v>
      </c>
      <c r="G65" s="57">
        <v>9</v>
      </c>
      <c r="I65" s="7">
        <v>70.599999999999994</v>
      </c>
      <c r="J65" s="7">
        <v>80.3</v>
      </c>
      <c r="K65" s="7">
        <v>41.2</v>
      </c>
      <c r="L65" s="19">
        <v>-28.5</v>
      </c>
      <c r="M65" s="19">
        <v>-7</v>
      </c>
      <c r="N65" s="7">
        <v>12.7</v>
      </c>
      <c r="O65" s="7">
        <v>0</v>
      </c>
      <c r="P65" s="4">
        <f t="shared" si="47"/>
        <v>15.166666666666666</v>
      </c>
      <c r="Q65" s="4">
        <f t="shared" si="48"/>
        <v>14.22899869960988</v>
      </c>
      <c r="R65" s="4">
        <f t="shared" si="49"/>
        <v>14.697832683138273</v>
      </c>
      <c r="S65" s="4">
        <f t="shared" si="50"/>
        <v>49.55</v>
      </c>
      <c r="T65" s="4">
        <f t="shared" si="51"/>
        <v>3282.6299999999992</v>
      </c>
      <c r="U65" s="4">
        <f t="shared" si="52"/>
        <v>43.989999999999995</v>
      </c>
      <c r="V65" s="4">
        <f t="shared" si="53"/>
        <v>40.239667958683377</v>
      </c>
      <c r="W65" s="4">
        <f t="shared" si="54"/>
        <v>42.114833979341682</v>
      </c>
      <c r="X65" s="7">
        <f t="shared" si="55"/>
        <v>0.34899419739723792</v>
      </c>
      <c r="Y65" s="4">
        <f t="shared" si="56"/>
        <v>-0.23278590923137413</v>
      </c>
      <c r="Z65" s="4">
        <f t="shared" si="13"/>
        <v>64.622188118664525</v>
      </c>
      <c r="AA65" s="4" t="e">
        <f t="shared" si="15"/>
        <v>#DIV/0!</v>
      </c>
      <c r="AB65" s="4" t="e">
        <f t="shared" si="16"/>
        <v>#DIV/0!</v>
      </c>
      <c r="AC65" s="4" t="e">
        <f t="shared" si="17"/>
        <v>#DIV/0!</v>
      </c>
      <c r="AD65" s="4" t="e">
        <f t="shared" si="18"/>
        <v>#DIV/0!</v>
      </c>
      <c r="AE65" s="4">
        <f t="shared" si="57"/>
        <v>0.53189775743984846</v>
      </c>
      <c r="AF65" s="18">
        <f t="shared" si="14"/>
        <v>0.20922442524694954</v>
      </c>
      <c r="AG65" s="18">
        <f t="shared" si="58"/>
        <v>4.4525072129647292E-2</v>
      </c>
      <c r="AH65" s="18">
        <f t="shared" si="59"/>
        <v>3.1898171222635517E-2</v>
      </c>
    </row>
    <row r="66" spans="1:36">
      <c r="A66" s="53">
        <v>570</v>
      </c>
      <c r="E66" s="57" t="s">
        <v>23</v>
      </c>
      <c r="F66" s="57">
        <v>4</v>
      </c>
      <c r="G66" s="57">
        <v>9</v>
      </c>
      <c r="I66" s="7">
        <v>68.5</v>
      </c>
      <c r="J66" s="7">
        <v>79.099999999999994</v>
      </c>
      <c r="K66" s="7">
        <v>40.5</v>
      </c>
      <c r="L66" s="19">
        <v>-30.6</v>
      </c>
      <c r="M66" s="19">
        <v>-8.6999999999999993</v>
      </c>
      <c r="N66" s="7">
        <v>11.8</v>
      </c>
      <c r="O66" s="7">
        <v>0</v>
      </c>
      <c r="P66" s="4">
        <f t="shared" si="47"/>
        <v>13.344444444444443</v>
      </c>
      <c r="Q66" s="4">
        <f t="shared" si="48"/>
        <v>12.327890861844955</v>
      </c>
      <c r="R66" s="4">
        <f t="shared" si="49"/>
        <v>12.836167653144699</v>
      </c>
      <c r="S66" s="4">
        <f t="shared" si="50"/>
        <v>49.55</v>
      </c>
      <c r="T66" s="4">
        <f t="shared" si="51"/>
        <v>2846.5099999999998</v>
      </c>
      <c r="U66" s="4">
        <f t="shared" si="52"/>
        <v>43.716666666666669</v>
      </c>
      <c r="V66" s="4">
        <f t="shared" si="53"/>
        <v>40.139591360330662</v>
      </c>
      <c r="W66" s="4">
        <f t="shared" si="54"/>
        <v>41.928129013498662</v>
      </c>
      <c r="X66" s="7">
        <f t="shared" si="55"/>
        <v>0.30614692224907353</v>
      </c>
      <c r="Y66" s="4">
        <f t="shared" si="56"/>
        <v>-0.28188496929373502</v>
      </c>
      <c r="Z66" s="4">
        <f t="shared" si="13"/>
        <v>60.21843930796966</v>
      </c>
      <c r="AA66" s="4" t="e">
        <f t="shared" si="15"/>
        <v>#DIV/0!</v>
      </c>
      <c r="AB66" s="4" t="e">
        <f t="shared" si="16"/>
        <v>#DIV/0!</v>
      </c>
      <c r="AC66" s="4" t="e">
        <f t="shared" si="17"/>
        <v>#DIV/0!</v>
      </c>
      <c r="AD66" s="4" t="e">
        <f t="shared" si="18"/>
        <v>#DIV/0!</v>
      </c>
      <c r="AE66" s="4">
        <f t="shared" si="57"/>
        <v>0.52803908866766047</v>
      </c>
      <c r="AF66" s="18">
        <f t="shared" si="14"/>
        <v>0.20667683977389695</v>
      </c>
      <c r="AG66" s="18">
        <f t="shared" si="58"/>
        <v>4.2657225477249115E-2</v>
      </c>
      <c r="AH66" s="18">
        <f t="shared" si="59"/>
        <v>3.9597238446416126E-2</v>
      </c>
    </row>
    <row r="67" spans="1:36">
      <c r="A67" s="53">
        <v>573</v>
      </c>
      <c r="E67" s="57" t="s">
        <v>23</v>
      </c>
      <c r="F67" s="57">
        <v>4</v>
      </c>
      <c r="G67" s="57">
        <v>9</v>
      </c>
      <c r="I67" s="7">
        <v>67.2</v>
      </c>
      <c r="J67" s="7">
        <v>78.3</v>
      </c>
      <c r="K67" s="7">
        <v>39.4</v>
      </c>
      <c r="L67" s="19">
        <v>-31</v>
      </c>
      <c r="M67" s="19">
        <v>-8.6999999999999993</v>
      </c>
      <c r="N67" s="7">
        <v>10</v>
      </c>
      <c r="O67" s="7">
        <v>0</v>
      </c>
      <c r="P67" s="4">
        <f t="shared" si="47"/>
        <v>12.877777777777778</v>
      </c>
      <c r="Q67" s="4">
        <f t="shared" si="48"/>
        <v>11.788576449912124</v>
      </c>
      <c r="R67" s="4">
        <f t="shared" si="49"/>
        <v>12.33317711384495</v>
      </c>
      <c r="S67" s="4">
        <f t="shared" si="50"/>
        <v>49.1</v>
      </c>
      <c r="T67" s="4">
        <f t="shared" si="51"/>
        <v>2683.08</v>
      </c>
      <c r="U67" s="4">
        <f t="shared" si="52"/>
        <v>42.986666666666665</v>
      </c>
      <c r="V67" s="4">
        <f t="shared" si="53"/>
        <v>39.910695276326159</v>
      </c>
      <c r="W67" s="4">
        <f t="shared" si="54"/>
        <v>41.448680971496415</v>
      </c>
      <c r="X67" s="7">
        <f t="shared" si="55"/>
        <v>0.29755294558893869</v>
      </c>
      <c r="Y67" s="4">
        <f t="shared" si="56"/>
        <v>-0.2925358605898643</v>
      </c>
      <c r="Z67" s="4">
        <f t="shared" ref="Z67:Z83" si="60">9*W67*R67/(W67+3*R67)</f>
        <v>58.646910826369954</v>
      </c>
      <c r="AA67" s="4" t="e">
        <f>SQRT((R67+4/3*W67)/H67)</f>
        <v>#DIV/0!</v>
      </c>
      <c r="AB67" s="4" t="e">
        <f>SQRT(R67/H67)</f>
        <v>#DIV/0!</v>
      </c>
      <c r="AC67" s="4" t="e">
        <f>SQRT(W67/H67)</f>
        <v>#DIV/0!</v>
      </c>
      <c r="AD67" s="4" t="e">
        <f>AA67/AC67</f>
        <v>#DIV/0!</v>
      </c>
      <c r="AE67" s="4">
        <f t="shared" si="57"/>
        <v>0.47775142260531034</v>
      </c>
      <c r="AF67" s="18">
        <f t="shared" ref="AF67:AF77" si="61">SQRT((LN(P67/Q67))^2+5*(LN(U67/V67))^2)</f>
        <v>0.18807373529290872</v>
      </c>
      <c r="AG67" s="18">
        <f t="shared" si="58"/>
        <v>3.710578139333072E-2</v>
      </c>
      <c r="AH67" s="18">
        <f t="shared" si="59"/>
        <v>4.4157369906045567E-2</v>
      </c>
    </row>
    <row r="68" spans="1:36">
      <c r="A68" s="53" t="s">
        <v>471</v>
      </c>
      <c r="L68" s="19"/>
      <c r="M68" s="19"/>
      <c r="N68" s="7"/>
      <c r="O68" s="7"/>
      <c r="P68" s="4"/>
      <c r="Q68" s="4"/>
      <c r="R68" s="4"/>
      <c r="S68" s="4"/>
      <c r="T68" s="4"/>
      <c r="U68" s="4"/>
      <c r="V68" s="4"/>
      <c r="W68" s="4"/>
      <c r="X68" s="7"/>
      <c r="Y68" s="4"/>
      <c r="Z68" s="4"/>
      <c r="AA68" s="4"/>
      <c r="AB68" s="4"/>
      <c r="AC68" s="4"/>
      <c r="AD68" s="4"/>
      <c r="AE68" s="4"/>
      <c r="AF68" s="18" t="e">
        <f t="shared" si="61"/>
        <v>#DIV/0!</v>
      </c>
      <c r="AG68" s="18"/>
      <c r="AH68" s="18"/>
    </row>
    <row r="69" spans="1:36">
      <c r="A69" s="53">
        <v>450</v>
      </c>
      <c r="E69" s="57" t="s">
        <v>23</v>
      </c>
      <c r="F69" s="57">
        <v>4</v>
      </c>
      <c r="G69" s="57">
        <v>5</v>
      </c>
      <c r="H69">
        <f t="shared" ref="H69:H77" si="62">W69/(AC69*AC69)</f>
        <v>3.0006104591639646</v>
      </c>
      <c r="I69" s="7">
        <v>255.3</v>
      </c>
      <c r="J69" s="7">
        <v>152.5</v>
      </c>
      <c r="K69" s="7">
        <v>54.3</v>
      </c>
      <c r="L69" s="19">
        <v>73</v>
      </c>
      <c r="M69" s="19">
        <v>54.4</v>
      </c>
      <c r="N69" s="7">
        <v>17.600000000000001</v>
      </c>
      <c r="O69" s="7">
        <v>0</v>
      </c>
      <c r="P69" s="4">
        <f t="shared" ref="P69:P77" si="63">(2*I69+2*L69+4*M69+J69)/9</f>
        <v>114.07777777777778</v>
      </c>
      <c r="Q69" s="4">
        <f t="shared" ref="Q69:Q77" si="64">((I69+L69)*J69-2*M69*M69)/(I69+L69+2*J69-4*M69)</f>
        <v>106.19925426990619</v>
      </c>
      <c r="R69" s="4">
        <f t="shared" ref="R69:R77" si="65">0.5*(P69+Q69)</f>
        <v>110.13851602384199</v>
      </c>
      <c r="S69" s="4">
        <f t="shared" ref="S69:S77" si="66">0.5*(I69-L69)</f>
        <v>91.15</v>
      </c>
      <c r="T69" s="4">
        <f t="shared" ref="T69:T77" si="67">(I69+L69)*J69-2*M69*M69</f>
        <v>44147.03</v>
      </c>
      <c r="U69" s="4">
        <f t="shared" ref="U69:U77" si="68">(I69+L69+2*J69-4*M69+12*K69+6*(I69-L69))/30</f>
        <v>72.036666666666662</v>
      </c>
      <c r="V69" s="4">
        <f t="shared" ref="V69:V77" si="69">(5*T69*(K69*S69-N69*N69))/(6*P69*(K69*S69-N69*N69)+2*T69*(K69+S69))</f>
        <v>63.936596412440231</v>
      </c>
      <c r="W69" s="4">
        <f t="shared" ref="W69:W77" si="70">0.5*(U69+V69)</f>
        <v>67.986631539553443</v>
      </c>
      <c r="X69" s="7">
        <f t="shared" ref="X69:X77" si="71">R69/W69</f>
        <v>1.6200025435848415</v>
      </c>
      <c r="Y69" s="4">
        <f t="shared" ref="Y69:Y77" si="72">(3*R69-2*W69)/(2*(3*R69+W69))</f>
        <v>0.24402763707547209</v>
      </c>
      <c r="Z69" s="4">
        <f t="shared" si="60"/>
        <v>169.15449717374284</v>
      </c>
      <c r="AA69" s="4">
        <v>8.8000000000000007</v>
      </c>
      <c r="AB69" s="4"/>
      <c r="AC69" s="4">
        <v>4.76</v>
      </c>
      <c r="AD69" s="4">
        <f t="shared" ref="AD69:AD77" si="73">AA69/AC69</f>
        <v>1.8487394957983196</v>
      </c>
      <c r="AE69" s="4">
        <f t="shared" ref="AE69:AE77" si="74">5*U69/V69 +P69/Q69 - 6</f>
        <v>0.70763177244335207</v>
      </c>
      <c r="AF69" s="18">
        <f t="shared" si="61"/>
        <v>0.27615917819752039</v>
      </c>
      <c r="AG69" s="18">
        <f t="shared" ref="AG69:AG77" si="75">(U69-V69)/(U69+V69)</f>
        <v>5.9571051475862211E-2</v>
      </c>
      <c r="AH69" s="18">
        <f t="shared" ref="AH69:AH77" si="76">(P69-Q69)/(P69+Q69)</f>
        <v>3.5766432090687084E-2</v>
      </c>
      <c r="AI69" s="43">
        <v>26.8</v>
      </c>
      <c r="AJ69" s="7">
        <v>36.200000000000003</v>
      </c>
    </row>
    <row r="70" spans="1:36">
      <c r="A70" s="53">
        <v>600</v>
      </c>
      <c r="E70" s="57" t="s">
        <v>23</v>
      </c>
      <c r="F70" s="57">
        <v>4</v>
      </c>
      <c r="G70" s="57">
        <v>5</v>
      </c>
      <c r="H70">
        <f t="shared" si="62"/>
        <v>2.9820573804164274</v>
      </c>
      <c r="I70" s="7">
        <v>251.3</v>
      </c>
      <c r="J70" s="7">
        <v>145</v>
      </c>
      <c r="K70" s="7">
        <v>51.5</v>
      </c>
      <c r="L70" s="19">
        <v>71.599999999999994</v>
      </c>
      <c r="M70" s="19">
        <v>52.7</v>
      </c>
      <c r="N70" s="7">
        <v>16.100000000000001</v>
      </c>
      <c r="O70" s="7">
        <v>0</v>
      </c>
      <c r="P70" s="4">
        <f t="shared" si="63"/>
        <v>111.28888888888888</v>
      </c>
      <c r="Q70" s="4">
        <f t="shared" si="64"/>
        <v>102.62601342949516</v>
      </c>
      <c r="R70" s="4">
        <f t="shared" si="65"/>
        <v>106.95745115919202</v>
      </c>
      <c r="S70" s="4">
        <f t="shared" si="66"/>
        <v>89.850000000000009</v>
      </c>
      <c r="T70" s="4">
        <f t="shared" si="67"/>
        <v>41265.919999999998</v>
      </c>
      <c r="U70" s="4">
        <f t="shared" si="68"/>
        <v>69.943333333333342</v>
      </c>
      <c r="V70" s="4">
        <f t="shared" si="69"/>
        <v>61.80396173346444</v>
      </c>
      <c r="W70" s="4">
        <f t="shared" si="70"/>
        <v>65.873647533398895</v>
      </c>
      <c r="X70" s="7">
        <f t="shared" si="71"/>
        <v>1.6236758577086996</v>
      </c>
      <c r="Y70" s="4">
        <f t="shared" si="72"/>
        <v>0.24450809823035677</v>
      </c>
      <c r="Z70" s="4">
        <f t="shared" si="60"/>
        <v>163.96057563057417</v>
      </c>
      <c r="AA70" s="4">
        <v>8.08</v>
      </c>
      <c r="AB70" s="4"/>
      <c r="AC70" s="4">
        <v>4.7</v>
      </c>
      <c r="AD70" s="4">
        <f t="shared" si="73"/>
        <v>1.7191489361702128</v>
      </c>
      <c r="AE70" s="4">
        <f t="shared" si="74"/>
        <v>0.74289507980393132</v>
      </c>
      <c r="AF70" s="18">
        <f t="shared" si="61"/>
        <v>0.28826684806069258</v>
      </c>
      <c r="AG70" s="18">
        <f t="shared" si="75"/>
        <v>6.178017997061816E-2</v>
      </c>
      <c r="AH70" s="18">
        <f t="shared" si="76"/>
        <v>4.0496830120325948E-2</v>
      </c>
      <c r="AI70" s="43">
        <v>28.2</v>
      </c>
      <c r="AJ70" s="7">
        <v>36.6</v>
      </c>
    </row>
    <row r="71" spans="1:36">
      <c r="A71" s="53">
        <v>700</v>
      </c>
      <c r="E71" s="57" t="s">
        <v>23</v>
      </c>
      <c r="F71" s="57">
        <v>4</v>
      </c>
      <c r="G71" s="57">
        <v>5</v>
      </c>
      <c r="H71">
        <f t="shared" si="62"/>
        <v>2.9624058610302888</v>
      </c>
      <c r="I71" s="7">
        <v>245.6</v>
      </c>
      <c r="J71" s="7">
        <v>140.5</v>
      </c>
      <c r="K71" s="7">
        <v>48.2</v>
      </c>
      <c r="L71" s="19">
        <v>70.7</v>
      </c>
      <c r="M71" s="19">
        <v>50.3</v>
      </c>
      <c r="N71" s="7">
        <v>15.5</v>
      </c>
      <c r="O71" s="7">
        <v>0</v>
      </c>
      <c r="P71" s="4">
        <f t="shared" si="63"/>
        <v>108.25555555555555</v>
      </c>
      <c r="Q71" s="4">
        <f t="shared" si="64"/>
        <v>99.419262812421124</v>
      </c>
      <c r="R71" s="4">
        <f t="shared" si="65"/>
        <v>103.83740918398834</v>
      </c>
      <c r="S71" s="4">
        <f t="shared" si="66"/>
        <v>87.449999999999989</v>
      </c>
      <c r="T71" s="4">
        <f t="shared" si="67"/>
        <v>39379.97</v>
      </c>
      <c r="U71" s="4">
        <f t="shared" si="68"/>
        <v>67.463333333333324</v>
      </c>
      <c r="V71" s="4">
        <f t="shared" si="69"/>
        <v>58.998217987016481</v>
      </c>
      <c r="W71" s="4">
        <f t="shared" si="70"/>
        <v>63.230775660174899</v>
      </c>
      <c r="X71" s="7">
        <f t="shared" si="71"/>
        <v>1.6421973018652849</v>
      </c>
      <c r="Y71" s="4">
        <f t="shared" si="72"/>
        <v>0.24690344402088682</v>
      </c>
      <c r="Z71" s="4">
        <f t="shared" si="60"/>
        <v>157.6853438775683</v>
      </c>
      <c r="AA71" s="4">
        <v>7.97</v>
      </c>
      <c r="AB71" s="4"/>
      <c r="AC71" s="4">
        <v>4.62</v>
      </c>
      <c r="AD71" s="4">
        <f t="shared" si="73"/>
        <v>1.725108225108225</v>
      </c>
      <c r="AE71" s="4">
        <f t="shared" si="74"/>
        <v>0.80628340597636594</v>
      </c>
      <c r="AF71" s="18">
        <f t="shared" si="61"/>
        <v>0.3116625238603159</v>
      </c>
      <c r="AG71" s="18">
        <f t="shared" si="75"/>
        <v>6.6938253231396683E-2</v>
      </c>
      <c r="AH71" s="18">
        <f t="shared" si="76"/>
        <v>4.2548696142242402E-2</v>
      </c>
      <c r="AI71" s="43">
        <v>28.6</v>
      </c>
      <c r="AJ71" s="7">
        <v>38.200000000000003</v>
      </c>
    </row>
    <row r="72" spans="1:36">
      <c r="A72" s="55" t="s">
        <v>503</v>
      </c>
      <c r="B72" s="6"/>
      <c r="C72" s="6"/>
      <c r="D72" s="6"/>
      <c r="E72" s="57" t="s">
        <v>23</v>
      </c>
      <c r="F72" s="57">
        <v>4</v>
      </c>
      <c r="G72" s="57">
        <v>5</v>
      </c>
      <c r="H72">
        <f t="shared" si="62"/>
        <v>3.0823562447596591</v>
      </c>
      <c r="I72" s="7">
        <v>282.89999999999998</v>
      </c>
      <c r="J72" s="7">
        <v>161.4</v>
      </c>
      <c r="K72" s="7">
        <v>64.599999999999994</v>
      </c>
      <c r="L72" s="19">
        <v>86.4</v>
      </c>
      <c r="M72" s="19">
        <v>65.3</v>
      </c>
      <c r="N72" s="7">
        <v>22.9</v>
      </c>
      <c r="O72" s="7">
        <v>0</v>
      </c>
      <c r="P72" s="4">
        <f t="shared" si="63"/>
        <v>129.02222222222224</v>
      </c>
      <c r="Q72" s="4">
        <f t="shared" si="64"/>
        <v>118.53525179856116</v>
      </c>
      <c r="R72" s="4">
        <f t="shared" si="65"/>
        <v>123.77873701039169</v>
      </c>
      <c r="S72" s="4">
        <f t="shared" si="66"/>
        <v>98.249999999999986</v>
      </c>
      <c r="T72" s="4">
        <f t="shared" si="67"/>
        <v>51076.84</v>
      </c>
      <c r="U72" s="4">
        <f t="shared" si="68"/>
        <v>79.503333333333316</v>
      </c>
      <c r="V72" s="4">
        <f t="shared" si="69"/>
        <v>70.329387253184763</v>
      </c>
      <c r="W72" s="4">
        <f t="shared" si="70"/>
        <v>74.916360293259032</v>
      </c>
      <c r="X72" s="7">
        <f t="shared" si="71"/>
        <v>1.6522257157964106</v>
      </c>
      <c r="Y72" s="4">
        <f t="shared" si="72"/>
        <v>0.24818175253002603</v>
      </c>
      <c r="Z72" s="4">
        <f t="shared" si="60"/>
        <v>187.01846776802182</v>
      </c>
      <c r="AA72" s="4">
        <v>8.48</v>
      </c>
      <c r="AB72" s="4"/>
      <c r="AC72" s="4">
        <v>4.93</v>
      </c>
      <c r="AD72" s="4">
        <f t="shared" si="73"/>
        <v>1.7200811359026371</v>
      </c>
      <c r="AE72" s="4">
        <f t="shared" si="74"/>
        <v>0.74068417623289573</v>
      </c>
      <c r="AF72" s="18">
        <f t="shared" si="61"/>
        <v>0.28696997793780632</v>
      </c>
      <c r="AG72" s="18">
        <f t="shared" si="75"/>
        <v>6.1227921673165056E-2</v>
      </c>
      <c r="AH72" s="18">
        <f t="shared" si="76"/>
        <v>4.2361760496799447E-2</v>
      </c>
      <c r="AI72" s="43">
        <v>29.6</v>
      </c>
      <c r="AJ72" s="7">
        <v>36.1</v>
      </c>
    </row>
    <row r="73" spans="1:36">
      <c r="A73" s="55" t="s">
        <v>472</v>
      </c>
      <c r="B73" s="6"/>
      <c r="C73" s="6"/>
      <c r="D73" s="6"/>
      <c r="E73" s="57" t="s">
        <v>23</v>
      </c>
      <c r="F73" s="57">
        <v>4</v>
      </c>
      <c r="G73" s="57">
        <v>5</v>
      </c>
      <c r="H73">
        <f t="shared" si="62"/>
        <v>3.1287641017322287</v>
      </c>
      <c r="I73" s="7">
        <v>294.39999999999998</v>
      </c>
      <c r="J73" s="7">
        <v>171</v>
      </c>
      <c r="K73" s="7">
        <v>66.099999999999994</v>
      </c>
      <c r="L73" s="19">
        <v>89</v>
      </c>
      <c r="M73" s="19">
        <v>73.900000000000006</v>
      </c>
      <c r="N73" s="7">
        <v>23.9</v>
      </c>
      <c r="O73" s="7">
        <v>0</v>
      </c>
      <c r="P73" s="4">
        <f t="shared" si="63"/>
        <v>137.04444444444445</v>
      </c>
      <c r="Q73" s="4">
        <f t="shared" si="64"/>
        <v>127.12652396463471</v>
      </c>
      <c r="R73" s="4">
        <f t="shared" si="65"/>
        <v>132.08548420453957</v>
      </c>
      <c r="S73" s="4">
        <f t="shared" si="66"/>
        <v>102.69999999999999</v>
      </c>
      <c r="T73" s="4">
        <f t="shared" si="67"/>
        <v>54638.979999999996</v>
      </c>
      <c r="U73" s="4">
        <f t="shared" si="68"/>
        <v>81.84666666666665</v>
      </c>
      <c r="V73" s="4">
        <f t="shared" si="69"/>
        <v>72.098539183684579</v>
      </c>
      <c r="W73" s="4">
        <f t="shared" si="70"/>
        <v>76.972602925175607</v>
      </c>
      <c r="X73" s="7">
        <f t="shared" si="71"/>
        <v>1.7160064644421433</v>
      </c>
      <c r="Y73" s="4">
        <f t="shared" si="72"/>
        <v>0.25601898692313424</v>
      </c>
      <c r="Z73" s="4">
        <f t="shared" si="60"/>
        <v>193.35810149383147</v>
      </c>
      <c r="AA73" s="4">
        <v>8.65</v>
      </c>
      <c r="AB73" s="4"/>
      <c r="AC73" s="4">
        <v>4.96</v>
      </c>
      <c r="AD73" s="4">
        <f t="shared" si="73"/>
        <v>1.743951612903226</v>
      </c>
      <c r="AE73" s="4">
        <f t="shared" si="74"/>
        <v>0.7540442238807028</v>
      </c>
      <c r="AF73" s="18">
        <f t="shared" si="61"/>
        <v>0.29334633868747789</v>
      </c>
      <c r="AG73" s="18">
        <f t="shared" si="75"/>
        <v>6.3322059489518231E-2</v>
      </c>
      <c r="AH73" s="18">
        <f t="shared" si="76"/>
        <v>3.7543567105570233E-2</v>
      </c>
      <c r="AI73" s="43">
        <v>28.9</v>
      </c>
      <c r="AJ73" s="7">
        <v>36.9</v>
      </c>
    </row>
    <row r="74" spans="1:36">
      <c r="A74" s="55" t="s">
        <v>473</v>
      </c>
      <c r="B74" s="6"/>
      <c r="C74" s="6"/>
      <c r="D74" s="6"/>
      <c r="E74" s="57" t="s">
        <v>23</v>
      </c>
      <c r="F74" s="57">
        <v>4</v>
      </c>
      <c r="G74" s="57">
        <v>5</v>
      </c>
      <c r="H74">
        <f t="shared" si="62"/>
        <v>3.210653271521732</v>
      </c>
      <c r="I74" s="7">
        <v>322.3</v>
      </c>
      <c r="J74" s="7">
        <v>187.3</v>
      </c>
      <c r="K74" s="7">
        <v>72.3</v>
      </c>
      <c r="L74" s="19">
        <v>103.7</v>
      </c>
      <c r="M74" s="19">
        <v>88.5</v>
      </c>
      <c r="N74" s="7">
        <v>28.2</v>
      </c>
      <c r="O74" s="7">
        <v>0</v>
      </c>
      <c r="P74" s="4">
        <f t="shared" si="63"/>
        <v>154.8111111111111</v>
      </c>
      <c r="Q74" s="4">
        <f t="shared" si="64"/>
        <v>143.58553515450066</v>
      </c>
      <c r="R74" s="4">
        <f t="shared" si="65"/>
        <v>149.19832313280588</v>
      </c>
      <c r="S74" s="4">
        <f t="shared" si="66"/>
        <v>109.30000000000001</v>
      </c>
      <c r="T74" s="4">
        <f t="shared" si="67"/>
        <v>64125.3</v>
      </c>
      <c r="U74" s="4">
        <f t="shared" si="68"/>
        <v>87.526666666666671</v>
      </c>
      <c r="V74" s="4">
        <f t="shared" si="69"/>
        <v>76.232703447299244</v>
      </c>
      <c r="W74" s="4">
        <f t="shared" si="70"/>
        <v>81.879685056982964</v>
      </c>
      <c r="X74" s="7">
        <f t="shared" si="71"/>
        <v>1.8221653274432297</v>
      </c>
      <c r="Y74" s="4">
        <f t="shared" si="72"/>
        <v>0.26803511451968859</v>
      </c>
      <c r="Z74" s="4">
        <f t="shared" si="60"/>
        <v>207.6526316361348</v>
      </c>
      <c r="AA74" s="4">
        <v>8.98</v>
      </c>
      <c r="AB74" s="4"/>
      <c r="AC74" s="4">
        <v>5.05</v>
      </c>
      <c r="AD74" s="4">
        <f t="shared" si="73"/>
        <v>1.7782178217821785</v>
      </c>
      <c r="AE74" s="4">
        <f t="shared" si="74"/>
        <v>0.81893619479718538</v>
      </c>
      <c r="AF74" s="18">
        <f t="shared" si="61"/>
        <v>0.31795832783986555</v>
      </c>
      <c r="AG74" s="18">
        <f t="shared" si="75"/>
        <v>6.8966821327583028E-2</v>
      </c>
      <c r="AH74" s="18">
        <f t="shared" si="76"/>
        <v>3.7619645184008607E-2</v>
      </c>
      <c r="AI74" s="43">
        <v>29.1</v>
      </c>
      <c r="AJ74" s="7">
        <v>39.200000000000003</v>
      </c>
    </row>
    <row r="75" spans="1:36">
      <c r="A75" s="55" t="s">
        <v>474</v>
      </c>
      <c r="B75" s="6"/>
      <c r="C75" s="6"/>
      <c r="D75" s="6"/>
      <c r="E75" s="57" t="s">
        <v>23</v>
      </c>
      <c r="F75" s="57">
        <v>4</v>
      </c>
      <c r="G75" s="57">
        <v>5</v>
      </c>
      <c r="H75">
        <f t="shared" si="62"/>
        <v>3.2630736493062016</v>
      </c>
      <c r="I75" s="7">
        <v>342.3</v>
      </c>
      <c r="J75" s="7">
        <v>197.2</v>
      </c>
      <c r="K75" s="7">
        <v>78.5</v>
      </c>
      <c r="L75" s="19">
        <v>112.4</v>
      </c>
      <c r="M75" s="19">
        <v>98.5</v>
      </c>
      <c r="N75" s="7">
        <v>32</v>
      </c>
      <c r="O75" s="7">
        <v>0</v>
      </c>
      <c r="P75" s="4">
        <f t="shared" si="63"/>
        <v>166.73333333333335</v>
      </c>
      <c r="Q75" s="4">
        <f t="shared" si="64"/>
        <v>154.38879367172052</v>
      </c>
      <c r="R75" s="4">
        <f t="shared" si="65"/>
        <v>160.56106350252693</v>
      </c>
      <c r="S75" s="4">
        <f t="shared" si="66"/>
        <v>114.95</v>
      </c>
      <c r="T75" s="4">
        <f t="shared" si="67"/>
        <v>70262.340000000011</v>
      </c>
      <c r="U75" s="4">
        <f t="shared" si="68"/>
        <v>92.55</v>
      </c>
      <c r="V75" s="4">
        <f t="shared" si="69"/>
        <v>79.868201170420235</v>
      </c>
      <c r="W75" s="4">
        <f t="shared" si="70"/>
        <v>86.209100585210109</v>
      </c>
      <c r="X75" s="7">
        <f t="shared" si="71"/>
        <v>1.8624607194901246</v>
      </c>
      <c r="Y75" s="4">
        <f t="shared" si="72"/>
        <v>0.27229194178885952</v>
      </c>
      <c r="Z75" s="4">
        <f t="shared" si="60"/>
        <v>219.36628796685616</v>
      </c>
      <c r="AA75" s="4">
        <v>9.19</v>
      </c>
      <c r="AB75" s="4"/>
      <c r="AC75" s="4">
        <v>5.14</v>
      </c>
      <c r="AD75" s="4">
        <f t="shared" si="73"/>
        <v>1.7879377431906616</v>
      </c>
      <c r="AE75" s="4">
        <f t="shared" si="74"/>
        <v>0.87387788413915946</v>
      </c>
      <c r="AF75" s="18">
        <f t="shared" si="61"/>
        <v>0.33839085120338042</v>
      </c>
      <c r="AG75" s="18">
        <f t="shared" si="75"/>
        <v>7.3552552709008484E-2</v>
      </c>
      <c r="AH75" s="18">
        <f t="shared" si="76"/>
        <v>3.8441884328383726E-2</v>
      </c>
      <c r="AI75" s="43">
        <v>29.9</v>
      </c>
      <c r="AJ75" s="7">
        <v>39.5</v>
      </c>
    </row>
    <row r="76" spans="1:36">
      <c r="A76" s="55" t="s">
        <v>475</v>
      </c>
      <c r="B76" s="6"/>
      <c r="C76" s="6"/>
      <c r="D76" s="6"/>
      <c r="E76" s="57" t="s">
        <v>23</v>
      </c>
      <c r="F76" s="57">
        <v>4</v>
      </c>
      <c r="G76" s="57">
        <v>5</v>
      </c>
      <c r="H76">
        <f t="shared" si="62"/>
        <v>3.2834043333284844</v>
      </c>
      <c r="I76" s="7">
        <v>349.8</v>
      </c>
      <c r="J76" s="7">
        <v>201.2</v>
      </c>
      <c r="K76" s="7">
        <v>81</v>
      </c>
      <c r="L76" s="19">
        <v>117.7</v>
      </c>
      <c r="M76" s="19">
        <v>101.4</v>
      </c>
      <c r="N76" s="7">
        <v>33.4</v>
      </c>
      <c r="O76" s="7">
        <v>0</v>
      </c>
      <c r="P76" s="4">
        <f t="shared" si="63"/>
        <v>171.3111111111111</v>
      </c>
      <c r="Q76" s="4">
        <f t="shared" si="64"/>
        <v>158.29653241438726</v>
      </c>
      <c r="R76" s="4">
        <f t="shared" si="65"/>
        <v>164.80382176274918</v>
      </c>
      <c r="S76" s="4">
        <f t="shared" si="66"/>
        <v>116.05000000000001</v>
      </c>
      <c r="T76" s="4">
        <f t="shared" si="67"/>
        <v>73497.08</v>
      </c>
      <c r="U76" s="4">
        <f t="shared" si="68"/>
        <v>94.296666666666667</v>
      </c>
      <c r="V76" s="4">
        <f t="shared" si="69"/>
        <v>81.226905503540763</v>
      </c>
      <c r="W76" s="4">
        <f t="shared" si="70"/>
        <v>87.761786085103722</v>
      </c>
      <c r="X76" s="7">
        <f t="shared" si="71"/>
        <v>1.8778540081549482</v>
      </c>
      <c r="Y76" s="4">
        <f t="shared" si="72"/>
        <v>0.27387714255660239</v>
      </c>
      <c r="Z76" s="4">
        <f t="shared" si="60"/>
        <v>223.59546656751144</v>
      </c>
      <c r="AA76" s="4">
        <v>9.26</v>
      </c>
      <c r="AB76" s="4"/>
      <c r="AC76" s="4">
        <v>5.17</v>
      </c>
      <c r="AD76" s="4">
        <f t="shared" si="73"/>
        <v>1.7911025145067698</v>
      </c>
      <c r="AE76" s="4">
        <f t="shared" si="74"/>
        <v>0.88673812030672039</v>
      </c>
      <c r="AF76" s="18">
        <f t="shared" si="61"/>
        <v>0.34284825524864876</v>
      </c>
      <c r="AG76" s="18">
        <f t="shared" si="75"/>
        <v>7.4461572320622491E-2</v>
      </c>
      <c r="AH76" s="18">
        <f t="shared" si="76"/>
        <v>3.9485063384815104E-2</v>
      </c>
      <c r="AI76" s="43">
        <v>30.2</v>
      </c>
      <c r="AJ76" s="7">
        <v>40.1</v>
      </c>
    </row>
    <row r="77" spans="1:36">
      <c r="A77" s="55" t="s">
        <v>476</v>
      </c>
      <c r="B77" s="6"/>
      <c r="C77" s="6"/>
      <c r="D77" s="6"/>
      <c r="E77" s="57" t="s">
        <v>23</v>
      </c>
      <c r="F77" s="57">
        <v>4</v>
      </c>
      <c r="G77" s="57">
        <v>5</v>
      </c>
      <c r="H77">
        <f t="shared" si="62"/>
        <v>3.3449305153224755</v>
      </c>
      <c r="I77" s="7">
        <v>373.2</v>
      </c>
      <c r="J77" s="7">
        <v>211.8</v>
      </c>
      <c r="K77" s="7">
        <v>86.4</v>
      </c>
      <c r="L77" s="19">
        <v>127.5</v>
      </c>
      <c r="M77" s="19">
        <v>113.1</v>
      </c>
      <c r="N77" s="7">
        <v>36.4</v>
      </c>
      <c r="O77" s="7">
        <v>0</v>
      </c>
      <c r="P77" s="4">
        <f t="shared" si="63"/>
        <v>185.06666666666666</v>
      </c>
      <c r="Q77" s="4">
        <f t="shared" si="64"/>
        <v>170.51290527654166</v>
      </c>
      <c r="R77" s="4">
        <f t="shared" si="65"/>
        <v>177.78978597160415</v>
      </c>
      <c r="S77" s="4">
        <f t="shared" si="66"/>
        <v>122.85</v>
      </c>
      <c r="T77" s="4">
        <f t="shared" si="67"/>
        <v>80465.040000000008</v>
      </c>
      <c r="U77" s="4">
        <f t="shared" si="68"/>
        <v>99.43</v>
      </c>
      <c r="V77" s="4">
        <f t="shared" si="69"/>
        <v>84.959294657151446</v>
      </c>
      <c r="W77" s="4">
        <f t="shared" si="70"/>
        <v>92.194647328575726</v>
      </c>
      <c r="X77" s="7">
        <f t="shared" si="71"/>
        <v>1.9284176589772388</v>
      </c>
      <c r="Y77" s="4">
        <f t="shared" si="72"/>
        <v>0.27893233972268217</v>
      </c>
      <c r="Z77" s="4">
        <f t="shared" si="60"/>
        <v>235.82143203568577</v>
      </c>
      <c r="AA77" s="4">
        <v>9.49</v>
      </c>
      <c r="AB77" s="4"/>
      <c r="AC77" s="4">
        <v>5.25</v>
      </c>
      <c r="AD77" s="4">
        <f t="shared" si="73"/>
        <v>1.8076190476190477</v>
      </c>
      <c r="AE77" s="4">
        <f t="shared" si="74"/>
        <v>0.93697863726112018</v>
      </c>
      <c r="AF77" s="18">
        <f t="shared" si="61"/>
        <v>0.36110385885865992</v>
      </c>
      <c r="AG77" s="18">
        <f t="shared" si="75"/>
        <v>7.8479097009156659E-2</v>
      </c>
      <c r="AH77" s="18">
        <f t="shared" si="76"/>
        <v>4.0929689269240337E-2</v>
      </c>
      <c r="AI77" s="43">
        <v>31</v>
      </c>
      <c r="AJ77" s="7">
        <v>40.5</v>
      </c>
    </row>
    <row r="78" spans="1:36">
      <c r="P78" s="4"/>
      <c r="Q78" s="4"/>
      <c r="R78" s="4"/>
      <c r="S78" s="4">
        <f t="shared" ref="S78:S83" si="77">0.5*(I78-L78)</f>
        <v>0</v>
      </c>
      <c r="T78" s="4">
        <f t="shared" ref="T78:T83" si="78">(I78+L78)*J78-2*M78*M78</f>
        <v>0</v>
      </c>
      <c r="U78" s="4"/>
      <c r="V78" s="4"/>
      <c r="W78" s="4"/>
      <c r="Z78" s="4"/>
    </row>
    <row r="79" spans="1:36">
      <c r="A79" s="53" t="s">
        <v>710</v>
      </c>
      <c r="H79">
        <v>2.6480000000000001</v>
      </c>
      <c r="I79" s="7">
        <v>86.6</v>
      </c>
      <c r="J79" s="7">
        <v>106.4</v>
      </c>
      <c r="K79" s="7">
        <v>58</v>
      </c>
      <c r="L79" s="19">
        <v>6.74</v>
      </c>
      <c r="M79" s="19">
        <v>12.4</v>
      </c>
      <c r="N79" s="7">
        <v>17.8</v>
      </c>
      <c r="O79" s="7">
        <v>0</v>
      </c>
      <c r="P79" s="4">
        <f>(2*I79+2*L79+4*M79+J79)/9</f>
        <v>38.075555555555553</v>
      </c>
      <c r="Q79" s="4">
        <f>((I79+L79)*J79-2*M79*M79)/(I79+L79+2*J79-4*M79)</f>
        <v>37.514056287518521</v>
      </c>
      <c r="R79" s="4">
        <f>0.5*(P79+Q79)</f>
        <v>37.794805921537034</v>
      </c>
      <c r="S79" s="4">
        <f t="shared" si="77"/>
        <v>39.93</v>
      </c>
      <c r="T79" s="4">
        <f t="shared" si="78"/>
        <v>9623.8559999999998</v>
      </c>
      <c r="U79" s="4">
        <f>(I79+L79+2*J79-4*M79+12*K79+6*(I79-L79))/30</f>
        <v>47.723333333333329</v>
      </c>
      <c r="V79" s="4">
        <f>(5*T79*(K79*S79-N79*N79))/(6*P79*(K79*S79-N79*N79)+2*T79*(K79+S79))</f>
        <v>41.080475310258514</v>
      </c>
      <c r="W79" s="4">
        <f>0.5*(U79+V79)</f>
        <v>44.401904321795925</v>
      </c>
      <c r="Z79" s="4">
        <f t="shared" si="60"/>
        <v>95.720921863109524</v>
      </c>
    </row>
    <row r="80" spans="1:36">
      <c r="A80" s="53">
        <v>1.5</v>
      </c>
      <c r="H80">
        <v>2.742</v>
      </c>
      <c r="I80" s="7">
        <v>90.3</v>
      </c>
      <c r="J80" s="7">
        <v>122.3</v>
      </c>
      <c r="K80" s="7">
        <v>62.4</v>
      </c>
      <c r="L80" s="19">
        <v>15.4</v>
      </c>
      <c r="M80" s="19">
        <v>23.7</v>
      </c>
      <c r="N80" s="7">
        <v>10.7</v>
      </c>
      <c r="O80" s="7">
        <v>0</v>
      </c>
      <c r="P80" s="4">
        <f>(2*I80+2*L80+4*M80+J80)/9</f>
        <v>47.611111111111114</v>
      </c>
      <c r="Q80" s="4">
        <f>((I80+L80)*J80-2*M80*M80)/(I80+L80+2*J80-4*M80)</f>
        <v>46.198551859099808</v>
      </c>
      <c r="R80" s="4">
        <f>0.5*(P80+Q80)</f>
        <v>46.904831485105461</v>
      </c>
      <c r="S80" s="4">
        <f t="shared" si="77"/>
        <v>37.449999999999996</v>
      </c>
      <c r="T80" s="4">
        <f t="shared" si="78"/>
        <v>11803.730000000001</v>
      </c>
      <c r="U80" s="4">
        <f>(I80+L80+2*J80-4*M80+12*K80+6*(I80-L80))/30</f>
        <v>48.456666666666663</v>
      </c>
      <c r="V80" s="4">
        <f>(5*T80*(K80*S80-N80*N80))/(6*P80*(K80*S80-N80*N80)+2*T80*(K80+S80))</f>
        <v>43.836728991954018</v>
      </c>
      <c r="W80" s="4">
        <f>0.5*(U80+V80)</f>
        <v>46.146697829310341</v>
      </c>
      <c r="Z80" s="4">
        <f t="shared" si="60"/>
        <v>104.25132971338553</v>
      </c>
    </row>
    <row r="81" spans="1:26">
      <c r="A81" s="53">
        <v>4.4000000000000004</v>
      </c>
      <c r="H81">
        <v>2.8969999999999998</v>
      </c>
      <c r="I81" s="7">
        <v>103.4</v>
      </c>
      <c r="J81" s="7">
        <v>160.1</v>
      </c>
      <c r="K81" s="7">
        <v>63.6</v>
      </c>
      <c r="L81" s="19">
        <v>35.6</v>
      </c>
      <c r="M81" s="19">
        <v>38.9</v>
      </c>
      <c r="N81" s="7">
        <v>3.8</v>
      </c>
      <c r="O81" s="7">
        <v>0</v>
      </c>
      <c r="P81" s="4">
        <f>(2*I81+2*L81+4*M81+J81)/9</f>
        <v>65.966666666666669</v>
      </c>
      <c r="Q81" s="4">
        <f>((I81+L81)*J81-2*M81*M81)/(I81+L81+2*J81-4*M81)</f>
        <v>63.331620553359677</v>
      </c>
      <c r="R81" s="4">
        <f>0.5*(P81+Q81)</f>
        <v>64.649143610013169</v>
      </c>
      <c r="S81" s="4">
        <f t="shared" si="77"/>
        <v>33.900000000000006</v>
      </c>
      <c r="T81" s="4">
        <f t="shared" si="78"/>
        <v>19227.48</v>
      </c>
      <c r="U81" s="4">
        <f>(I81+L81+2*J81-4*M81+12*K81+6*(I81-L81))/30</f>
        <v>49.120000000000012</v>
      </c>
      <c r="V81" s="4">
        <f>(5*T81*(K81*S81-N81*N81))/(6*P81*(K81*S81-N81*N81)+2*T81*(K81+S81))</f>
        <v>44.787400927753851</v>
      </c>
      <c r="W81" s="4">
        <f>0.5*(U81+V81)</f>
        <v>46.953700463876928</v>
      </c>
      <c r="Z81" s="4">
        <f t="shared" si="60"/>
        <v>113.40606236283961</v>
      </c>
    </row>
    <row r="82" spans="1:26">
      <c r="A82" s="53">
        <v>6.9</v>
      </c>
      <c r="H82">
        <v>3004</v>
      </c>
      <c r="I82" s="7">
        <v>115.7</v>
      </c>
      <c r="J82" s="7">
        <v>190.6</v>
      </c>
      <c r="K82" s="7">
        <v>65.400000000000006</v>
      </c>
      <c r="L82" s="19">
        <v>47.1</v>
      </c>
      <c r="M82" s="19">
        <v>50.6</v>
      </c>
      <c r="N82" s="7">
        <v>0.3</v>
      </c>
      <c r="O82" s="7">
        <v>0</v>
      </c>
      <c r="P82" s="4">
        <f>(2*I82+2*L82+4*M82+J82)/9</f>
        <v>79.844444444444449</v>
      </c>
      <c r="Q82" s="4">
        <f>((I82+L82)*J82-2*M82*M82)/(I82+L82+2*J82-4*M82)</f>
        <v>75.845901639344248</v>
      </c>
      <c r="R82" s="4">
        <f>0.5*(P82+Q82)</f>
        <v>77.845173041894355</v>
      </c>
      <c r="S82" s="4">
        <f t="shared" si="77"/>
        <v>34.299999999999997</v>
      </c>
      <c r="T82" s="4">
        <f t="shared" si="78"/>
        <v>25908.959999999999</v>
      </c>
      <c r="U82" s="4">
        <f>(I82+L82+2*J82-4*M82+12*K82+6*(I82-L82))/30</f>
        <v>51.266666666666666</v>
      </c>
      <c r="V82" s="4">
        <f>(5*T82*(K82*S82-N82*N82))/(6*P82*(K82*S82-N82*N82)+2*T82*(K82+S82))</f>
        <v>46.561858418923315</v>
      </c>
      <c r="W82" s="4">
        <f>0.5*(U82+V82)</f>
        <v>48.914262542794987</v>
      </c>
      <c r="Z82" s="4">
        <f t="shared" si="60"/>
        <v>121.33007462179002</v>
      </c>
    </row>
    <row r="83" spans="1:26">
      <c r="A83" s="53">
        <v>10.199999999999999</v>
      </c>
      <c r="H83">
        <v>3.12</v>
      </c>
      <c r="I83" s="7">
        <v>127.5</v>
      </c>
      <c r="J83" s="7">
        <v>217</v>
      </c>
      <c r="K83" s="7">
        <v>65.900000000000006</v>
      </c>
      <c r="L83" s="19">
        <v>61.3</v>
      </c>
      <c r="M83" s="19">
        <v>62</v>
      </c>
      <c r="N83" s="7">
        <v>-1.9</v>
      </c>
      <c r="O83" s="7">
        <v>0</v>
      </c>
      <c r="P83" s="4">
        <f>(2*I83+2*L83+4*M83+J83)/9</f>
        <v>93.62222222222222</v>
      </c>
      <c r="Q83" s="4">
        <f>((I83+L83)*J83-2*M83*M83)/(I83+L83+2*J83-4*M83)</f>
        <v>88.798292422625423</v>
      </c>
      <c r="R83" s="4">
        <f>0.5*(P83+Q83)</f>
        <v>91.210257322423814</v>
      </c>
      <c r="S83" s="4">
        <f t="shared" si="77"/>
        <v>33.1</v>
      </c>
      <c r="T83" s="4">
        <f t="shared" si="78"/>
        <v>33281.600000000006</v>
      </c>
      <c r="U83" s="4">
        <f>(I83+L83+2*J83-4*M83+12*K83+6*(I83-L83))/30</f>
        <v>52.093333333333334</v>
      </c>
      <c r="V83" s="4">
        <f>(5*T83*(K83*S83-N83*N83))/(6*P83*(K83*S83-N83*N83)+2*T83*(K83+S83))</f>
        <v>46.381911921130104</v>
      </c>
      <c r="W83" s="4">
        <f>0.5*(U83+V83)</f>
        <v>49.237622627231715</v>
      </c>
      <c r="Z83" s="4">
        <f t="shared" si="60"/>
        <v>125.18656748279922</v>
      </c>
    </row>
    <row r="84" spans="1:26">
      <c r="Z84" s="4"/>
    </row>
    <row r="85" spans="1:26">
      <c r="Z85" s="4"/>
    </row>
    <row r="86" spans="1:26">
      <c r="Z86" s="4"/>
    </row>
    <row r="87" spans="1:26">
      <c r="Z87" s="4"/>
    </row>
    <row r="88" spans="1:26">
      <c r="Z88" s="4"/>
    </row>
    <row r="89" spans="1:26">
      <c r="Z89" s="4"/>
    </row>
    <row r="91" spans="1:26">
      <c r="Z91" s="4"/>
    </row>
    <row r="92" spans="1:26">
      <c r="Z92" s="4"/>
    </row>
    <row r="93" spans="1:26">
      <c r="Z93" s="4"/>
    </row>
    <row r="94" spans="1:26">
      <c r="Z94" s="4"/>
    </row>
    <row r="95" spans="1:26">
      <c r="Z95" s="4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F033-58BF-4F9A-8166-CA1827CBA085}">
  <dimension ref="A1:H83"/>
  <sheetViews>
    <sheetView workbookViewId="0">
      <selection activeCell="K14" sqref="K14"/>
    </sheetView>
  </sheetViews>
  <sheetFormatPr defaultRowHeight="14.4"/>
  <cols>
    <col min="1" max="1" width="14" style="53" customWidth="1"/>
  </cols>
  <sheetData>
    <row r="1" spans="1:8" ht="14.7" thickBot="1">
      <c r="A1" s="83" t="s">
        <v>242</v>
      </c>
      <c r="B1" s="23" t="s">
        <v>131</v>
      </c>
      <c r="C1" s="23" t="s">
        <v>386</v>
      </c>
      <c r="D1" s="23" t="s">
        <v>698</v>
      </c>
      <c r="E1" s="23" t="s">
        <v>611</v>
      </c>
      <c r="F1" s="86" t="s">
        <v>121</v>
      </c>
      <c r="G1" s="86" t="s">
        <v>122</v>
      </c>
      <c r="H1" s="23" t="s">
        <v>130</v>
      </c>
    </row>
    <row r="2" spans="1:8">
      <c r="A2" s="53" t="s">
        <v>492</v>
      </c>
      <c r="B2" t="s">
        <v>823</v>
      </c>
      <c r="E2" t="s">
        <v>699</v>
      </c>
      <c r="F2">
        <v>254</v>
      </c>
      <c r="G2">
        <v>163</v>
      </c>
    </row>
    <row r="3" spans="1:8">
      <c r="A3" s="53" t="s">
        <v>492</v>
      </c>
      <c r="B3" t="s">
        <v>824</v>
      </c>
      <c r="E3" t="s">
        <v>68</v>
      </c>
      <c r="F3">
        <v>254.2</v>
      </c>
      <c r="G3">
        <v>0</v>
      </c>
    </row>
    <row r="4" spans="1:8">
      <c r="A4" s="53" t="s">
        <v>493</v>
      </c>
      <c r="B4" t="s">
        <v>825</v>
      </c>
      <c r="E4" t="s">
        <v>67</v>
      </c>
      <c r="F4">
        <v>234</v>
      </c>
      <c r="G4">
        <v>123</v>
      </c>
    </row>
    <row r="5" spans="1:8">
      <c r="A5" s="53" t="s">
        <v>669</v>
      </c>
      <c r="B5" t="s">
        <v>826</v>
      </c>
      <c r="E5" t="s">
        <v>70</v>
      </c>
      <c r="F5">
        <v>0</v>
      </c>
      <c r="G5">
        <v>0</v>
      </c>
    </row>
    <row r="6" spans="1:8">
      <c r="A6" s="53" t="s">
        <v>494</v>
      </c>
      <c r="B6" t="s">
        <v>828</v>
      </c>
      <c r="E6" t="s">
        <v>71</v>
      </c>
      <c r="F6">
        <v>33.9</v>
      </c>
      <c r="G6">
        <v>32.700000000000003</v>
      </c>
      <c r="H6" t="s">
        <v>827</v>
      </c>
    </row>
    <row r="7" spans="1:8">
      <c r="A7" s="53" t="s">
        <v>494</v>
      </c>
      <c r="B7" t="s">
        <v>829</v>
      </c>
      <c r="E7" t="s">
        <v>72</v>
      </c>
      <c r="F7">
        <v>0</v>
      </c>
      <c r="G7">
        <v>0</v>
      </c>
    </row>
    <row r="8" spans="1:8">
      <c r="A8" s="53" t="s">
        <v>7</v>
      </c>
      <c r="B8" t="s">
        <v>836</v>
      </c>
      <c r="E8" t="s">
        <v>172</v>
      </c>
      <c r="F8">
        <v>127</v>
      </c>
      <c r="G8">
        <v>81.5</v>
      </c>
      <c r="H8" t="s">
        <v>16</v>
      </c>
    </row>
    <row r="9" spans="1:8">
      <c r="A9" s="53" t="s">
        <v>7</v>
      </c>
      <c r="B9" t="s">
        <v>837</v>
      </c>
      <c r="E9" t="s">
        <v>74</v>
      </c>
      <c r="F9" s="10">
        <v>126</v>
      </c>
      <c r="G9" s="10">
        <v>81.7</v>
      </c>
      <c r="H9" t="s">
        <v>17</v>
      </c>
    </row>
    <row r="10" spans="1:8">
      <c r="A10" s="53" t="s">
        <v>7</v>
      </c>
      <c r="B10" t="s">
        <v>837</v>
      </c>
      <c r="E10" t="s">
        <v>74</v>
      </c>
      <c r="F10" s="10">
        <v>121.3</v>
      </c>
      <c r="G10" s="10">
        <v>79.8</v>
      </c>
    </row>
    <row r="11" spans="1:8">
      <c r="A11" s="53" t="s">
        <v>7</v>
      </c>
      <c r="B11" t="s">
        <v>837</v>
      </c>
      <c r="E11" t="s">
        <v>74</v>
      </c>
      <c r="F11" s="10">
        <v>121.1</v>
      </c>
      <c r="G11" s="10">
        <v>81.599999999999994</v>
      </c>
    </row>
    <row r="12" spans="1:8">
      <c r="A12" s="53" t="s">
        <v>7</v>
      </c>
      <c r="B12" t="s">
        <v>837</v>
      </c>
      <c r="E12" t="s">
        <v>74</v>
      </c>
      <c r="F12" s="10">
        <v>121.7</v>
      </c>
      <c r="G12" s="10">
        <v>81.900000000000006</v>
      </c>
    </row>
    <row r="13" spans="1:8">
      <c r="A13" s="53" t="s">
        <v>7</v>
      </c>
      <c r="B13" t="s">
        <v>837</v>
      </c>
      <c r="E13" t="s">
        <v>74</v>
      </c>
      <c r="F13" s="10">
        <v>122.6</v>
      </c>
      <c r="G13" s="10">
        <v>82.6</v>
      </c>
    </row>
    <row r="14" spans="1:8" ht="14.7">
      <c r="A14" s="53" t="s">
        <v>496</v>
      </c>
      <c r="B14" t="s">
        <v>838</v>
      </c>
      <c r="E14" t="s">
        <v>99</v>
      </c>
      <c r="F14">
        <v>38</v>
      </c>
      <c r="G14">
        <v>44.8</v>
      </c>
    </row>
    <row r="15" spans="1:8" ht="14.7">
      <c r="A15" s="53" t="s">
        <v>496</v>
      </c>
      <c r="B15" t="s">
        <v>839</v>
      </c>
      <c r="E15" t="s">
        <v>34</v>
      </c>
      <c r="F15">
        <v>0</v>
      </c>
      <c r="G15">
        <v>0</v>
      </c>
    </row>
    <row r="16" spans="1:8" ht="14.7">
      <c r="A16" s="53" t="s">
        <v>496</v>
      </c>
      <c r="B16" t="s">
        <v>839</v>
      </c>
      <c r="E16" t="s">
        <v>34</v>
      </c>
      <c r="F16">
        <v>0</v>
      </c>
      <c r="G16">
        <v>0</v>
      </c>
    </row>
    <row r="17" spans="1:8" ht="14.7">
      <c r="A17" s="53" t="s">
        <v>496</v>
      </c>
      <c r="B17" t="s">
        <v>835</v>
      </c>
      <c r="E17" t="s">
        <v>171</v>
      </c>
      <c r="F17">
        <v>37.799999999999997</v>
      </c>
      <c r="G17">
        <v>44.3</v>
      </c>
    </row>
    <row r="18" spans="1:8" ht="14.7">
      <c r="A18" s="53" t="s">
        <v>496</v>
      </c>
      <c r="B18" t="s">
        <v>835</v>
      </c>
      <c r="E18" t="s">
        <v>171</v>
      </c>
      <c r="F18">
        <v>37.799999999999997</v>
      </c>
      <c r="G18">
        <v>44.4</v>
      </c>
      <c r="H18" t="s">
        <v>63</v>
      </c>
    </row>
    <row r="19" spans="1:8" ht="14.7">
      <c r="A19" s="53" t="s">
        <v>496</v>
      </c>
      <c r="B19" t="s">
        <v>835</v>
      </c>
      <c r="E19" t="s">
        <v>171</v>
      </c>
      <c r="F19">
        <v>37.799999999999997</v>
      </c>
      <c r="G19">
        <v>44.3</v>
      </c>
      <c r="H19" t="s">
        <v>42</v>
      </c>
    </row>
    <row r="20" spans="1:8" ht="14.7">
      <c r="A20" s="53" t="s">
        <v>496</v>
      </c>
      <c r="B20" t="s">
        <v>840</v>
      </c>
      <c r="E20" t="s">
        <v>8</v>
      </c>
      <c r="F20" s="10">
        <v>37.409999999999997</v>
      </c>
      <c r="G20">
        <v>0</v>
      </c>
    </row>
    <row r="21" spans="1:8" ht="14.7">
      <c r="A21" s="53" t="s">
        <v>496</v>
      </c>
      <c r="B21" t="s">
        <v>123</v>
      </c>
      <c r="F21">
        <v>37.9</v>
      </c>
      <c r="G21">
        <v>44.9</v>
      </c>
    </row>
    <row r="22" spans="1:8" ht="14.7">
      <c r="A22" s="53" t="s">
        <v>496</v>
      </c>
      <c r="B22" t="s">
        <v>609</v>
      </c>
    </row>
    <row r="23" spans="1:8">
      <c r="A23" s="53" t="s">
        <v>504</v>
      </c>
      <c r="B23" t="s">
        <v>841</v>
      </c>
      <c r="E23" t="s">
        <v>1</v>
      </c>
      <c r="F23">
        <v>212.8</v>
      </c>
      <c r="G23">
        <v>98.9</v>
      </c>
    </row>
    <row r="24" spans="1:8">
      <c r="A24" s="53" t="s">
        <v>505</v>
      </c>
      <c r="B24" t="s">
        <v>842</v>
      </c>
      <c r="E24" t="s">
        <v>2</v>
      </c>
      <c r="F24">
        <v>212</v>
      </c>
      <c r="G24">
        <v>132</v>
      </c>
    </row>
    <row r="26" spans="1:8">
      <c r="A26" s="53" t="s">
        <v>83</v>
      </c>
      <c r="B26" t="s">
        <v>85</v>
      </c>
    </row>
    <row r="27" spans="1:8">
      <c r="A27" s="53" t="s">
        <v>83</v>
      </c>
      <c r="B27" t="s">
        <v>87</v>
      </c>
      <c r="F27" s="4"/>
      <c r="G27" s="4"/>
    </row>
    <row r="28" spans="1:8">
      <c r="A28" s="53" t="s">
        <v>83</v>
      </c>
      <c r="B28" t="s">
        <v>88</v>
      </c>
      <c r="F28" s="4"/>
      <c r="G28" s="4"/>
    </row>
    <row r="29" spans="1:8">
      <c r="A29" s="53" t="s">
        <v>83</v>
      </c>
      <c r="B29" t="s">
        <v>89</v>
      </c>
      <c r="F29" s="4"/>
      <c r="G29" s="4"/>
    </row>
    <row r="30" spans="1:8">
      <c r="A30" s="53" t="s">
        <v>83</v>
      </c>
      <c r="B30" t="s">
        <v>831</v>
      </c>
      <c r="E30" t="s">
        <v>40</v>
      </c>
      <c r="F30">
        <v>0</v>
      </c>
      <c r="G30">
        <v>0</v>
      </c>
    </row>
    <row r="31" spans="1:8">
      <c r="A31" s="53" t="s">
        <v>83</v>
      </c>
      <c r="B31" t="s">
        <v>832</v>
      </c>
      <c r="E31" t="s">
        <v>5</v>
      </c>
      <c r="F31">
        <v>73.3</v>
      </c>
      <c r="G31">
        <v>32</v>
      </c>
    </row>
    <row r="32" spans="1:8">
      <c r="A32" s="53" t="s">
        <v>83</v>
      </c>
      <c r="B32" t="s">
        <v>833</v>
      </c>
      <c r="E32" t="s">
        <v>41</v>
      </c>
      <c r="F32" s="10">
        <v>71.599999999999994</v>
      </c>
      <c r="G32">
        <v>0</v>
      </c>
    </row>
    <row r="33" spans="1:8">
      <c r="A33" s="53" t="s">
        <v>506</v>
      </c>
      <c r="B33" t="s">
        <v>700</v>
      </c>
      <c r="E33" t="s">
        <v>568</v>
      </c>
      <c r="F33">
        <v>94.9</v>
      </c>
      <c r="G33">
        <v>45.7</v>
      </c>
    </row>
    <row r="34" spans="1:8">
      <c r="A34" s="53" t="s">
        <v>471</v>
      </c>
      <c r="B34" t="s">
        <v>170</v>
      </c>
      <c r="E34" t="s">
        <v>170</v>
      </c>
      <c r="F34">
        <v>114</v>
      </c>
      <c r="G34">
        <v>68</v>
      </c>
      <c r="H34" t="s">
        <v>525</v>
      </c>
    </row>
    <row r="35" spans="1:8">
      <c r="A35" s="53" t="s">
        <v>471</v>
      </c>
      <c r="B35" t="s">
        <v>526</v>
      </c>
    </row>
    <row r="36" spans="1:8">
      <c r="A36" s="53" t="s">
        <v>471</v>
      </c>
      <c r="B36" t="s">
        <v>3</v>
      </c>
    </row>
    <row r="37" spans="1:8">
      <c r="A37" s="54" t="s">
        <v>471</v>
      </c>
      <c r="B37" t="s">
        <v>477</v>
      </c>
    </row>
    <row r="38" spans="1:8">
      <c r="A38" s="53" t="s">
        <v>508</v>
      </c>
      <c r="B38" t="s">
        <v>3</v>
      </c>
    </row>
    <row r="39" spans="1:8">
      <c r="A39" s="53" t="s">
        <v>508</v>
      </c>
      <c r="B39" t="s">
        <v>3</v>
      </c>
    </row>
    <row r="40" spans="1:8">
      <c r="A40" s="53" t="s">
        <v>507</v>
      </c>
      <c r="B40" t="s">
        <v>3</v>
      </c>
    </row>
    <row r="41" spans="1:8">
      <c r="A41" s="53" t="s">
        <v>670</v>
      </c>
      <c r="B41" t="s">
        <v>831</v>
      </c>
      <c r="E41" t="s">
        <v>40</v>
      </c>
      <c r="F41">
        <v>0</v>
      </c>
      <c r="G41">
        <v>0</v>
      </c>
    </row>
    <row r="42" spans="1:8">
      <c r="A42" s="53" t="s">
        <v>84</v>
      </c>
      <c r="B42" t="s">
        <v>831</v>
      </c>
      <c r="E42" t="s">
        <v>40</v>
      </c>
      <c r="F42">
        <v>0</v>
      </c>
      <c r="G42">
        <v>0</v>
      </c>
    </row>
    <row r="43" spans="1:8">
      <c r="A43" s="53" t="s">
        <v>84</v>
      </c>
      <c r="B43" t="s">
        <v>86</v>
      </c>
      <c r="E43" t="s">
        <v>86</v>
      </c>
      <c r="F43" s="4"/>
      <c r="G43" s="4"/>
    </row>
    <row r="44" spans="1:8">
      <c r="A44" s="53" t="s">
        <v>510</v>
      </c>
      <c r="B44" t="s">
        <v>835</v>
      </c>
      <c r="E44" t="s">
        <v>6</v>
      </c>
      <c r="F44">
        <v>28.2</v>
      </c>
      <c r="G44" s="1">
        <v>12</v>
      </c>
    </row>
    <row r="45" spans="1:8">
      <c r="A45" s="63" t="s">
        <v>509</v>
      </c>
      <c r="B45" t="s">
        <v>834</v>
      </c>
      <c r="E45" t="s">
        <v>73</v>
      </c>
      <c r="F45">
        <v>0</v>
      </c>
      <c r="G45">
        <v>0</v>
      </c>
    </row>
    <row r="46" spans="1:8">
      <c r="A46" s="63" t="s">
        <v>495</v>
      </c>
      <c r="B46" t="s">
        <v>830</v>
      </c>
      <c r="E46" t="s">
        <v>39</v>
      </c>
      <c r="F46">
        <v>0</v>
      </c>
      <c r="G46">
        <v>0</v>
      </c>
    </row>
    <row r="47" spans="1:8">
      <c r="G47" s="1"/>
    </row>
    <row r="48" spans="1:8">
      <c r="A48" s="53" t="s">
        <v>511</v>
      </c>
      <c r="B48" t="s">
        <v>164</v>
      </c>
      <c r="C48" t="s">
        <v>390</v>
      </c>
    </row>
    <row r="49" spans="1:7">
      <c r="A49" s="53" t="s">
        <v>512</v>
      </c>
      <c r="B49" t="s">
        <v>80</v>
      </c>
      <c r="C49" t="s">
        <v>390</v>
      </c>
    </row>
    <row r="50" spans="1:7">
      <c r="A50" s="53" t="s">
        <v>513</v>
      </c>
      <c r="B50" t="s">
        <v>165</v>
      </c>
      <c r="C50" t="s">
        <v>390</v>
      </c>
    </row>
    <row r="51" spans="1:7">
      <c r="A51" s="53" t="s">
        <v>674</v>
      </c>
      <c r="B51" t="s">
        <v>80</v>
      </c>
      <c r="C51" t="s">
        <v>390</v>
      </c>
    </row>
    <row r="52" spans="1:7">
      <c r="A52" s="53" t="s">
        <v>514</v>
      </c>
      <c r="B52" t="s">
        <v>894</v>
      </c>
      <c r="C52" t="s">
        <v>390</v>
      </c>
    </row>
    <row r="53" spans="1:7">
      <c r="A53" s="53" t="s">
        <v>515</v>
      </c>
      <c r="B53" t="s">
        <v>79</v>
      </c>
    </row>
    <row r="54" spans="1:7">
      <c r="A54" s="53" t="s">
        <v>502</v>
      </c>
      <c r="B54" t="s">
        <v>527</v>
      </c>
    </row>
    <row r="55" spans="1:7">
      <c r="A55" s="53">
        <v>100</v>
      </c>
      <c r="F55">
        <v>37.200000000000003</v>
      </c>
      <c r="G55">
        <v>44.7</v>
      </c>
    </row>
    <row r="56" spans="1:7">
      <c r="A56" s="53">
        <v>200</v>
      </c>
      <c r="F56">
        <v>35.700000000000003</v>
      </c>
      <c r="G56">
        <v>44.5</v>
      </c>
    </row>
    <row r="57" spans="1:7">
      <c r="A57" s="53">
        <v>300</v>
      </c>
      <c r="F57" s="4">
        <v>34.1</v>
      </c>
      <c r="G57" s="4">
        <v>44.3</v>
      </c>
    </row>
    <row r="58" spans="1:7">
      <c r="A58" s="53">
        <v>400</v>
      </c>
      <c r="F58" s="4">
        <v>32</v>
      </c>
      <c r="G58" s="4">
        <v>43.7</v>
      </c>
    </row>
    <row r="59" spans="1:7">
      <c r="A59" s="53">
        <v>450</v>
      </c>
      <c r="F59" s="4">
        <v>28.2</v>
      </c>
      <c r="G59" s="4">
        <v>43.4</v>
      </c>
    </row>
    <row r="60" spans="1:7">
      <c r="A60" s="53">
        <v>500</v>
      </c>
      <c r="F60" s="4">
        <v>25.5</v>
      </c>
      <c r="G60" s="4">
        <v>43</v>
      </c>
    </row>
    <row r="61" spans="1:7">
      <c r="A61" s="53">
        <v>520</v>
      </c>
      <c r="F61" s="4">
        <v>23.5</v>
      </c>
      <c r="G61" s="4">
        <v>42.9</v>
      </c>
    </row>
    <row r="62" spans="1:7">
      <c r="A62" s="53">
        <v>540</v>
      </c>
      <c r="F62" s="4">
        <v>20.6</v>
      </c>
      <c r="G62" s="4">
        <v>42.6</v>
      </c>
    </row>
    <row r="63" spans="1:7">
      <c r="A63" s="53">
        <v>550</v>
      </c>
      <c r="F63" s="4">
        <v>18.600000000000001</v>
      </c>
      <c r="G63" s="4">
        <v>42.4</v>
      </c>
    </row>
    <row r="64" spans="1:7">
      <c r="A64" s="53">
        <v>560</v>
      </c>
      <c r="F64" s="4">
        <v>16.3</v>
      </c>
      <c r="G64" s="4">
        <v>42.3</v>
      </c>
    </row>
    <row r="65" spans="1:7">
      <c r="A65" s="53">
        <v>565</v>
      </c>
      <c r="F65" s="4">
        <v>14.7</v>
      </c>
      <c r="G65" s="4">
        <v>42.1</v>
      </c>
    </row>
    <row r="66" spans="1:7">
      <c r="A66" s="53">
        <v>570</v>
      </c>
      <c r="F66" s="4">
        <v>12.8</v>
      </c>
      <c r="G66" s="4">
        <v>41.9</v>
      </c>
    </row>
    <row r="67" spans="1:7">
      <c r="A67" s="53">
        <v>573</v>
      </c>
      <c r="F67" s="4">
        <v>11.9</v>
      </c>
      <c r="G67" s="4">
        <v>41.6</v>
      </c>
    </row>
    <row r="68" spans="1:7">
      <c r="A68" s="53" t="s">
        <v>471</v>
      </c>
      <c r="B68" t="s">
        <v>477</v>
      </c>
      <c r="E68" t="s">
        <v>477</v>
      </c>
    </row>
    <row r="69" spans="1:7">
      <c r="A69" s="53">
        <v>450</v>
      </c>
    </row>
    <row r="70" spans="1:7">
      <c r="A70" s="53">
        <v>600</v>
      </c>
    </row>
    <row r="71" spans="1:7">
      <c r="A71" s="53">
        <v>700</v>
      </c>
    </row>
    <row r="72" spans="1:7">
      <c r="A72" s="55" t="s">
        <v>503</v>
      </c>
    </row>
    <row r="73" spans="1:7">
      <c r="A73" s="55" t="s">
        <v>472</v>
      </c>
    </row>
    <row r="74" spans="1:7">
      <c r="A74" s="55" t="s">
        <v>473</v>
      </c>
    </row>
    <row r="75" spans="1:7">
      <c r="A75" s="55" t="s">
        <v>474</v>
      </c>
    </row>
    <row r="76" spans="1:7">
      <c r="A76" s="55" t="s">
        <v>475</v>
      </c>
    </row>
    <row r="77" spans="1:7">
      <c r="A77" s="55" t="s">
        <v>476</v>
      </c>
    </row>
    <row r="79" spans="1:7">
      <c r="A79" s="53" t="s">
        <v>710</v>
      </c>
    </row>
    <row r="80" spans="1:7">
      <c r="A80" s="53">
        <v>1.5</v>
      </c>
    </row>
    <row r="81" spans="1:1">
      <c r="A81" s="53">
        <v>4.4000000000000004</v>
      </c>
    </row>
    <row r="82" spans="1:1">
      <c r="A82" s="53">
        <v>6.9</v>
      </c>
    </row>
    <row r="83" spans="1:1">
      <c r="A83" s="53">
        <v>10.199999999999999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82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I3" sqref="AI3"/>
    </sheetView>
  </sheetViews>
  <sheetFormatPr defaultColWidth="8.83984375" defaultRowHeight="14.4" outlineLevelCol="1"/>
  <cols>
    <col min="1" max="1" width="17.41796875" customWidth="1"/>
    <col min="2" max="2" width="11.83984375" customWidth="1"/>
    <col min="3" max="3" width="13.41796875" customWidth="1"/>
    <col min="4" max="4" width="11.41796875" customWidth="1"/>
    <col min="5" max="5" width="3.68359375" style="57" customWidth="1"/>
    <col min="6" max="6" width="3.83984375" style="57" customWidth="1"/>
    <col min="7" max="7" width="4.83984375" style="57" customWidth="1"/>
    <col min="8" max="8" width="6.41796875" customWidth="1"/>
    <col min="9" max="15" width="8.83984375" customWidth="1" outlineLevel="1"/>
    <col min="16" max="17" width="8.83984375" customWidth="1"/>
    <col min="18" max="18" width="8.68359375" style="4" customWidth="1"/>
    <col min="19" max="20" width="8.83984375" customWidth="1" outlineLevel="1"/>
    <col min="21" max="22" width="8.83984375" customWidth="1"/>
    <col min="23" max="26" width="8.83984375" style="4" customWidth="1"/>
    <col min="27" max="30" width="8.83984375" customWidth="1" outlineLevel="1"/>
    <col min="31" max="34" width="8.83984375" customWidth="1"/>
    <col min="35" max="36" width="8.83984375" style="7" customWidth="1"/>
    <col min="37" max="37" width="8.83984375" style="4" customWidth="1" outlineLevel="1" collapsed="1"/>
    <col min="38" max="38" width="8.83984375" style="4" customWidth="1" outlineLevel="1"/>
    <col min="39" max="44" width="8.83984375" customWidth="1" outlineLevel="1"/>
    <col min="45" max="45" width="20" customWidth="1"/>
    <col min="46" max="46" width="11" customWidth="1"/>
    <col min="47" max="47" width="7.41796875" customWidth="1"/>
    <col min="48" max="48" width="14.83984375" customWidth="1"/>
    <col min="49" max="50" width="8.83984375" customWidth="1"/>
  </cols>
  <sheetData>
    <row r="1" spans="1:44" s="22" customFormat="1" ht="16.8">
      <c r="A1" s="22" t="s">
        <v>242</v>
      </c>
      <c r="B1" s="22" t="s">
        <v>412</v>
      </c>
      <c r="C1" s="22" t="s">
        <v>241</v>
      </c>
      <c r="D1" s="22" t="s">
        <v>610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33</v>
      </c>
      <c r="K1" s="22">
        <v>44</v>
      </c>
      <c r="L1" s="22">
        <v>66</v>
      </c>
      <c r="M1" s="22">
        <v>12</v>
      </c>
      <c r="N1" s="22">
        <v>13</v>
      </c>
      <c r="O1" s="22">
        <v>16</v>
      </c>
      <c r="P1" s="22" t="s">
        <v>135</v>
      </c>
      <c r="Q1" s="22" t="s">
        <v>134</v>
      </c>
      <c r="R1" s="27" t="s">
        <v>155</v>
      </c>
      <c r="S1" s="22" t="s">
        <v>138</v>
      </c>
      <c r="T1" s="22" t="s">
        <v>140</v>
      </c>
      <c r="U1" s="22" t="s">
        <v>136</v>
      </c>
      <c r="V1" s="22" t="s">
        <v>137</v>
      </c>
      <c r="W1" s="27" t="s">
        <v>157</v>
      </c>
      <c r="X1" s="143" t="s">
        <v>1385</v>
      </c>
      <c r="Y1" s="143" t="s">
        <v>1384</v>
      </c>
      <c r="Z1" s="27" t="s">
        <v>208</v>
      </c>
      <c r="AA1" s="24" t="s">
        <v>166</v>
      </c>
      <c r="AB1" s="24" t="s">
        <v>167</v>
      </c>
      <c r="AC1" s="24" t="s">
        <v>168</v>
      </c>
      <c r="AD1" s="24" t="s">
        <v>169</v>
      </c>
      <c r="AE1" s="22" t="s">
        <v>146</v>
      </c>
      <c r="AF1" s="22" t="s">
        <v>985</v>
      </c>
      <c r="AG1" s="22" t="s">
        <v>120</v>
      </c>
      <c r="AH1" s="22" t="s">
        <v>119</v>
      </c>
      <c r="AI1" s="25" t="s">
        <v>621</v>
      </c>
      <c r="AJ1" s="25" t="s">
        <v>622</v>
      </c>
      <c r="AK1" s="27" t="s">
        <v>1789</v>
      </c>
      <c r="AL1" s="27" t="s">
        <v>1790</v>
      </c>
      <c r="AM1" s="22" t="s">
        <v>161</v>
      </c>
      <c r="AN1" s="22" t="s">
        <v>162</v>
      </c>
      <c r="AO1" s="22" t="s">
        <v>163</v>
      </c>
      <c r="AP1" s="22" t="s">
        <v>161</v>
      </c>
      <c r="AQ1" s="22" t="s">
        <v>162</v>
      </c>
      <c r="AR1" s="22" t="s">
        <v>163</v>
      </c>
    </row>
    <row r="2" spans="1:44">
      <c r="A2" s="38" t="s">
        <v>443</v>
      </c>
    </row>
    <row r="3" spans="1:44">
      <c r="A3" t="s">
        <v>623</v>
      </c>
      <c r="B3" t="s">
        <v>626</v>
      </c>
      <c r="C3" t="s">
        <v>445</v>
      </c>
      <c r="E3" s="57" t="s">
        <v>26</v>
      </c>
      <c r="F3" s="57">
        <v>5</v>
      </c>
      <c r="G3" s="57">
        <v>9</v>
      </c>
      <c r="H3">
        <v>2.9460000000000002</v>
      </c>
      <c r="I3">
        <v>159.4</v>
      </c>
      <c r="J3">
        <v>149.4</v>
      </c>
      <c r="K3">
        <v>30.26</v>
      </c>
      <c r="L3">
        <v>58.1</v>
      </c>
      <c r="M3">
        <v>76.53</v>
      </c>
      <c r="N3">
        <v>57.8</v>
      </c>
      <c r="O3">
        <v>0</v>
      </c>
      <c r="P3" s="4">
        <f t="shared" ref="P3:P29" si="0">((I3+M3)*J3-2*N3*N3)/(I3+M3+2*J3-4*N3)</f>
        <v>94.113471485520378</v>
      </c>
      <c r="Q3" s="4">
        <f t="shared" ref="Q3:Q29" si="1">(2*I3+2*M3+4*N3+J3)/9</f>
        <v>94.717777777777769</v>
      </c>
      <c r="R3" s="7">
        <f t="shared" ref="R3:R29" si="2">0.5*(Q3+P3)</f>
        <v>94.415624631649081</v>
      </c>
      <c r="S3">
        <f t="shared" ref="S3:S29" si="3">(I3+M3)*J3-2*N3*N3</f>
        <v>28566.262000000002</v>
      </c>
      <c r="T3">
        <v>0</v>
      </c>
      <c r="U3" s="4">
        <f t="shared" ref="U3:U29" si="4">(I3+M3+2*J3-4*N3+3*(I3-M3)+12*K3+6*L3)/30</f>
        <v>42.128666666666668</v>
      </c>
      <c r="V3" s="4">
        <f t="shared" ref="V3:V29" si="5">15/((18*Q3)/S3+6/(I3-M3)+6/K3+3/L3)</f>
        <v>39.266787261450801</v>
      </c>
      <c r="W3" s="7">
        <f t="shared" ref="W3:W29" si="6">0.5*(U3+V3)</f>
        <v>40.697726964058731</v>
      </c>
      <c r="X3" s="4">
        <f t="shared" ref="X3:X29" si="7">(3*R3-2*W3)/(2*(3*R3+W3))</f>
        <v>0.31155237567099292</v>
      </c>
      <c r="Y3" s="4">
        <f>9*W3*R3/(W3+3*R3)</f>
        <v>106.75440096824131</v>
      </c>
      <c r="Z3" s="7">
        <f t="shared" ref="Z3:Z29" si="8">R3/W3</f>
        <v>2.3199237813706421</v>
      </c>
      <c r="AA3" s="4">
        <f t="shared" ref="AA3:AA34" si="9">SQRT((R3+4/3*W3)/H3)</f>
        <v>7.1040960566411862</v>
      </c>
      <c r="AB3" s="4">
        <f t="shared" ref="AB3:AB34" si="10">SQRT(R3/H3)</f>
        <v>5.66116175539885</v>
      </c>
      <c r="AC3" s="4">
        <f t="shared" ref="AC3:AC34" si="11">SQRT(W3/H3)</f>
        <v>3.7167958338999063</v>
      </c>
      <c r="AD3" s="4">
        <f>AA3/AC3</f>
        <v>1.9113495532486922</v>
      </c>
      <c r="AE3" s="4">
        <f t="shared" ref="AE3:AE29" si="12">5*U3/V3 +Q3/P3 - 6</f>
        <v>0.37083580356276613</v>
      </c>
      <c r="AF3" s="8">
        <f t="shared" ref="AF3:AF34" si="13">SQRT((LN(Q3/P3))^2+5*(LN(U3/V3))^2)</f>
        <v>0.15743614087731431</v>
      </c>
      <c r="AG3" s="8">
        <f t="shared" ref="AG3:AG29" si="14">(U3-V3)/(U3+V3)</f>
        <v>3.5160187296741044E-2</v>
      </c>
      <c r="AH3" s="8">
        <f t="shared" ref="AH3:AH29" si="15">(Q3-P3)/(Q3+P3)</f>
        <v>3.2002451639493858E-3</v>
      </c>
      <c r="AK3" s="4">
        <v>0.16789999999999999</v>
      </c>
      <c r="AL3" s="4">
        <v>0.49759999999999999</v>
      </c>
      <c r="AM3" s="4">
        <v>7</v>
      </c>
      <c r="AN3" s="4">
        <v>7</v>
      </c>
      <c r="AO3" s="4">
        <v>9</v>
      </c>
      <c r="AP3" s="4">
        <v>-1</v>
      </c>
      <c r="AQ3" s="4">
        <v>1</v>
      </c>
      <c r="AR3" s="4">
        <v>0</v>
      </c>
    </row>
    <row r="4" spans="1:44">
      <c r="A4" t="s">
        <v>623</v>
      </c>
      <c r="B4" t="s">
        <v>626</v>
      </c>
      <c r="C4" t="s">
        <v>445</v>
      </c>
      <c r="E4" s="57" t="s">
        <v>23</v>
      </c>
      <c r="F4" s="57">
        <v>5</v>
      </c>
      <c r="G4" s="57">
        <v>9</v>
      </c>
      <c r="H4">
        <v>2.9609999999999999</v>
      </c>
      <c r="I4">
        <v>158.69999999999999</v>
      </c>
      <c r="J4">
        <v>153.4</v>
      </c>
      <c r="K4">
        <v>29.5</v>
      </c>
      <c r="L4">
        <v>58.8</v>
      </c>
      <c r="M4">
        <v>76.599999999999994</v>
      </c>
      <c r="N4">
        <v>52.1</v>
      </c>
      <c r="O4">
        <v>0</v>
      </c>
      <c r="P4" s="4">
        <f>((I4+M4)*J4-2*N4*N4)/(I4+M4+2*J4-4*N4)</f>
        <v>91.897512735990389</v>
      </c>
      <c r="Q4" s="4">
        <f>(2*I4+2*M4+4*N4+J4)/9</f>
        <v>92.48888888888888</v>
      </c>
      <c r="R4" s="7">
        <f>0.5*(Q4+P4)</f>
        <v>92.193200812439642</v>
      </c>
      <c r="S4">
        <f>(I4+M4)*J4-2*N4*N4</f>
        <v>30666.199999999997</v>
      </c>
      <c r="T4">
        <v>1</v>
      </c>
      <c r="U4" s="4">
        <f>(I4+M4+2*J4-4*N4+3*(I4-M4)+12*K4+6*L4)/30</f>
        <v>42.893333333333331</v>
      </c>
      <c r="V4" s="4">
        <f>15/((18*Q4)/S4+6/(I4-M4)+6/K4+3/L4)</f>
        <v>39.28968141929051</v>
      </c>
      <c r="W4" s="7">
        <f>0.5*(U4+V4)</f>
        <v>41.091507376311924</v>
      </c>
      <c r="X4" s="4">
        <f t="shared" si="7"/>
        <v>0.30597146180328194</v>
      </c>
      <c r="Y4" s="4">
        <f t="shared" ref="Y4:Y67" si="16">9*W4*R4/(W4+3*R4)</f>
        <v>107.32867191188484</v>
      </c>
      <c r="Z4" s="7">
        <f t="shared" si="8"/>
        <v>2.2436071757636804</v>
      </c>
      <c r="AA4" s="4">
        <f t="shared" si="9"/>
        <v>7.045514147999075</v>
      </c>
      <c r="AB4" s="4">
        <f t="shared" si="10"/>
        <v>5.5799491721165468</v>
      </c>
      <c r="AC4" s="4">
        <f t="shared" si="11"/>
        <v>3.725262089395625</v>
      </c>
      <c r="AD4" s="4">
        <f>AA4/AC4</f>
        <v>1.8912801244387392</v>
      </c>
      <c r="AE4" s="4">
        <f t="shared" si="12"/>
        <v>0.46503546744861168</v>
      </c>
      <c r="AF4" s="8">
        <f t="shared" si="13"/>
        <v>0.19632981904277894</v>
      </c>
      <c r="AG4" s="8">
        <f t="shared" si="14"/>
        <v>4.3849108296769655E-2</v>
      </c>
      <c r="AH4" s="8">
        <f t="shared" si="15"/>
        <v>3.2072655450026211E-3</v>
      </c>
      <c r="AM4" s="4"/>
      <c r="AN4" s="4"/>
      <c r="AO4" s="4"/>
      <c r="AP4" s="4"/>
      <c r="AQ4" s="4"/>
      <c r="AR4" s="4"/>
    </row>
    <row r="5" spans="1:44">
      <c r="A5" t="s">
        <v>624</v>
      </c>
      <c r="B5" t="s">
        <v>625</v>
      </c>
      <c r="C5" t="s">
        <v>445</v>
      </c>
      <c r="E5" s="57" t="s">
        <v>23</v>
      </c>
      <c r="F5" s="57">
        <v>5</v>
      </c>
      <c r="G5" s="57">
        <v>9</v>
      </c>
      <c r="H5">
        <v>3.3919999999999999</v>
      </c>
      <c r="I5">
        <v>163.30000000000001</v>
      </c>
      <c r="J5">
        <v>159.9</v>
      </c>
      <c r="K5">
        <v>29.9</v>
      </c>
      <c r="L5">
        <v>57.3</v>
      </c>
      <c r="M5">
        <v>81</v>
      </c>
      <c r="N5">
        <v>55.3</v>
      </c>
      <c r="O5">
        <v>0</v>
      </c>
      <c r="P5" s="4">
        <f>((I5+M5)*J5-2*N5*N5)/(I5+M5+2*J5-4*N5)</f>
        <v>96.08454359871682</v>
      </c>
      <c r="Q5" s="4">
        <f>(2*I5+2*M5+4*N5+J5)/9</f>
        <v>96.633333333333326</v>
      </c>
      <c r="R5" s="7">
        <f>0.5*(Q5+P5)</f>
        <v>96.35893846602508</v>
      </c>
      <c r="S5">
        <f>(I5+M5)*J5-2*N5*N5</f>
        <v>32947.39</v>
      </c>
      <c r="T5">
        <v>2</v>
      </c>
      <c r="U5" s="4">
        <f>(I5+M5+2*J5-4*N5+3*(I5-M5)+12*K5+6*L5)/30</f>
        <v>43.080000000000005</v>
      </c>
      <c r="V5" s="4">
        <f>15/((18*Q5)/S5+6/(I5-M5)+6/K5+3/L5)</f>
        <v>39.606869277008649</v>
      </c>
      <c r="W5" s="7">
        <f>0.5*(U5+V5)</f>
        <v>41.343434638504327</v>
      </c>
      <c r="X5" s="4">
        <f t="shared" si="7"/>
        <v>0.31231431199845944</v>
      </c>
      <c r="Y5" s="4">
        <f t="shared" si="16"/>
        <v>108.51116196656417</v>
      </c>
      <c r="Z5" s="7">
        <f t="shared" si="8"/>
        <v>2.3306950500983108</v>
      </c>
      <c r="AA5" s="4">
        <f t="shared" si="9"/>
        <v>6.6827431500427323</v>
      </c>
      <c r="AB5" s="4">
        <f t="shared" si="10"/>
        <v>5.3298879834093471</v>
      </c>
      <c r="AC5" s="4">
        <f t="shared" si="11"/>
        <v>3.4912050312626692</v>
      </c>
      <c r="AD5" s="4">
        <f>AA5/AC5</f>
        <v>1.9141651923048972</v>
      </c>
      <c r="AE5" s="4">
        <f t="shared" si="12"/>
        <v>0.44416207972157817</v>
      </c>
      <c r="AF5" s="8">
        <f t="shared" si="13"/>
        <v>0.1880418287138555</v>
      </c>
      <c r="AG5" s="8">
        <f t="shared" si="14"/>
        <v>4.2003413037154033E-2</v>
      </c>
      <c r="AH5" s="8">
        <f t="shared" si="15"/>
        <v>2.8476327331584386E-3</v>
      </c>
      <c r="AM5" s="4"/>
      <c r="AN5" s="4"/>
      <c r="AO5" s="4"/>
      <c r="AP5" s="4"/>
      <c r="AQ5" s="4"/>
      <c r="AR5" s="4"/>
    </row>
    <row r="6" spans="1:44">
      <c r="A6" t="s">
        <v>413</v>
      </c>
      <c r="B6" t="s">
        <v>414</v>
      </c>
      <c r="C6" t="s">
        <v>423</v>
      </c>
      <c r="D6" t="s">
        <v>415</v>
      </c>
      <c r="E6" s="57" t="s">
        <v>26</v>
      </c>
      <c r="F6" s="57">
        <v>5</v>
      </c>
      <c r="G6" s="57">
        <v>4</v>
      </c>
      <c r="H6">
        <v>6.2789999999999999</v>
      </c>
      <c r="I6">
        <v>337.2</v>
      </c>
      <c r="J6">
        <v>599.4</v>
      </c>
      <c r="K6">
        <v>161.5</v>
      </c>
      <c r="L6">
        <v>258.39999999999998</v>
      </c>
      <c r="M6">
        <v>188.2</v>
      </c>
      <c r="N6">
        <v>187.4</v>
      </c>
      <c r="O6">
        <v>0</v>
      </c>
      <c r="P6" s="4">
        <f t="shared" si="0"/>
        <v>251.06427252206032</v>
      </c>
      <c r="Q6" s="4">
        <f t="shared" si="1"/>
        <v>266.64444444444445</v>
      </c>
      <c r="R6" s="7">
        <f t="shared" si="2"/>
        <v>258.85435848325238</v>
      </c>
      <c r="S6">
        <f t="shared" si="3"/>
        <v>244687.23999999993</v>
      </c>
      <c r="T6">
        <v>0</v>
      </c>
      <c r="U6" s="4">
        <f t="shared" si="4"/>
        <v>163.66666666666666</v>
      </c>
      <c r="V6" s="4">
        <f t="shared" si="5"/>
        <v>138.06394324521187</v>
      </c>
      <c r="W6" s="7">
        <f t="shared" si="6"/>
        <v>150.86530495593928</v>
      </c>
      <c r="X6" s="4">
        <f t="shared" si="7"/>
        <v>0.25599414228092027</v>
      </c>
      <c r="Y6" s="4">
        <f t="shared" si="16"/>
        <v>378.97187859616884</v>
      </c>
      <c r="Z6" s="7">
        <f t="shared" si="8"/>
        <v>1.7157978009513299</v>
      </c>
      <c r="AA6" s="4">
        <f t="shared" si="9"/>
        <v>8.5592851934896856</v>
      </c>
      <c r="AB6" s="4">
        <f t="shared" si="10"/>
        <v>6.4207017878266806</v>
      </c>
      <c r="AC6" s="4">
        <f t="shared" si="11"/>
        <v>4.9017306822660371</v>
      </c>
      <c r="AD6" s="4">
        <f t="shared" ref="AD6:AD67" si="17">AA6/AC6</f>
        <v>1.746176146408106</v>
      </c>
      <c r="AE6" s="4">
        <f t="shared" si="12"/>
        <v>0.98926178720370483</v>
      </c>
      <c r="AF6" s="8">
        <f t="shared" si="13"/>
        <v>0.3851237490236093</v>
      </c>
      <c r="AG6" s="8">
        <f t="shared" si="14"/>
        <v>8.4852920387931949E-2</v>
      </c>
      <c r="AH6" s="8">
        <f t="shared" si="15"/>
        <v>3.0094474772755557E-2</v>
      </c>
      <c r="AK6" s="5">
        <v>-0.1174</v>
      </c>
      <c r="AL6" s="4">
        <v>0.51</v>
      </c>
      <c r="AM6" s="5">
        <v>1</v>
      </c>
      <c r="AN6" s="5">
        <v>1</v>
      </c>
      <c r="AO6" s="5">
        <v>0</v>
      </c>
      <c r="AP6" s="5">
        <v>-1</v>
      </c>
      <c r="AQ6" s="5">
        <v>1</v>
      </c>
      <c r="AR6" s="5">
        <v>0</v>
      </c>
    </row>
    <row r="7" spans="1:44">
      <c r="A7" t="s">
        <v>416</v>
      </c>
      <c r="B7" t="s">
        <v>228</v>
      </c>
      <c r="C7" t="s">
        <v>592</v>
      </c>
      <c r="D7" t="s">
        <v>415</v>
      </c>
      <c r="E7" s="57" t="s">
        <v>26</v>
      </c>
      <c r="F7" s="57">
        <v>5</v>
      </c>
      <c r="G7" s="57">
        <v>9</v>
      </c>
      <c r="H7">
        <v>4.29</v>
      </c>
      <c r="I7">
        <v>453</v>
      </c>
      <c r="J7">
        <v>776</v>
      </c>
      <c r="K7">
        <v>252</v>
      </c>
      <c r="L7">
        <v>302</v>
      </c>
      <c r="M7">
        <v>211</v>
      </c>
      <c r="N7">
        <v>203</v>
      </c>
      <c r="O7">
        <v>0</v>
      </c>
      <c r="P7" s="4">
        <f t="shared" si="0"/>
        <v>308.29487179487177</v>
      </c>
      <c r="Q7" s="4">
        <f t="shared" si="1"/>
        <v>324</v>
      </c>
      <c r="R7" s="7">
        <f t="shared" si="2"/>
        <v>316.14743589743591</v>
      </c>
      <c r="S7">
        <f t="shared" si="3"/>
        <v>432846</v>
      </c>
      <c r="T7">
        <v>0</v>
      </c>
      <c r="U7" s="4">
        <f t="shared" si="4"/>
        <v>232.2</v>
      </c>
      <c r="V7" s="4">
        <f t="shared" si="5"/>
        <v>208.30353075132788</v>
      </c>
      <c r="W7" s="7">
        <f t="shared" si="6"/>
        <v>220.25176537566392</v>
      </c>
      <c r="X7" s="4">
        <f t="shared" si="7"/>
        <v>0.21731041024601738</v>
      </c>
      <c r="Y7" s="4">
        <f t="shared" si="16"/>
        <v>536.22953373371809</v>
      </c>
      <c r="Z7" s="7">
        <f t="shared" si="8"/>
        <v>1.435391155018491</v>
      </c>
      <c r="AA7" s="4">
        <f t="shared" si="9"/>
        <v>11.92259863179193</v>
      </c>
      <c r="AB7" s="4">
        <f t="shared" si="10"/>
        <v>8.5845233415567872</v>
      </c>
      <c r="AC7" s="4">
        <f t="shared" si="11"/>
        <v>7.1652451353603466</v>
      </c>
      <c r="AD7" s="4">
        <f t="shared" si="17"/>
        <v>1.6639484632499362</v>
      </c>
      <c r="AE7" s="4">
        <f t="shared" si="12"/>
        <v>0.62453922187241417</v>
      </c>
      <c r="AF7" s="8">
        <f t="shared" si="13"/>
        <v>0.24787413887185469</v>
      </c>
      <c r="AG7" s="8">
        <f t="shared" si="14"/>
        <v>5.4248076531677313E-2</v>
      </c>
      <c r="AH7" s="8">
        <f t="shared" si="15"/>
        <v>2.4838297613495857E-2</v>
      </c>
      <c r="AI7" s="7">
        <v>26.7</v>
      </c>
      <c r="AJ7" s="7">
        <v>35.799999999999997</v>
      </c>
      <c r="AK7" s="5">
        <v>-3.977E-2</v>
      </c>
      <c r="AL7" s="4">
        <v>0.43669999999999998</v>
      </c>
      <c r="AM7" s="5">
        <v>1</v>
      </c>
      <c r="AN7" s="5">
        <v>1</v>
      </c>
      <c r="AO7" s="5">
        <v>0</v>
      </c>
      <c r="AP7" s="5">
        <v>-1</v>
      </c>
      <c r="AQ7" s="5">
        <v>1</v>
      </c>
      <c r="AR7" s="5">
        <v>0</v>
      </c>
    </row>
    <row r="8" spans="1:44">
      <c r="A8" t="s">
        <v>416</v>
      </c>
      <c r="B8" t="s">
        <v>228</v>
      </c>
      <c r="C8" t="s">
        <v>590</v>
      </c>
      <c r="D8" t="s">
        <v>415</v>
      </c>
      <c r="E8" s="57" t="s">
        <v>23</v>
      </c>
      <c r="F8" s="57">
        <v>5</v>
      </c>
      <c r="G8" s="57">
        <v>9</v>
      </c>
      <c r="H8">
        <v>4.29</v>
      </c>
      <c r="I8">
        <v>443</v>
      </c>
      <c r="J8">
        <v>781</v>
      </c>
      <c r="K8">
        <v>256</v>
      </c>
      <c r="L8">
        <v>316</v>
      </c>
      <c r="M8">
        <v>193</v>
      </c>
      <c r="N8">
        <v>199</v>
      </c>
      <c r="P8" s="4">
        <f t="shared" si="0"/>
        <v>297.79885877318117</v>
      </c>
      <c r="Q8" s="4">
        <f t="shared" si="1"/>
        <v>316.55555555555554</v>
      </c>
      <c r="R8" s="7">
        <f t="shared" si="2"/>
        <v>307.17720716436838</v>
      </c>
      <c r="S8">
        <f t="shared" si="3"/>
        <v>417514</v>
      </c>
      <c r="T8">
        <v>1</v>
      </c>
      <c r="U8" s="4">
        <f t="shared" si="4"/>
        <v>237.33333333333334</v>
      </c>
      <c r="V8" s="4">
        <f t="shared" si="5"/>
        <v>212.52895769761875</v>
      </c>
      <c r="W8" s="7">
        <f t="shared" si="6"/>
        <v>224.93114551547603</v>
      </c>
      <c r="X8" s="4">
        <f t="shared" si="7"/>
        <v>0.20570634478294519</v>
      </c>
      <c r="Y8" s="4">
        <f t="shared" si="16"/>
        <v>542.40181857461084</v>
      </c>
      <c r="Z8" s="7">
        <f t="shared" si="8"/>
        <v>1.3656499479447748</v>
      </c>
      <c r="AA8" s="4">
        <f t="shared" si="9"/>
        <v>11.895871070584649</v>
      </c>
      <c r="AB8" s="4">
        <f t="shared" si="10"/>
        <v>8.4618602324248329</v>
      </c>
      <c r="AC8" s="4">
        <f t="shared" si="11"/>
        <v>7.240960050377292</v>
      </c>
      <c r="AD8" s="4">
        <f t="shared" si="17"/>
        <v>1.6428582657302206</v>
      </c>
      <c r="AE8" s="4">
        <f t="shared" si="12"/>
        <v>0.64653729442640895</v>
      </c>
      <c r="AF8" s="8">
        <f t="shared" si="13"/>
        <v>0.25427875128013755</v>
      </c>
      <c r="AG8" s="8">
        <f t="shared" si="14"/>
        <v>5.5137707983637076E-2</v>
      </c>
      <c r="AH8" s="8">
        <f t="shared" si="15"/>
        <v>3.0530743077460495E-2</v>
      </c>
      <c r="AK8" s="5"/>
      <c r="AM8" s="5"/>
      <c r="AN8" s="5"/>
      <c r="AO8" s="5"/>
      <c r="AP8" s="5"/>
      <c r="AQ8" s="5"/>
      <c r="AR8" s="5"/>
    </row>
    <row r="9" spans="1:44">
      <c r="A9" t="s">
        <v>416</v>
      </c>
      <c r="B9" t="s">
        <v>228</v>
      </c>
      <c r="C9" t="s">
        <v>591</v>
      </c>
      <c r="D9" t="s">
        <v>415</v>
      </c>
      <c r="E9" s="57" t="s">
        <v>23</v>
      </c>
      <c r="F9" s="57">
        <v>5</v>
      </c>
      <c r="G9" s="57">
        <v>9</v>
      </c>
      <c r="H9">
        <v>4.29</v>
      </c>
      <c r="I9">
        <v>466</v>
      </c>
      <c r="J9">
        <v>775</v>
      </c>
      <c r="K9">
        <v>258</v>
      </c>
      <c r="L9">
        <v>310</v>
      </c>
      <c r="M9">
        <v>207</v>
      </c>
      <c r="N9">
        <v>204</v>
      </c>
      <c r="P9" s="4">
        <f t="shared" si="0"/>
        <v>311.54442075337596</v>
      </c>
      <c r="Q9" s="4">
        <f t="shared" si="1"/>
        <v>326.33333333333331</v>
      </c>
      <c r="R9" s="7">
        <f t="shared" si="2"/>
        <v>318.93887704335464</v>
      </c>
      <c r="S9">
        <f t="shared" si="3"/>
        <v>438343</v>
      </c>
      <c r="T9">
        <v>2</v>
      </c>
      <c r="U9" s="4">
        <f t="shared" si="4"/>
        <v>238</v>
      </c>
      <c r="V9" s="4">
        <f t="shared" si="5"/>
        <v>215.82820328364161</v>
      </c>
      <c r="W9" s="7">
        <f t="shared" si="6"/>
        <v>226.91410164182082</v>
      </c>
      <c r="X9" s="4">
        <f t="shared" si="7"/>
        <v>0.21245897142021425</v>
      </c>
      <c r="Y9" s="4">
        <f t="shared" si="16"/>
        <v>550.24807655476798</v>
      </c>
      <c r="Z9" s="7">
        <f t="shared" si="8"/>
        <v>1.4055489488563959</v>
      </c>
      <c r="AA9" s="4">
        <f t="shared" si="9"/>
        <v>12.036182945551458</v>
      </c>
      <c r="AB9" s="4">
        <f t="shared" si="10"/>
        <v>8.6223388116874968</v>
      </c>
      <c r="AC9" s="4">
        <f t="shared" si="11"/>
        <v>7.2728075724879737</v>
      </c>
      <c r="AD9" s="4">
        <f t="shared" si="17"/>
        <v>1.6549568822751031</v>
      </c>
      <c r="AE9" s="4">
        <f t="shared" si="12"/>
        <v>0.56111424053400683</v>
      </c>
      <c r="AF9" s="8">
        <f t="shared" si="13"/>
        <v>0.22352464984460554</v>
      </c>
      <c r="AG9" s="8">
        <f t="shared" si="14"/>
        <v>4.8855043727859863E-2</v>
      </c>
      <c r="AH9" s="8">
        <f t="shared" si="15"/>
        <v>2.3184556108453092E-2</v>
      </c>
      <c r="AK9" s="5"/>
      <c r="AM9" s="5"/>
      <c r="AN9" s="5"/>
      <c r="AO9" s="5"/>
      <c r="AP9" s="5"/>
      <c r="AQ9" s="5"/>
      <c r="AR9" s="5"/>
    </row>
    <row r="10" spans="1:44">
      <c r="A10" t="s">
        <v>416</v>
      </c>
      <c r="B10" t="s">
        <v>228</v>
      </c>
      <c r="C10" t="s">
        <v>591</v>
      </c>
      <c r="D10" t="s">
        <v>415</v>
      </c>
      <c r="E10" s="57" t="s">
        <v>23</v>
      </c>
      <c r="F10" s="57">
        <v>5</v>
      </c>
      <c r="G10" s="57">
        <v>9</v>
      </c>
      <c r="H10">
        <v>4.29</v>
      </c>
      <c r="I10">
        <v>455</v>
      </c>
      <c r="J10">
        <v>762</v>
      </c>
      <c r="K10">
        <v>258</v>
      </c>
      <c r="L10">
        <v>321</v>
      </c>
      <c r="M10">
        <v>199</v>
      </c>
      <c r="N10">
        <v>192</v>
      </c>
      <c r="P10" s="4">
        <f t="shared" si="0"/>
        <v>301.14893617021278</v>
      </c>
      <c r="Q10" s="4">
        <f t="shared" si="1"/>
        <v>315.33333333333331</v>
      </c>
      <c r="R10" s="7">
        <f t="shared" si="2"/>
        <v>308.24113475177307</v>
      </c>
      <c r="S10">
        <f t="shared" si="3"/>
        <v>424620</v>
      </c>
      <c r="T10">
        <v>3</v>
      </c>
      <c r="U10" s="4">
        <f t="shared" si="4"/>
        <v>240</v>
      </c>
      <c r="V10" s="4">
        <f t="shared" si="5"/>
        <v>216.11854043578253</v>
      </c>
      <c r="W10" s="7">
        <f t="shared" si="6"/>
        <v>228.05927021789125</v>
      </c>
      <c r="X10" s="4">
        <f t="shared" si="7"/>
        <v>0.20324943902964018</v>
      </c>
      <c r="Y10" s="4">
        <f t="shared" si="16"/>
        <v>548.82437791037341</v>
      </c>
      <c r="Z10" s="7">
        <f t="shared" si="8"/>
        <v>1.3515834478347444</v>
      </c>
      <c r="AA10" s="4">
        <f t="shared" si="9"/>
        <v>11.947048691050494</v>
      </c>
      <c r="AB10" s="4">
        <f t="shared" si="10"/>
        <v>8.4765016582148238</v>
      </c>
      <c r="AC10" s="4">
        <f t="shared" si="11"/>
        <v>7.2911363345132632</v>
      </c>
      <c r="AD10" s="4">
        <f t="shared" si="17"/>
        <v>1.6385715673012506</v>
      </c>
      <c r="AE10" s="4">
        <f t="shared" si="12"/>
        <v>0.59960928564523552</v>
      </c>
      <c r="AF10" s="8">
        <f t="shared" si="13"/>
        <v>0.2388429809751193</v>
      </c>
      <c r="AG10" s="8">
        <f t="shared" si="14"/>
        <v>5.2358011014857583E-2</v>
      </c>
      <c r="AH10" s="8">
        <f t="shared" si="15"/>
        <v>2.3008605218351613E-2</v>
      </c>
      <c r="AK10" s="5"/>
      <c r="AM10" s="5"/>
      <c r="AN10" s="5"/>
      <c r="AO10" s="5"/>
      <c r="AP10" s="5"/>
      <c r="AQ10" s="5"/>
      <c r="AR10" s="5"/>
    </row>
    <row r="11" spans="1:44" ht="14.7">
      <c r="A11" t="s">
        <v>441</v>
      </c>
      <c r="B11" t="s">
        <v>228</v>
      </c>
      <c r="C11" t="s">
        <v>591</v>
      </c>
      <c r="D11" t="s">
        <v>417</v>
      </c>
      <c r="E11" s="57" t="s">
        <v>26</v>
      </c>
      <c r="F11" s="57">
        <v>5</v>
      </c>
      <c r="G11" s="57">
        <v>9</v>
      </c>
      <c r="H11">
        <v>2.335</v>
      </c>
      <c r="I11">
        <v>59.4</v>
      </c>
      <c r="J11">
        <v>42.4</v>
      </c>
      <c r="K11">
        <v>67.2</v>
      </c>
      <c r="L11">
        <v>25.7</v>
      </c>
      <c r="M11">
        <v>3.8</v>
      </c>
      <c r="N11">
        <v>-4.4000000000000004</v>
      </c>
      <c r="O11">
        <v>0</v>
      </c>
      <c r="P11" s="4">
        <f t="shared" si="0"/>
        <v>15.947826086956523</v>
      </c>
      <c r="Q11" s="4">
        <f t="shared" si="1"/>
        <v>16.799999999999997</v>
      </c>
      <c r="R11" s="7">
        <f t="shared" si="2"/>
        <v>16.373913043478261</v>
      </c>
      <c r="S11">
        <f t="shared" si="3"/>
        <v>2640.96</v>
      </c>
      <c r="T11">
        <v>0</v>
      </c>
      <c r="U11" s="4">
        <f t="shared" si="4"/>
        <v>43.100000000000009</v>
      </c>
      <c r="V11" s="4">
        <f t="shared" si="5"/>
        <v>35.011168287512476</v>
      </c>
      <c r="W11" s="7">
        <f t="shared" si="6"/>
        <v>39.055584143756242</v>
      </c>
      <c r="X11" s="5">
        <f t="shared" si="7"/>
        <v>-0.16438143096572502</v>
      </c>
      <c r="Y11" s="4">
        <f t="shared" si="16"/>
        <v>65.271142670006626</v>
      </c>
      <c r="Z11" s="7">
        <f t="shared" si="8"/>
        <v>0.41924639977753181</v>
      </c>
      <c r="AA11" s="4">
        <f t="shared" si="9"/>
        <v>5.4142339658437795</v>
      </c>
      <c r="AB11" s="4">
        <f t="shared" si="10"/>
        <v>2.6480903420642075</v>
      </c>
      <c r="AC11" s="4">
        <f t="shared" si="11"/>
        <v>4.0897628577794158</v>
      </c>
      <c r="AD11" s="4">
        <f t="shared" si="17"/>
        <v>1.3238503439251978</v>
      </c>
      <c r="AE11" s="4">
        <f t="shared" si="12"/>
        <v>1.2086138914674809</v>
      </c>
      <c r="AF11" s="8">
        <f t="shared" si="13"/>
        <v>0.46768603276568793</v>
      </c>
      <c r="AG11" s="8">
        <f t="shared" si="14"/>
        <v>0.1035553799773429</v>
      </c>
      <c r="AH11" s="8">
        <f t="shared" si="15"/>
        <v>2.602230483271363E-2</v>
      </c>
      <c r="AK11" s="5">
        <v>-0.50780000000000003</v>
      </c>
      <c r="AL11" s="4">
        <v>9.5759999999999998E-2</v>
      </c>
      <c r="AM11" s="5">
        <v>7</v>
      </c>
      <c r="AN11" s="5">
        <v>7</v>
      </c>
      <c r="AO11" s="5">
        <v>9</v>
      </c>
      <c r="AP11" s="5">
        <v>-19</v>
      </c>
      <c r="AQ11" s="5">
        <v>-19</v>
      </c>
      <c r="AR11" s="5">
        <v>30</v>
      </c>
    </row>
    <row r="12" spans="1:44">
      <c r="A12" t="s">
        <v>419</v>
      </c>
      <c r="B12" t="s">
        <v>418</v>
      </c>
      <c r="C12" t="s">
        <v>423</v>
      </c>
      <c r="D12" t="s">
        <v>415</v>
      </c>
      <c r="E12" s="57" t="s">
        <v>26</v>
      </c>
      <c r="F12" s="57">
        <v>5</v>
      </c>
      <c r="G12" s="57">
        <v>4</v>
      </c>
      <c r="H12">
        <v>6.9749999999999996</v>
      </c>
      <c r="I12">
        <v>262</v>
      </c>
      <c r="J12">
        <v>450</v>
      </c>
      <c r="K12">
        <v>103.1</v>
      </c>
      <c r="L12">
        <v>207.4</v>
      </c>
      <c r="M12">
        <v>177</v>
      </c>
      <c r="N12">
        <v>155.5</v>
      </c>
      <c r="O12">
        <v>0</v>
      </c>
      <c r="P12" s="4">
        <f t="shared" si="0"/>
        <v>208.07461645746164</v>
      </c>
      <c r="Q12" s="4">
        <f t="shared" si="1"/>
        <v>216.66666666666666</v>
      </c>
      <c r="R12" s="7">
        <f t="shared" si="2"/>
        <v>212.37064156206415</v>
      </c>
      <c r="S12">
        <f t="shared" si="3"/>
        <v>149189.5</v>
      </c>
      <c r="T12">
        <v>0</v>
      </c>
      <c r="U12" s="4">
        <f t="shared" si="4"/>
        <v>115.11999999999999</v>
      </c>
      <c r="V12" s="4">
        <f t="shared" si="5"/>
        <v>88.552931513707634</v>
      </c>
      <c r="W12" s="7">
        <f t="shared" si="6"/>
        <v>101.83646575685381</v>
      </c>
      <c r="X12" s="4">
        <f t="shared" si="7"/>
        <v>0.2932809643936099</v>
      </c>
      <c r="Y12" s="4">
        <f t="shared" si="16"/>
        <v>263.40632528892144</v>
      </c>
      <c r="Z12" s="7">
        <f t="shared" si="8"/>
        <v>2.0854086007768897</v>
      </c>
      <c r="AA12" s="4">
        <f t="shared" si="9"/>
        <v>7.0650088936474083</v>
      </c>
      <c r="AB12" s="4">
        <f t="shared" si="10"/>
        <v>5.5179166184513191</v>
      </c>
      <c r="AC12" s="4">
        <f t="shared" si="11"/>
        <v>3.8210221334548433</v>
      </c>
      <c r="AD12" s="4">
        <f t="shared" si="17"/>
        <v>1.8489840275432945</v>
      </c>
      <c r="AE12" s="4">
        <f t="shared" si="12"/>
        <v>1.5413602572994627</v>
      </c>
      <c r="AF12" s="8">
        <f t="shared" si="13"/>
        <v>0.58808113080032065</v>
      </c>
      <c r="AG12" s="8">
        <f t="shared" si="14"/>
        <v>0.13043985908605796</v>
      </c>
      <c r="AH12" s="8">
        <f t="shared" si="15"/>
        <v>2.0228902983028457E-2</v>
      </c>
      <c r="AK12" s="5">
        <v>-0.1116</v>
      </c>
      <c r="AL12" s="4">
        <v>0.61539999999999995</v>
      </c>
      <c r="AM12" s="5">
        <v>1</v>
      </c>
      <c r="AN12" s="5">
        <v>1</v>
      </c>
      <c r="AO12" s="5">
        <v>0</v>
      </c>
      <c r="AP12" s="5">
        <v>-1</v>
      </c>
      <c r="AQ12" s="5">
        <v>1</v>
      </c>
      <c r="AR12" s="5">
        <v>0</v>
      </c>
    </row>
    <row r="13" spans="1:44">
      <c r="A13" t="s">
        <v>421</v>
      </c>
      <c r="B13" t="s">
        <v>420</v>
      </c>
      <c r="C13" t="s">
        <v>423</v>
      </c>
      <c r="D13" t="s">
        <v>415</v>
      </c>
      <c r="E13" s="57" t="s">
        <v>26</v>
      </c>
      <c r="F13" s="57">
        <v>5</v>
      </c>
      <c r="G13" s="57">
        <v>4</v>
      </c>
      <c r="H13">
        <v>6.02</v>
      </c>
      <c r="I13">
        <v>55.7</v>
      </c>
      <c r="J13">
        <v>105.8</v>
      </c>
      <c r="K13">
        <v>26.5</v>
      </c>
      <c r="L13">
        <v>65.900000000000006</v>
      </c>
      <c r="M13">
        <v>51.2</v>
      </c>
      <c r="N13">
        <v>21.8</v>
      </c>
      <c r="O13">
        <v>0</v>
      </c>
      <c r="P13" s="4">
        <f t="shared" si="0"/>
        <v>44.788326848249028</v>
      </c>
      <c r="Q13" s="4">
        <f t="shared" si="1"/>
        <v>45.2</v>
      </c>
      <c r="R13" s="7">
        <f t="shared" si="2"/>
        <v>44.994163424124515</v>
      </c>
      <c r="S13">
        <f t="shared" si="3"/>
        <v>10359.540000000001</v>
      </c>
      <c r="T13">
        <v>0</v>
      </c>
      <c r="U13" s="4">
        <f t="shared" si="4"/>
        <v>31.94</v>
      </c>
      <c r="V13" s="4">
        <f t="shared" si="5"/>
        <v>8.9083777597174887</v>
      </c>
      <c r="W13" s="7">
        <f t="shared" si="6"/>
        <v>20.424188879858747</v>
      </c>
      <c r="X13" s="4">
        <f t="shared" si="7"/>
        <v>0.30286379268308267</v>
      </c>
      <c r="Y13" s="4">
        <f t="shared" si="16"/>
        <v>53.219872372976809</v>
      </c>
      <c r="Z13" s="7">
        <f t="shared" si="8"/>
        <v>2.2029841032509925</v>
      </c>
      <c r="AA13" s="4">
        <f t="shared" si="9"/>
        <v>3.463775887571964</v>
      </c>
      <c r="AB13" s="4">
        <f t="shared" si="10"/>
        <v>2.7338825003284395</v>
      </c>
      <c r="AC13" s="4">
        <f t="shared" si="11"/>
        <v>1.841934419378755</v>
      </c>
      <c r="AD13" s="4">
        <f t="shared" si="17"/>
        <v>1.8805098873933965</v>
      </c>
      <c r="AE13" s="4">
        <f t="shared" si="12"/>
        <v>12.936136736861958</v>
      </c>
      <c r="AF13" s="8">
        <f t="shared" si="13"/>
        <v>2.8551760423720216</v>
      </c>
      <c r="AG13" s="8">
        <f t="shared" si="14"/>
        <v>0.56383199293155473</v>
      </c>
      <c r="AH13" s="8">
        <f t="shared" si="15"/>
        <v>4.5747394819907698E-3</v>
      </c>
      <c r="AK13" s="5">
        <v>-0.7923</v>
      </c>
      <c r="AL13" s="4">
        <v>1.4750000000000001</v>
      </c>
      <c r="AM13" s="5">
        <v>4</v>
      </c>
      <c r="AN13" s="5">
        <v>0</v>
      </c>
      <c r="AO13" s="5">
        <v>-7</v>
      </c>
      <c r="AP13" s="5">
        <v>7</v>
      </c>
      <c r="AQ13" s="5">
        <v>0</v>
      </c>
      <c r="AR13" s="5">
        <v>4</v>
      </c>
    </row>
    <row r="14" spans="1:44">
      <c r="A14" t="s">
        <v>421</v>
      </c>
      <c r="B14" t="s">
        <v>420</v>
      </c>
      <c r="C14" t="s">
        <v>423</v>
      </c>
      <c r="D14" t="s">
        <v>415</v>
      </c>
      <c r="E14" s="57" t="s">
        <v>26</v>
      </c>
      <c r="F14" s="57">
        <v>5</v>
      </c>
      <c r="G14" s="57">
        <v>4</v>
      </c>
      <c r="H14">
        <v>5.99</v>
      </c>
      <c r="I14">
        <v>53.2</v>
      </c>
      <c r="J14">
        <v>108.5</v>
      </c>
      <c r="K14">
        <v>24.4</v>
      </c>
      <c r="L14">
        <v>55.2</v>
      </c>
      <c r="M14">
        <v>48.6</v>
      </c>
      <c r="N14">
        <v>21.2</v>
      </c>
      <c r="O14">
        <v>0</v>
      </c>
      <c r="P14" s="4">
        <f t="shared" si="0"/>
        <v>43.360769230769236</v>
      </c>
      <c r="Q14" s="4">
        <f t="shared" si="1"/>
        <v>44.1</v>
      </c>
      <c r="R14" s="7">
        <f t="shared" si="2"/>
        <v>43.730384615384622</v>
      </c>
      <c r="S14">
        <f t="shared" si="3"/>
        <v>10146.420000000002</v>
      </c>
      <c r="T14">
        <v>0</v>
      </c>
      <c r="U14" s="4">
        <f t="shared" si="4"/>
        <v>29.06</v>
      </c>
      <c r="V14" s="4">
        <f t="shared" si="5"/>
        <v>8.9135468913116149</v>
      </c>
      <c r="W14" s="7">
        <f t="shared" si="6"/>
        <v>18.986773445655807</v>
      </c>
      <c r="X14" s="4">
        <f t="shared" si="7"/>
        <v>0.31035721638943575</v>
      </c>
      <c r="Y14" s="4">
        <f t="shared" si="16"/>
        <v>49.758911200932801</v>
      </c>
      <c r="Z14" s="7">
        <f t="shared" si="8"/>
        <v>2.3032025288841362</v>
      </c>
      <c r="AA14" s="4">
        <f t="shared" si="9"/>
        <v>3.3951276721705441</v>
      </c>
      <c r="AB14" s="4">
        <f t="shared" si="10"/>
        <v>2.7019557813377721</v>
      </c>
      <c r="AC14" s="4">
        <f t="shared" si="11"/>
        <v>1.7803778108944115</v>
      </c>
      <c r="AD14" s="4">
        <f t="shared" si="17"/>
        <v>1.9069703359563486</v>
      </c>
      <c r="AE14" s="4">
        <f t="shared" si="12"/>
        <v>11.318078906997265</v>
      </c>
      <c r="AF14" s="8">
        <f t="shared" si="13"/>
        <v>2.6426177751583575</v>
      </c>
      <c r="AG14" s="8">
        <f t="shared" si="14"/>
        <v>0.53053914522000878</v>
      </c>
      <c r="AH14" s="8">
        <f t="shared" si="15"/>
        <v>8.4521411797816581E-3</v>
      </c>
      <c r="AK14" s="5">
        <v>-0.72550000000000003</v>
      </c>
      <c r="AL14" s="4">
        <v>1.4179999999999999</v>
      </c>
      <c r="AM14" s="5">
        <v>4</v>
      </c>
      <c r="AN14" s="5">
        <v>0</v>
      </c>
      <c r="AO14" s="5">
        <v>-7</v>
      </c>
      <c r="AP14" s="5">
        <v>7</v>
      </c>
      <c r="AQ14" s="5">
        <v>0</v>
      </c>
      <c r="AR14" s="5">
        <v>4</v>
      </c>
    </row>
    <row r="15" spans="1:44">
      <c r="A15" t="s">
        <v>415</v>
      </c>
      <c r="B15" t="s">
        <v>422</v>
      </c>
      <c r="C15" t="s">
        <v>423</v>
      </c>
      <c r="D15" t="s">
        <v>415</v>
      </c>
      <c r="E15" s="57" t="s">
        <v>26</v>
      </c>
      <c r="F15" s="57">
        <v>5</v>
      </c>
      <c r="G15" s="57">
        <v>4</v>
      </c>
      <c r="H15">
        <v>4.24</v>
      </c>
      <c r="I15">
        <v>268</v>
      </c>
      <c r="J15">
        <v>484</v>
      </c>
      <c r="K15">
        <v>123.8</v>
      </c>
      <c r="L15">
        <v>190.2</v>
      </c>
      <c r="M15">
        <v>175</v>
      </c>
      <c r="N15">
        <v>147</v>
      </c>
      <c r="O15">
        <v>0</v>
      </c>
      <c r="P15" s="4">
        <f t="shared" si="0"/>
        <v>208.01215066828675</v>
      </c>
      <c r="Q15" s="4">
        <f t="shared" si="1"/>
        <v>217.55555555555554</v>
      </c>
      <c r="R15" s="7">
        <f t="shared" si="2"/>
        <v>212.78385311192113</v>
      </c>
      <c r="S15">
        <f t="shared" si="3"/>
        <v>171194</v>
      </c>
      <c r="T15">
        <v>0</v>
      </c>
      <c r="U15" s="4">
        <f t="shared" si="4"/>
        <v>124.29333333333332</v>
      </c>
      <c r="V15" s="4">
        <f t="shared" si="5"/>
        <v>98.925732684484856</v>
      </c>
      <c r="W15" s="7">
        <f t="shared" si="6"/>
        <v>111.6095330089091</v>
      </c>
      <c r="X15" s="4">
        <f t="shared" si="7"/>
        <v>0.27676935347411036</v>
      </c>
      <c r="Y15" s="4">
        <f t="shared" si="16"/>
        <v>284.99926260266454</v>
      </c>
      <c r="Z15" s="7">
        <f t="shared" si="8"/>
        <v>1.9065024946832805</v>
      </c>
      <c r="AA15" s="4">
        <f t="shared" si="9"/>
        <v>9.2348366764739147</v>
      </c>
      <c r="AB15" s="4">
        <f t="shared" si="10"/>
        <v>7.0841281056289862</v>
      </c>
      <c r="AC15" s="4">
        <f t="shared" si="11"/>
        <v>5.1305948064662967</v>
      </c>
      <c r="AD15" s="4">
        <f t="shared" si="17"/>
        <v>1.7999543960935827</v>
      </c>
      <c r="AE15" s="4">
        <f t="shared" si="12"/>
        <v>1.3280328657225633</v>
      </c>
      <c r="AF15" s="8">
        <f t="shared" si="13"/>
        <v>0.51240562717694893</v>
      </c>
      <c r="AG15" s="8">
        <f t="shared" si="14"/>
        <v>0.11364441712529846</v>
      </c>
      <c r="AH15" s="8">
        <f t="shared" si="15"/>
        <v>2.2425115317018685E-2</v>
      </c>
      <c r="AK15" s="5">
        <v>-3.6360000000000003E-2</v>
      </c>
      <c r="AL15" s="4">
        <v>0.621</v>
      </c>
      <c r="AM15" s="5">
        <v>1</v>
      </c>
      <c r="AN15" s="5">
        <v>1</v>
      </c>
      <c r="AO15" s="5">
        <v>0</v>
      </c>
      <c r="AP15" s="5">
        <v>-1</v>
      </c>
      <c r="AQ15" s="5">
        <v>1</v>
      </c>
      <c r="AR15" s="5">
        <v>0</v>
      </c>
    </row>
    <row r="16" spans="1:44">
      <c r="A16" t="s">
        <v>415</v>
      </c>
      <c r="B16" t="s">
        <v>424</v>
      </c>
      <c r="C16" t="s">
        <v>423</v>
      </c>
      <c r="D16" t="s">
        <v>415</v>
      </c>
      <c r="E16" s="57" t="s">
        <v>26</v>
      </c>
      <c r="F16" s="57">
        <v>5</v>
      </c>
      <c r="G16" s="57">
        <v>4</v>
      </c>
      <c r="H16">
        <v>4.2489999999999997</v>
      </c>
      <c r="I16">
        <v>267.39999999999998</v>
      </c>
      <c r="J16">
        <v>479</v>
      </c>
      <c r="K16">
        <v>123.3</v>
      </c>
      <c r="L16">
        <v>189.4</v>
      </c>
      <c r="M16">
        <v>180.8</v>
      </c>
      <c r="N16">
        <v>146.6</v>
      </c>
      <c r="O16">
        <v>0</v>
      </c>
      <c r="P16" s="4">
        <f t="shared" si="0"/>
        <v>209.44703586240544</v>
      </c>
      <c r="Q16" s="4">
        <f t="shared" si="1"/>
        <v>217.97777777777776</v>
      </c>
      <c r="R16" s="7">
        <f t="shared" si="2"/>
        <v>213.71240682009159</v>
      </c>
      <c r="S16">
        <f t="shared" si="3"/>
        <v>171704.68</v>
      </c>
      <c r="T16">
        <v>0</v>
      </c>
      <c r="U16" s="4">
        <f t="shared" si="4"/>
        <v>123.18666666666667</v>
      </c>
      <c r="V16" s="4">
        <f t="shared" si="5"/>
        <v>95.763291166669404</v>
      </c>
      <c r="W16" s="7">
        <f t="shared" si="6"/>
        <v>109.47497891666804</v>
      </c>
      <c r="X16" s="4">
        <f t="shared" si="7"/>
        <v>0.28122861777185459</v>
      </c>
      <c r="Y16" s="4">
        <f t="shared" si="16"/>
        <v>280.52495183601098</v>
      </c>
      <c r="Z16" s="7">
        <f t="shared" si="8"/>
        <v>1.9521575517522476</v>
      </c>
      <c r="AA16" s="4">
        <f t="shared" si="9"/>
        <v>9.2005587510245341</v>
      </c>
      <c r="AB16" s="4">
        <f t="shared" si="10"/>
        <v>7.0920453189703272</v>
      </c>
      <c r="AC16" s="4">
        <f t="shared" si="11"/>
        <v>5.0759118287795255</v>
      </c>
      <c r="AD16" s="4">
        <f t="shared" si="17"/>
        <v>1.8125923107763589</v>
      </c>
      <c r="AE16" s="4">
        <f t="shared" si="12"/>
        <v>1.4725611268938756</v>
      </c>
      <c r="AF16" s="8">
        <f t="shared" si="13"/>
        <v>0.56450318672675448</v>
      </c>
      <c r="AG16" s="8">
        <f t="shared" si="14"/>
        <v>0.1252495125889535</v>
      </c>
      <c r="AH16" s="8">
        <f t="shared" si="15"/>
        <v>1.995846203387178E-2</v>
      </c>
      <c r="AK16" s="5">
        <v>-2.758E-2</v>
      </c>
      <c r="AL16" s="4">
        <v>0.65490000000000004</v>
      </c>
      <c r="AM16" s="5">
        <v>1</v>
      </c>
      <c r="AN16" s="5">
        <v>1</v>
      </c>
      <c r="AO16" s="5">
        <v>0</v>
      </c>
      <c r="AP16" s="5">
        <v>-1</v>
      </c>
      <c r="AQ16" s="5">
        <v>1</v>
      </c>
      <c r="AR16" s="5">
        <v>0</v>
      </c>
    </row>
    <row r="17" spans="1:44">
      <c r="A17" t="s">
        <v>415</v>
      </c>
      <c r="B17" t="s">
        <v>424</v>
      </c>
      <c r="C17" t="s">
        <v>423</v>
      </c>
      <c r="D17" t="s">
        <v>415</v>
      </c>
      <c r="E17" s="57" t="s">
        <v>26</v>
      </c>
      <c r="F17" s="57">
        <v>5</v>
      </c>
      <c r="G17" s="57">
        <v>4</v>
      </c>
      <c r="H17">
        <v>4.25</v>
      </c>
      <c r="I17">
        <v>270</v>
      </c>
      <c r="J17">
        <v>482</v>
      </c>
      <c r="K17">
        <v>124</v>
      </c>
      <c r="L17">
        <v>193</v>
      </c>
      <c r="M17">
        <v>177</v>
      </c>
      <c r="N17">
        <v>148</v>
      </c>
      <c r="O17">
        <v>0</v>
      </c>
      <c r="P17" s="4">
        <f t="shared" si="0"/>
        <v>209.57997557997558</v>
      </c>
      <c r="Q17" s="4">
        <f t="shared" si="1"/>
        <v>218.66666666666666</v>
      </c>
      <c r="R17" s="7">
        <f t="shared" si="2"/>
        <v>214.12332112332112</v>
      </c>
      <c r="S17">
        <f t="shared" si="3"/>
        <v>171646</v>
      </c>
      <c r="T17">
        <v>0</v>
      </c>
      <c r="U17" s="4">
        <f t="shared" si="4"/>
        <v>124.8</v>
      </c>
      <c r="V17" s="4">
        <f t="shared" si="5"/>
        <v>99.08957606511386</v>
      </c>
      <c r="W17" s="7">
        <f t="shared" si="6"/>
        <v>111.94478803255693</v>
      </c>
      <c r="X17" s="4">
        <f t="shared" si="7"/>
        <v>0.27739109339089302</v>
      </c>
      <c r="Y17" s="4">
        <f t="shared" si="16"/>
        <v>285.99455036863935</v>
      </c>
      <c r="Z17" s="7">
        <f t="shared" si="8"/>
        <v>1.9127582881397531</v>
      </c>
      <c r="AA17" s="4">
        <f t="shared" si="9"/>
        <v>9.2467232797234544</v>
      </c>
      <c r="AB17" s="4">
        <f t="shared" si="10"/>
        <v>7.0980249303147476</v>
      </c>
      <c r="AC17" s="4">
        <f t="shared" si="11"/>
        <v>5.132246109191132</v>
      </c>
      <c r="AD17" s="4">
        <f t="shared" si="17"/>
        <v>1.8016913224726054</v>
      </c>
      <c r="AE17" s="4">
        <f t="shared" si="12"/>
        <v>1.3406890975751642</v>
      </c>
      <c r="AF17" s="8">
        <f t="shared" si="13"/>
        <v>0.51757768313296171</v>
      </c>
      <c r="AG17" s="8">
        <f t="shared" si="14"/>
        <v>0.11483528794305621</v>
      </c>
      <c r="AH17" s="8">
        <f t="shared" si="15"/>
        <v>2.1218359212394552E-2</v>
      </c>
      <c r="AK17" s="5">
        <v>-4.027E-2</v>
      </c>
      <c r="AL17" s="4">
        <v>0.62350000000000005</v>
      </c>
      <c r="AM17" s="5">
        <v>1</v>
      </c>
      <c r="AN17" s="5">
        <v>1</v>
      </c>
      <c r="AO17" s="5">
        <v>0</v>
      </c>
      <c r="AP17" s="5">
        <v>-1</v>
      </c>
      <c r="AQ17" s="5">
        <v>1</v>
      </c>
      <c r="AR17" s="5">
        <v>0</v>
      </c>
    </row>
    <row r="18" spans="1:44">
      <c r="A18" t="s">
        <v>415</v>
      </c>
      <c r="B18" t="s">
        <v>424</v>
      </c>
      <c r="C18" t="s">
        <v>423</v>
      </c>
      <c r="D18" t="s">
        <v>415</v>
      </c>
      <c r="E18" s="57" t="s">
        <v>26</v>
      </c>
      <c r="F18" s="57">
        <v>5</v>
      </c>
      <c r="G18" s="57">
        <v>4</v>
      </c>
      <c r="H18">
        <v>4.26</v>
      </c>
      <c r="I18">
        <v>271</v>
      </c>
      <c r="J18">
        <v>484</v>
      </c>
      <c r="K18">
        <v>124</v>
      </c>
      <c r="L18">
        <v>195</v>
      </c>
      <c r="M18">
        <v>178</v>
      </c>
      <c r="N18">
        <v>150</v>
      </c>
      <c r="O18">
        <v>0</v>
      </c>
      <c r="P18" s="4">
        <f t="shared" si="0"/>
        <v>210.91309669522644</v>
      </c>
      <c r="Q18" s="4">
        <f t="shared" si="1"/>
        <v>220.22222222222223</v>
      </c>
      <c r="R18" s="7">
        <f t="shared" si="2"/>
        <v>215.56765945872434</v>
      </c>
      <c r="S18">
        <f t="shared" si="3"/>
        <v>172316</v>
      </c>
      <c r="T18">
        <v>0</v>
      </c>
      <c r="U18" s="4">
        <f t="shared" si="4"/>
        <v>125.13333333333334</v>
      </c>
      <c r="V18" s="4">
        <f t="shared" si="5"/>
        <v>99.14596380592954</v>
      </c>
      <c r="W18" s="7">
        <f t="shared" si="6"/>
        <v>112.13964856963145</v>
      </c>
      <c r="X18" s="4">
        <f t="shared" si="7"/>
        <v>0.27833418039329455</v>
      </c>
      <c r="Y18" s="4">
        <f t="shared" si="16"/>
        <v>286.70389148770386</v>
      </c>
      <c r="Z18" s="7">
        <f t="shared" si="8"/>
        <v>1.9223143839698302</v>
      </c>
      <c r="AA18" s="4">
        <f t="shared" si="9"/>
        <v>9.2574952615479127</v>
      </c>
      <c r="AB18" s="4">
        <f t="shared" si="10"/>
        <v>7.1135600765117513</v>
      </c>
      <c r="AC18" s="4">
        <f t="shared" si="11"/>
        <v>5.1306784314143243</v>
      </c>
      <c r="AD18" s="4">
        <f t="shared" si="17"/>
        <v>1.8043413527664778</v>
      </c>
      <c r="AE18" s="4">
        <f t="shared" si="12"/>
        <v>1.3546983997500943</v>
      </c>
      <c r="AF18" s="8">
        <f t="shared" si="13"/>
        <v>0.52231568232546488</v>
      </c>
      <c r="AG18" s="8">
        <f t="shared" si="14"/>
        <v>0.11587056789850438</v>
      </c>
      <c r="AH18" s="8">
        <f t="shared" si="15"/>
        <v>2.1592119964493662E-2</v>
      </c>
      <c r="AK18" s="5">
        <v>-4.5539999999999997E-2</v>
      </c>
      <c r="AL18" s="4">
        <v>0.62460000000000004</v>
      </c>
      <c r="AM18" s="5">
        <v>1</v>
      </c>
      <c r="AN18" s="5">
        <v>1</v>
      </c>
      <c r="AO18" s="5">
        <v>0</v>
      </c>
      <c r="AP18" s="5">
        <v>-1</v>
      </c>
      <c r="AQ18" s="5">
        <v>1</v>
      </c>
      <c r="AR18" s="5">
        <v>0</v>
      </c>
    </row>
    <row r="19" spans="1:44">
      <c r="A19" t="s">
        <v>425</v>
      </c>
      <c r="B19" t="s">
        <v>697</v>
      </c>
      <c r="C19" t="s">
        <v>445</v>
      </c>
      <c r="E19" s="57" t="s">
        <v>26</v>
      </c>
      <c r="F19" s="57">
        <v>5</v>
      </c>
      <c r="G19" s="57">
        <v>9</v>
      </c>
      <c r="H19">
        <v>4.45</v>
      </c>
      <c r="I19">
        <v>140</v>
      </c>
      <c r="J19">
        <v>83</v>
      </c>
      <c r="K19">
        <v>33</v>
      </c>
      <c r="L19">
        <v>59</v>
      </c>
      <c r="M19">
        <v>36</v>
      </c>
      <c r="N19">
        <v>24</v>
      </c>
      <c r="O19">
        <v>0</v>
      </c>
      <c r="P19" s="4">
        <f t="shared" si="0"/>
        <v>54.699186991869915</v>
      </c>
      <c r="Q19" s="4">
        <f t="shared" si="1"/>
        <v>59</v>
      </c>
      <c r="R19" s="7">
        <f t="shared" si="2"/>
        <v>56.849593495934954</v>
      </c>
      <c r="S19">
        <f t="shared" si="3"/>
        <v>13456</v>
      </c>
      <c r="T19">
        <v>0</v>
      </c>
      <c r="U19" s="4">
        <f t="shared" si="4"/>
        <v>43.6</v>
      </c>
      <c r="V19" s="4">
        <f t="shared" si="5"/>
        <v>40.619380864341672</v>
      </c>
      <c r="W19" s="7">
        <f t="shared" si="6"/>
        <v>42.109690432170837</v>
      </c>
      <c r="X19" s="4">
        <f t="shared" si="7"/>
        <v>0.20297663020428028</v>
      </c>
      <c r="Y19" s="4">
        <f t="shared" si="16"/>
        <v>101.3139469900766</v>
      </c>
      <c r="Z19" s="7">
        <f t="shared" si="8"/>
        <v>1.3500358922729854</v>
      </c>
      <c r="AA19" s="4">
        <f t="shared" si="9"/>
        <v>5.0390798028669916</v>
      </c>
      <c r="AB19" s="4">
        <f t="shared" si="10"/>
        <v>3.5742397163100716</v>
      </c>
      <c r="AC19" s="4">
        <f t="shared" si="11"/>
        <v>3.0761748621478429</v>
      </c>
      <c r="AD19" s="4">
        <f t="shared" si="17"/>
        <v>1.6380992722073711</v>
      </c>
      <c r="AE19" s="4">
        <f t="shared" si="12"/>
        <v>0.44552281508638991</v>
      </c>
      <c r="AF19" s="8">
        <f t="shared" si="13"/>
        <v>0.17550026986508568</v>
      </c>
      <c r="AG19" s="8">
        <f t="shared" si="14"/>
        <v>3.5391130937657111E-2</v>
      </c>
      <c r="AH19" s="8">
        <f t="shared" si="15"/>
        <v>3.782624240257422E-2</v>
      </c>
      <c r="AK19" s="4">
        <v>0.1244</v>
      </c>
      <c r="AL19" s="4">
        <v>0.3</v>
      </c>
      <c r="AM19" s="4">
        <v>19</v>
      </c>
      <c r="AN19" s="4">
        <v>19</v>
      </c>
      <c r="AO19" s="4">
        <v>30</v>
      </c>
      <c r="AP19" s="4">
        <v>-1</v>
      </c>
      <c r="AQ19" s="4">
        <v>1</v>
      </c>
      <c r="AR19" s="4">
        <v>0</v>
      </c>
    </row>
    <row r="20" spans="1:44">
      <c r="A20" t="s">
        <v>426</v>
      </c>
      <c r="B20" t="s">
        <v>446</v>
      </c>
      <c r="C20" t="s">
        <v>445</v>
      </c>
      <c r="E20" s="57" t="s">
        <v>26</v>
      </c>
      <c r="F20" s="57">
        <v>5</v>
      </c>
      <c r="G20" s="57">
        <v>9</v>
      </c>
      <c r="H20">
        <v>0</v>
      </c>
      <c r="I20">
        <v>153</v>
      </c>
      <c r="J20">
        <v>166</v>
      </c>
      <c r="K20">
        <v>55.8</v>
      </c>
      <c r="L20">
        <v>54</v>
      </c>
      <c r="M20">
        <v>48</v>
      </c>
      <c r="N20">
        <v>44</v>
      </c>
      <c r="O20">
        <v>0</v>
      </c>
      <c r="P20" s="4">
        <f t="shared" si="0"/>
        <v>82.616246498599438</v>
      </c>
      <c r="Q20" s="4">
        <f t="shared" si="1"/>
        <v>82.666666666666671</v>
      </c>
      <c r="R20" s="7">
        <f t="shared" si="2"/>
        <v>82.641456582633054</v>
      </c>
      <c r="S20">
        <f t="shared" si="3"/>
        <v>29494</v>
      </c>
      <c r="T20">
        <v>0</v>
      </c>
      <c r="U20" s="4">
        <f t="shared" si="4"/>
        <v>55.519999999999996</v>
      </c>
      <c r="V20" s="4">
        <f t="shared" si="5"/>
        <v>55.416760462832102</v>
      </c>
      <c r="W20" s="7">
        <f t="shared" si="6"/>
        <v>55.468380231416049</v>
      </c>
      <c r="X20" s="4">
        <f t="shared" si="7"/>
        <v>0.22575953000591911</v>
      </c>
      <c r="Y20" s="4">
        <f t="shared" si="16"/>
        <v>135.98179136530032</v>
      </c>
      <c r="Z20" s="7">
        <f t="shared" si="8"/>
        <v>1.4898840787823615</v>
      </c>
      <c r="AA20" s="4" t="e">
        <f t="shared" si="9"/>
        <v>#DIV/0!</v>
      </c>
      <c r="AB20" s="4" t="e">
        <f t="shared" si="10"/>
        <v>#DIV/0!</v>
      </c>
      <c r="AC20" s="4" t="e">
        <f t="shared" si="11"/>
        <v>#DIV/0!</v>
      </c>
      <c r="AD20" s="4" t="e">
        <f t="shared" si="17"/>
        <v>#DIV/0!</v>
      </c>
      <c r="AE20" s="4">
        <f t="shared" si="12"/>
        <v>9.9251233118682336E-3</v>
      </c>
      <c r="AF20" s="8">
        <f t="shared" si="13"/>
        <v>4.2063247895819545E-3</v>
      </c>
      <c r="AG20" s="8">
        <f t="shared" si="14"/>
        <v>9.3061611621950613E-4</v>
      </c>
      <c r="AH20" s="8">
        <f t="shared" si="15"/>
        <v>3.0505372335020965E-4</v>
      </c>
      <c r="AK20" s="4">
        <v>0.19689999999999999</v>
      </c>
      <c r="AL20" s="4">
        <v>0.2571</v>
      </c>
      <c r="AM20" s="4">
        <v>1</v>
      </c>
      <c r="AN20" s="4">
        <v>0</v>
      </c>
      <c r="AO20" s="4">
        <v>0</v>
      </c>
      <c r="AP20" s="4">
        <v>0</v>
      </c>
      <c r="AQ20" s="4">
        <v>0</v>
      </c>
      <c r="AR20" s="4">
        <v>1</v>
      </c>
    </row>
    <row r="21" spans="1:44">
      <c r="A21" t="s">
        <v>427</v>
      </c>
      <c r="B21" t="s">
        <v>447</v>
      </c>
      <c r="C21" t="s">
        <v>448</v>
      </c>
      <c r="D21" t="s">
        <v>449</v>
      </c>
      <c r="E21" s="57" t="s">
        <v>26</v>
      </c>
      <c r="F21" s="57">
        <v>5</v>
      </c>
      <c r="G21" s="57">
        <v>9</v>
      </c>
      <c r="H21">
        <v>0</v>
      </c>
      <c r="I21">
        <v>99</v>
      </c>
      <c r="J21">
        <v>113</v>
      </c>
      <c r="K21">
        <v>15.6</v>
      </c>
      <c r="L21">
        <v>22.9</v>
      </c>
      <c r="M21">
        <v>35.1</v>
      </c>
      <c r="N21">
        <v>35.4</v>
      </c>
      <c r="O21">
        <v>0</v>
      </c>
      <c r="P21" s="4">
        <f t="shared" si="0"/>
        <v>57.88091533180777</v>
      </c>
      <c r="Q21" s="4">
        <f t="shared" si="1"/>
        <v>58.088888888888881</v>
      </c>
      <c r="R21" s="7">
        <f t="shared" si="2"/>
        <v>57.98490211034833</v>
      </c>
      <c r="S21">
        <f t="shared" si="3"/>
        <v>12646.98</v>
      </c>
      <c r="T21">
        <v>0</v>
      </c>
      <c r="U21" s="4">
        <f t="shared" si="4"/>
        <v>24.493333333333336</v>
      </c>
      <c r="V21" s="4">
        <f t="shared" si="5"/>
        <v>21.670277707584898</v>
      </c>
      <c r="W21" s="7">
        <f t="shared" si="6"/>
        <v>23.081805520459117</v>
      </c>
      <c r="X21" s="4">
        <f t="shared" si="7"/>
        <v>0.32428277908826381</v>
      </c>
      <c r="Y21" s="4">
        <f t="shared" si="16"/>
        <v>61.133675122016861</v>
      </c>
      <c r="Z21" s="7">
        <f t="shared" si="8"/>
        <v>2.5121475899687313</v>
      </c>
      <c r="AA21" s="4" t="e">
        <f t="shared" si="9"/>
        <v>#DIV/0!</v>
      </c>
      <c r="AB21" s="4" t="e">
        <f t="shared" si="10"/>
        <v>#DIV/0!</v>
      </c>
      <c r="AC21" s="4" t="e">
        <f t="shared" si="11"/>
        <v>#DIV/0!</v>
      </c>
      <c r="AD21" s="4" t="e">
        <f t="shared" si="17"/>
        <v>#DIV/0!</v>
      </c>
      <c r="AE21" s="4">
        <f t="shared" si="12"/>
        <v>0.65495894465107618</v>
      </c>
      <c r="AF21" s="8">
        <f t="shared" si="13"/>
        <v>0.27385089960799658</v>
      </c>
      <c r="AG21" s="8">
        <f t="shared" si="14"/>
        <v>6.1153266871739179E-2</v>
      </c>
      <c r="AH21" s="8">
        <f t="shared" si="15"/>
        <v>1.7933423142228156E-3</v>
      </c>
      <c r="AK21" s="4">
        <v>0.15110000000000001</v>
      </c>
      <c r="AL21" s="4">
        <v>0.57579999999999998</v>
      </c>
      <c r="AM21" s="4">
        <v>27</v>
      </c>
      <c r="AN21" s="4">
        <v>0</v>
      </c>
      <c r="AO21" s="4">
        <v>-29</v>
      </c>
      <c r="AP21" s="4">
        <v>0</v>
      </c>
      <c r="AQ21" s="4">
        <v>1</v>
      </c>
      <c r="AR21" s="4">
        <v>0</v>
      </c>
    </row>
    <row r="22" spans="1:44">
      <c r="A22" t="s">
        <v>427</v>
      </c>
      <c r="B22" t="s">
        <v>447</v>
      </c>
      <c r="C22" t="s">
        <v>448</v>
      </c>
      <c r="D22" t="s">
        <v>449</v>
      </c>
      <c r="E22" s="57" t="s">
        <v>26</v>
      </c>
      <c r="F22" s="57">
        <v>5</v>
      </c>
      <c r="G22" s="57">
        <v>9</v>
      </c>
      <c r="H22">
        <v>0</v>
      </c>
      <c r="I22">
        <v>102</v>
      </c>
      <c r="J22">
        <v>140</v>
      </c>
      <c r="K22">
        <v>23</v>
      </c>
      <c r="L22">
        <v>30.4</v>
      </c>
      <c r="M22">
        <v>38.9</v>
      </c>
      <c r="N22">
        <v>43.3</v>
      </c>
      <c r="O22">
        <v>0</v>
      </c>
      <c r="P22" s="4">
        <f t="shared" si="0"/>
        <v>64.498264029067428</v>
      </c>
      <c r="Q22" s="4">
        <f t="shared" si="1"/>
        <v>66.111111111111114</v>
      </c>
      <c r="R22" s="7">
        <f t="shared" si="2"/>
        <v>65.304687570089271</v>
      </c>
      <c r="S22">
        <f t="shared" si="3"/>
        <v>15976.220000000001</v>
      </c>
      <c r="T22">
        <v>0</v>
      </c>
      <c r="U22" s="4">
        <f t="shared" si="4"/>
        <v>29.846666666666668</v>
      </c>
      <c r="V22" s="4">
        <f t="shared" si="5"/>
        <v>28.348600828142086</v>
      </c>
      <c r="W22" s="7">
        <f t="shared" si="6"/>
        <v>29.097633747404377</v>
      </c>
      <c r="X22" s="4">
        <f t="shared" si="7"/>
        <v>0.30602585861878934</v>
      </c>
      <c r="Y22" s="4">
        <f t="shared" si="16"/>
        <v>76.004524197457727</v>
      </c>
      <c r="Z22" s="7">
        <f t="shared" si="8"/>
        <v>2.2443298357865511</v>
      </c>
      <c r="AA22" s="4" t="e">
        <f t="shared" si="9"/>
        <v>#DIV/0!</v>
      </c>
      <c r="AB22" s="4" t="e">
        <f t="shared" si="10"/>
        <v>#DIV/0!</v>
      </c>
      <c r="AC22" s="4" t="e">
        <f t="shared" si="11"/>
        <v>#DIV/0!</v>
      </c>
      <c r="AD22" s="4" t="e">
        <f t="shared" si="17"/>
        <v>#DIV/0!</v>
      </c>
      <c r="AE22" s="4">
        <f t="shared" si="12"/>
        <v>0.2892282370245205</v>
      </c>
      <c r="AF22" s="8">
        <f t="shared" si="13"/>
        <v>0.11776647919549604</v>
      </c>
      <c r="AG22" s="8">
        <f t="shared" si="14"/>
        <v>2.5742056064236067E-2</v>
      </c>
      <c r="AH22" s="8">
        <f t="shared" si="15"/>
        <v>1.2348631790885399E-2</v>
      </c>
      <c r="AK22" s="4">
        <v>0.21129999999999999</v>
      </c>
      <c r="AL22" s="4">
        <v>0.47449999999999998</v>
      </c>
      <c r="AM22" s="4">
        <v>-28</v>
      </c>
      <c r="AN22" s="4">
        <v>0</v>
      </c>
      <c r="AO22" s="4">
        <v>29</v>
      </c>
      <c r="AP22" s="4">
        <v>0</v>
      </c>
      <c r="AQ22" s="4">
        <v>1</v>
      </c>
      <c r="AR22" s="4">
        <v>0</v>
      </c>
    </row>
    <row r="23" spans="1:44">
      <c r="A23" t="s">
        <v>706</v>
      </c>
      <c r="B23" t="s">
        <v>428</v>
      </c>
      <c r="C23" t="s">
        <v>423</v>
      </c>
      <c r="D23" t="s">
        <v>328</v>
      </c>
      <c r="E23" s="57" t="s">
        <v>26</v>
      </c>
      <c r="F23" s="57">
        <v>5</v>
      </c>
      <c r="G23" s="57">
        <v>4</v>
      </c>
      <c r="H23">
        <v>7.97</v>
      </c>
      <c r="I23">
        <v>237</v>
      </c>
      <c r="J23">
        <v>60</v>
      </c>
      <c r="K23">
        <v>69</v>
      </c>
      <c r="L23">
        <v>104</v>
      </c>
      <c r="M23">
        <v>90</v>
      </c>
      <c r="N23">
        <v>70</v>
      </c>
      <c r="O23">
        <v>0</v>
      </c>
      <c r="P23" s="4">
        <f t="shared" si="0"/>
        <v>58.802395209580837</v>
      </c>
      <c r="Q23" s="4">
        <f t="shared" si="1"/>
        <v>110.44444444444444</v>
      </c>
      <c r="R23" s="7">
        <f t="shared" si="2"/>
        <v>84.62341982701264</v>
      </c>
      <c r="S23">
        <f t="shared" si="3"/>
        <v>9820</v>
      </c>
      <c r="T23">
        <v>0</v>
      </c>
      <c r="U23" s="4">
        <f t="shared" si="4"/>
        <v>68.666666666666671</v>
      </c>
      <c r="V23" s="4">
        <f t="shared" si="5"/>
        <v>41.775399447831433</v>
      </c>
      <c r="W23" s="7">
        <f t="shared" si="6"/>
        <v>55.221033057249052</v>
      </c>
      <c r="X23" s="4">
        <f t="shared" si="7"/>
        <v>0.23201590732093083</v>
      </c>
      <c r="Y23" s="4">
        <f t="shared" si="16"/>
        <v>136.0663822904516</v>
      </c>
      <c r="Z23" s="7">
        <f t="shared" si="8"/>
        <v>1.5324490532308837</v>
      </c>
      <c r="AA23" s="4">
        <f t="shared" si="9"/>
        <v>4.4559951284883894</v>
      </c>
      <c r="AB23" s="4">
        <f t="shared" si="10"/>
        <v>3.2584879957498312</v>
      </c>
      <c r="AC23" s="4">
        <f t="shared" si="11"/>
        <v>2.6322255649924613</v>
      </c>
      <c r="AD23" s="4">
        <f t="shared" si="17"/>
        <v>1.6928621877058441</v>
      </c>
      <c r="AE23" s="4">
        <f t="shared" si="12"/>
        <v>4.0967833419358399</v>
      </c>
      <c r="AF23" s="8">
        <f t="shared" si="13"/>
        <v>1.277553717488529</v>
      </c>
      <c r="AG23" s="8">
        <f t="shared" si="14"/>
        <v>0.2434875420653248</v>
      </c>
      <c r="AH23" s="8">
        <f t="shared" si="15"/>
        <v>0.30512858816407079</v>
      </c>
      <c r="AK23" s="5">
        <v>-0.30830000000000002</v>
      </c>
      <c r="AL23" s="4">
        <v>1.306</v>
      </c>
      <c r="AM23" s="5">
        <v>-15</v>
      </c>
      <c r="AN23" s="5">
        <v>0</v>
      </c>
      <c r="AO23" s="5">
        <v>13</v>
      </c>
      <c r="AP23" s="5">
        <v>13</v>
      </c>
      <c r="AQ23" s="5">
        <v>0</v>
      </c>
      <c r="AR23" s="5">
        <v>15</v>
      </c>
    </row>
    <row r="24" spans="1:44">
      <c r="A24" t="s">
        <v>706</v>
      </c>
      <c r="B24" t="s">
        <v>428</v>
      </c>
      <c r="C24" t="s">
        <v>423</v>
      </c>
      <c r="D24" t="s">
        <v>328</v>
      </c>
      <c r="E24" s="57" t="s">
        <v>26</v>
      </c>
      <c r="F24" s="57">
        <v>5</v>
      </c>
      <c r="G24" s="57">
        <v>4</v>
      </c>
      <c r="H24">
        <v>0</v>
      </c>
      <c r="I24">
        <v>237</v>
      </c>
      <c r="J24">
        <v>90</v>
      </c>
      <c r="K24">
        <v>69</v>
      </c>
      <c r="L24">
        <v>104</v>
      </c>
      <c r="M24">
        <v>90</v>
      </c>
      <c r="N24">
        <v>100</v>
      </c>
      <c r="O24">
        <v>0</v>
      </c>
      <c r="P24" s="4">
        <f t="shared" si="0"/>
        <v>88.130841121495322</v>
      </c>
      <c r="Q24" s="4">
        <f t="shared" si="1"/>
        <v>127.11111111111111</v>
      </c>
      <c r="R24" s="7">
        <f t="shared" si="2"/>
        <v>107.62097611630321</v>
      </c>
      <c r="S24">
        <f t="shared" si="3"/>
        <v>9430</v>
      </c>
      <c r="T24">
        <v>0</v>
      </c>
      <c r="U24" s="4">
        <f t="shared" si="4"/>
        <v>66.666666666666671</v>
      </c>
      <c r="V24" s="4">
        <f t="shared" si="5"/>
        <v>37.570547468474174</v>
      </c>
      <c r="W24" s="7">
        <f t="shared" si="6"/>
        <v>52.118607067570423</v>
      </c>
      <c r="X24" s="4">
        <f t="shared" si="7"/>
        <v>0.29151530617494031</v>
      </c>
      <c r="Y24" s="4">
        <f t="shared" si="16"/>
        <v>134.62395752856926</v>
      </c>
      <c r="Z24" s="7">
        <f t="shared" si="8"/>
        <v>2.0649242597135302</v>
      </c>
      <c r="AA24" s="4" t="e">
        <f t="shared" si="9"/>
        <v>#DIV/0!</v>
      </c>
      <c r="AB24" s="4" t="e">
        <f t="shared" si="10"/>
        <v>#DIV/0!</v>
      </c>
      <c r="AC24" s="4" t="e">
        <f t="shared" si="11"/>
        <v>#DIV/0!</v>
      </c>
      <c r="AD24" s="4" t="e">
        <f t="shared" si="17"/>
        <v>#DIV/0!</v>
      </c>
      <c r="AE24" s="4">
        <f t="shared" si="12"/>
        <v>4.3144979143464237</v>
      </c>
      <c r="AF24" s="8">
        <f t="shared" si="13"/>
        <v>1.3336244759249309</v>
      </c>
      <c r="AG24" s="8">
        <f t="shared" si="14"/>
        <v>0.27913369941439659</v>
      </c>
      <c r="AH24" s="8">
        <f t="shared" si="15"/>
        <v>0.18109977904070867</v>
      </c>
      <c r="AK24" s="5">
        <v>-0.33</v>
      </c>
      <c r="AL24" s="4">
        <v>1.478</v>
      </c>
      <c r="AM24" s="5">
        <v>1</v>
      </c>
      <c r="AN24" s="5">
        <v>1</v>
      </c>
      <c r="AO24" s="5">
        <v>0</v>
      </c>
      <c r="AP24" s="5">
        <v>-1</v>
      </c>
      <c r="AQ24" s="5">
        <v>1</v>
      </c>
      <c r="AR24" s="5">
        <v>0</v>
      </c>
    </row>
    <row r="25" spans="1:44">
      <c r="A25" t="s">
        <v>706</v>
      </c>
      <c r="B25" t="s">
        <v>428</v>
      </c>
      <c r="C25" t="s">
        <v>423</v>
      </c>
      <c r="D25" t="s">
        <v>328</v>
      </c>
      <c r="E25" s="57" t="s">
        <v>26</v>
      </c>
      <c r="F25" s="57">
        <v>5</v>
      </c>
      <c r="G25" s="57">
        <v>4</v>
      </c>
      <c r="H25">
        <v>0</v>
      </c>
      <c r="I25">
        <v>235</v>
      </c>
      <c r="J25">
        <v>105</v>
      </c>
      <c r="K25">
        <v>65</v>
      </c>
      <c r="L25">
        <v>104</v>
      </c>
      <c r="M25">
        <v>101</v>
      </c>
      <c r="N25">
        <v>99</v>
      </c>
      <c r="O25">
        <v>0</v>
      </c>
      <c r="P25" s="4">
        <f t="shared" si="0"/>
        <v>104.52</v>
      </c>
      <c r="Q25" s="4">
        <f t="shared" si="1"/>
        <v>130.33333333333334</v>
      </c>
      <c r="R25" s="7">
        <f t="shared" si="2"/>
        <v>117.42666666666668</v>
      </c>
      <c r="S25">
        <f t="shared" si="3"/>
        <v>15678</v>
      </c>
      <c r="T25">
        <v>0</v>
      </c>
      <c r="U25" s="4">
        <f t="shared" si="4"/>
        <v>65.2</v>
      </c>
      <c r="V25" s="4">
        <f t="shared" si="5"/>
        <v>47.533577903768609</v>
      </c>
      <c r="W25" s="7">
        <f t="shared" si="6"/>
        <v>56.366788951884303</v>
      </c>
      <c r="X25" s="4">
        <f t="shared" si="7"/>
        <v>0.29309715452632196</v>
      </c>
      <c r="Y25" s="4">
        <f t="shared" si="16"/>
        <v>145.77546880693461</v>
      </c>
      <c r="Z25" s="7">
        <f t="shared" si="8"/>
        <v>2.0832598210784044</v>
      </c>
      <c r="AA25" s="4" t="e">
        <f t="shared" si="9"/>
        <v>#DIV/0!</v>
      </c>
      <c r="AB25" s="4" t="e">
        <f t="shared" si="10"/>
        <v>#DIV/0!</v>
      </c>
      <c r="AC25" s="4" t="e">
        <f t="shared" si="11"/>
        <v>#DIV/0!</v>
      </c>
      <c r="AD25" s="4" t="e">
        <f t="shared" si="17"/>
        <v>#DIV/0!</v>
      </c>
      <c r="AE25" s="4">
        <f t="shared" si="12"/>
        <v>2.1052800102053837</v>
      </c>
      <c r="AF25" s="8">
        <f t="shared" si="13"/>
        <v>0.74031677806886209</v>
      </c>
      <c r="AG25" s="8">
        <f t="shared" si="14"/>
        <v>0.15670949529617312</v>
      </c>
      <c r="AH25" s="8">
        <f t="shared" si="15"/>
        <v>0.10991256954695133</v>
      </c>
      <c r="AK25" s="5">
        <v>-0.16420000000000001</v>
      </c>
      <c r="AL25" s="4">
        <v>1.0980000000000001</v>
      </c>
      <c r="AM25" s="5">
        <v>1</v>
      </c>
      <c r="AN25" s="5">
        <v>1</v>
      </c>
      <c r="AO25" s="5">
        <v>0</v>
      </c>
      <c r="AP25" s="5">
        <v>-1</v>
      </c>
      <c r="AQ25" s="5">
        <v>1</v>
      </c>
      <c r="AR25" s="5">
        <v>0</v>
      </c>
    </row>
    <row r="26" spans="1:44">
      <c r="A26" t="s">
        <v>955</v>
      </c>
      <c r="B26" t="s">
        <v>429</v>
      </c>
      <c r="C26" t="s">
        <v>431</v>
      </c>
      <c r="D26" t="s">
        <v>432</v>
      </c>
      <c r="E26" s="57" t="s">
        <v>26</v>
      </c>
      <c r="F26" s="57">
        <v>5</v>
      </c>
      <c r="G26" s="57">
        <v>9</v>
      </c>
      <c r="H26">
        <v>4.6749999999999998</v>
      </c>
      <c r="I26">
        <v>424.3</v>
      </c>
      <c r="J26">
        <v>489.3</v>
      </c>
      <c r="K26">
        <v>113.1</v>
      </c>
      <c r="L26">
        <v>48.3</v>
      </c>
      <c r="M26">
        <v>69.7</v>
      </c>
      <c r="N26">
        <v>148.9</v>
      </c>
      <c r="O26">
        <v>0</v>
      </c>
      <c r="P26" s="4">
        <f t="shared" si="0"/>
        <v>225.05334093500574</v>
      </c>
      <c r="Q26" s="4">
        <f t="shared" si="1"/>
        <v>230.32222222222222</v>
      </c>
      <c r="R26" s="7">
        <f t="shared" si="2"/>
        <v>227.68778157861396</v>
      </c>
      <c r="S26">
        <f t="shared" si="3"/>
        <v>197371.78</v>
      </c>
      <c r="T26">
        <v>0</v>
      </c>
      <c r="U26" s="4">
        <f t="shared" si="4"/>
        <v>119.59333333333333</v>
      </c>
      <c r="V26" s="4">
        <f t="shared" si="5"/>
        <v>97.983050212030037</v>
      </c>
      <c r="W26" s="7">
        <f t="shared" si="6"/>
        <v>108.78819177268169</v>
      </c>
      <c r="X26" s="4">
        <f t="shared" si="7"/>
        <v>0.29392312809224941</v>
      </c>
      <c r="Y26" s="4">
        <f t="shared" si="16"/>
        <v>281.52711479601561</v>
      </c>
      <c r="Z26" s="7">
        <f t="shared" si="8"/>
        <v>2.0929457312276947</v>
      </c>
      <c r="AA26" s="4">
        <f t="shared" si="9"/>
        <v>8.9291771206424873</v>
      </c>
      <c r="AB26" s="4">
        <f t="shared" si="10"/>
        <v>6.978772727841859</v>
      </c>
      <c r="AC26" s="4">
        <f t="shared" si="11"/>
        <v>4.8239197183102007</v>
      </c>
      <c r="AD26" s="4">
        <f t="shared" si="17"/>
        <v>1.8510210870114441</v>
      </c>
      <c r="AE26" s="4">
        <f t="shared" si="12"/>
        <v>1.1261678947324212</v>
      </c>
      <c r="AF26" s="8">
        <f t="shared" si="13"/>
        <v>0.44625459204571072</v>
      </c>
      <c r="AG26" s="8">
        <f t="shared" si="14"/>
        <v>9.9322742519974291E-2</v>
      </c>
      <c r="AH26" s="8">
        <f t="shared" si="15"/>
        <v>1.1570408501251298E-2</v>
      </c>
      <c r="AK26" s="4">
        <v>6.2330000000000003E-2</v>
      </c>
      <c r="AL26" s="4">
        <v>0.61439999999999995</v>
      </c>
      <c r="AM26" s="4">
        <v>1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</row>
    <row r="27" spans="1:44">
      <c r="A27" t="s">
        <v>430</v>
      </c>
      <c r="B27" t="s">
        <v>429</v>
      </c>
      <c r="C27" t="s">
        <v>431</v>
      </c>
      <c r="D27" t="s">
        <v>432</v>
      </c>
      <c r="E27" s="57" t="s">
        <v>26</v>
      </c>
      <c r="F27" s="57">
        <v>5</v>
      </c>
      <c r="G27" s="57">
        <v>9</v>
      </c>
      <c r="H27" s="4">
        <v>4.7</v>
      </c>
      <c r="I27">
        <v>256</v>
      </c>
      <c r="J27">
        <v>372</v>
      </c>
      <c r="K27">
        <v>73.5</v>
      </c>
      <c r="L27">
        <v>116</v>
      </c>
      <c r="M27">
        <v>175</v>
      </c>
      <c r="N27">
        <v>214</v>
      </c>
      <c r="O27">
        <v>0</v>
      </c>
      <c r="P27" s="4">
        <f t="shared" si="0"/>
        <v>215.48589341692789</v>
      </c>
      <c r="Q27" s="4">
        <f t="shared" si="1"/>
        <v>232.22222222222223</v>
      </c>
      <c r="R27" s="7">
        <f t="shared" si="2"/>
        <v>223.85405781957508</v>
      </c>
      <c r="S27">
        <f t="shared" si="3"/>
        <v>68740</v>
      </c>
      <c r="T27">
        <v>0</v>
      </c>
      <c r="U27" s="4">
        <f t="shared" si="4"/>
        <v>71.333333333333329</v>
      </c>
      <c r="V27" s="4">
        <f t="shared" si="5"/>
        <v>61.886896566224252</v>
      </c>
      <c r="W27" s="7">
        <f t="shared" si="6"/>
        <v>66.61011494977879</v>
      </c>
      <c r="X27" s="4">
        <f t="shared" si="7"/>
        <v>0.36464518650505723</v>
      </c>
      <c r="Y27" s="4">
        <f t="shared" si="16"/>
        <v>181.79834547752833</v>
      </c>
      <c r="Z27" s="7">
        <f t="shared" si="8"/>
        <v>3.3606616350737659</v>
      </c>
      <c r="AA27" s="4">
        <f t="shared" si="9"/>
        <v>8.1562864988247359</v>
      </c>
      <c r="AB27" s="4">
        <f t="shared" si="10"/>
        <v>6.9013421115269402</v>
      </c>
      <c r="AC27" s="4">
        <f t="shared" si="11"/>
        <v>3.7646201512146824</v>
      </c>
      <c r="AD27" s="4">
        <f t="shared" si="17"/>
        <v>2.1665629389443315</v>
      </c>
      <c r="AE27" s="4">
        <f t="shared" si="12"/>
        <v>0.84086954936410407</v>
      </c>
      <c r="AF27" s="8">
        <f t="shared" si="13"/>
        <v>0.32633329182912962</v>
      </c>
      <c r="AG27" s="8">
        <f t="shared" si="14"/>
        <v>7.0908425651504209E-2</v>
      </c>
      <c r="AH27" s="8">
        <f t="shared" si="15"/>
        <v>3.7382232353330193E-2</v>
      </c>
      <c r="AK27" s="5">
        <v>-0.1133</v>
      </c>
      <c r="AL27" s="4">
        <v>0.64039999999999997</v>
      </c>
      <c r="AM27" s="5">
        <v>1</v>
      </c>
      <c r="AN27" s="5">
        <v>1</v>
      </c>
      <c r="AO27" s="5">
        <v>0</v>
      </c>
      <c r="AP27" s="5">
        <v>-1</v>
      </c>
      <c r="AQ27" s="5">
        <v>1</v>
      </c>
      <c r="AR27" s="5">
        <v>0</v>
      </c>
    </row>
    <row r="28" spans="1:44">
      <c r="A28" t="s">
        <v>939</v>
      </c>
      <c r="B28" t="s">
        <v>939</v>
      </c>
      <c r="C28" t="s">
        <v>423</v>
      </c>
      <c r="D28" t="s">
        <v>941</v>
      </c>
      <c r="E28" s="57" t="s">
        <v>23</v>
      </c>
      <c r="F28" s="57">
        <v>5</v>
      </c>
      <c r="H28" s="4">
        <v>6.02</v>
      </c>
      <c r="I28">
        <v>275</v>
      </c>
      <c r="J28">
        <v>165</v>
      </c>
      <c r="K28">
        <v>54</v>
      </c>
      <c r="L28">
        <v>113</v>
      </c>
      <c r="M28">
        <v>179</v>
      </c>
      <c r="N28">
        <v>152</v>
      </c>
      <c r="O28">
        <v>0</v>
      </c>
      <c r="P28" s="4">
        <f t="shared" si="0"/>
        <v>163.07954545454547</v>
      </c>
      <c r="Q28" s="4">
        <f t="shared" si="1"/>
        <v>186.77777777777777</v>
      </c>
      <c r="R28" s="7">
        <f t="shared" si="2"/>
        <v>174.92866161616161</v>
      </c>
      <c r="S28">
        <f t="shared" si="3"/>
        <v>28702</v>
      </c>
      <c r="U28" s="4">
        <f t="shared" si="4"/>
        <v>59.666666666666664</v>
      </c>
      <c r="V28" s="4">
        <f t="shared" si="5"/>
        <v>47.274696013286508</v>
      </c>
      <c r="W28" s="7">
        <f t="shared" si="6"/>
        <v>53.470681339976586</v>
      </c>
      <c r="X28" s="4">
        <f t="shared" si="7"/>
        <v>0.36129684844164905</v>
      </c>
      <c r="Y28" s="4">
        <f t="shared" si="16"/>
        <v>145.57893998427565</v>
      </c>
      <c r="Z28" s="7">
        <f t="shared" si="8"/>
        <v>3.2714874251168125</v>
      </c>
      <c r="AA28" s="4">
        <f t="shared" si="9"/>
        <v>6.3953744627454814</v>
      </c>
      <c r="AB28" s="4">
        <f t="shared" si="10"/>
        <v>5.3905396030441128</v>
      </c>
      <c r="AC28" s="4">
        <f t="shared" si="11"/>
        <v>2.9802974650297167</v>
      </c>
      <c r="AD28" s="4">
        <f t="shared" si="17"/>
        <v>2.1458846097705595</v>
      </c>
      <c r="AE28" s="4">
        <f t="shared" si="12"/>
        <v>1.4559516328280981</v>
      </c>
      <c r="AF28" s="8">
        <f t="shared" si="13"/>
        <v>0.53794495897317207</v>
      </c>
      <c r="AG28" s="8">
        <f t="shared" si="14"/>
        <v>0.11587631149292535</v>
      </c>
      <c r="AH28" s="8">
        <f t="shared" si="15"/>
        <v>6.7736847993590407E-2</v>
      </c>
      <c r="AK28" s="5"/>
      <c r="AM28" s="5"/>
      <c r="AN28" s="5"/>
      <c r="AO28" s="5"/>
      <c r="AP28" s="5"/>
      <c r="AQ28" s="5"/>
      <c r="AR28" s="5"/>
    </row>
    <row r="29" spans="1:44">
      <c r="A29" t="s">
        <v>953</v>
      </c>
      <c r="B29" t="s">
        <v>952</v>
      </c>
      <c r="C29" t="s">
        <v>954</v>
      </c>
      <c r="D29" t="s">
        <v>415</v>
      </c>
      <c r="H29" s="4">
        <v>3.1779999999999999</v>
      </c>
      <c r="I29">
        <v>143.5</v>
      </c>
      <c r="J29">
        <v>208.8</v>
      </c>
      <c r="K29">
        <v>57.8</v>
      </c>
      <c r="L29">
        <v>96.9</v>
      </c>
      <c r="M29" s="7">
        <v>93</v>
      </c>
      <c r="N29">
        <v>66.900000000000006</v>
      </c>
      <c r="O29">
        <v>0</v>
      </c>
      <c r="P29" s="4">
        <f t="shared" si="0"/>
        <v>104.60538163001294</v>
      </c>
      <c r="Q29" s="4">
        <f t="shared" si="1"/>
        <v>105.48888888888889</v>
      </c>
      <c r="R29" s="7">
        <f t="shared" si="2"/>
        <v>105.04713525945093</v>
      </c>
      <c r="S29">
        <f t="shared" si="3"/>
        <v>40429.980000000003</v>
      </c>
      <c r="U29" s="4">
        <f t="shared" si="4"/>
        <v>60.43333333333333</v>
      </c>
      <c r="V29" s="4">
        <f t="shared" si="5"/>
        <v>49.909661844434872</v>
      </c>
      <c r="W29" s="7">
        <f t="shared" si="6"/>
        <v>55.171497588884101</v>
      </c>
      <c r="X29" s="4">
        <f t="shared" si="7"/>
        <v>0.27652075952304495</v>
      </c>
      <c r="Y29" s="4">
        <f t="shared" si="16"/>
        <v>140.85512401237233</v>
      </c>
      <c r="Z29" s="7">
        <f t="shared" si="8"/>
        <v>1.904010944966912</v>
      </c>
      <c r="AA29" s="4">
        <f t="shared" si="9"/>
        <v>7.4967820250742037</v>
      </c>
      <c r="AB29" s="4">
        <f t="shared" si="10"/>
        <v>5.749302506727334</v>
      </c>
      <c r="AC29" s="4">
        <f t="shared" si="11"/>
        <v>4.1665868601543465</v>
      </c>
      <c r="AD29" s="4">
        <f t="shared" si="17"/>
        <v>1.7992621482986422</v>
      </c>
      <c r="AE29" s="4">
        <f t="shared" si="12"/>
        <v>1.062718066155111</v>
      </c>
      <c r="AF29" s="8">
        <f t="shared" si="13"/>
        <v>0.42790110162927336</v>
      </c>
      <c r="AG29" s="8">
        <f t="shared" si="14"/>
        <v>9.5372356640711864E-2</v>
      </c>
      <c r="AH29" s="8">
        <f t="shared" si="15"/>
        <v>4.2052896382838954E-3</v>
      </c>
      <c r="AK29" s="5"/>
      <c r="AM29" s="5"/>
      <c r="AN29" s="5"/>
      <c r="AO29" s="5"/>
      <c r="AP29" s="5"/>
      <c r="AQ29" s="5"/>
      <c r="AR29" s="5"/>
    </row>
    <row r="30" spans="1:44">
      <c r="A30" s="38" t="s">
        <v>442</v>
      </c>
      <c r="P30" s="4"/>
      <c r="Q30" s="4"/>
      <c r="R30" s="7"/>
      <c r="U30" s="4"/>
      <c r="V30" s="4"/>
      <c r="W30" s="7"/>
      <c r="Z30" s="7"/>
      <c r="AA30" s="4" t="e">
        <f t="shared" si="9"/>
        <v>#DIV/0!</v>
      </c>
      <c r="AB30" s="4" t="e">
        <f t="shared" si="10"/>
        <v>#DIV/0!</v>
      </c>
      <c r="AC30" s="4" t="e">
        <f t="shared" si="11"/>
        <v>#DIV/0!</v>
      </c>
      <c r="AD30" s="4" t="e">
        <f t="shared" si="17"/>
        <v>#DIV/0!</v>
      </c>
      <c r="AE30" s="4"/>
      <c r="AF30" s="8" t="e">
        <f t="shared" si="13"/>
        <v>#DIV/0!</v>
      </c>
      <c r="AG30" s="8"/>
      <c r="AH30" s="8"/>
    </row>
    <row r="31" spans="1:44">
      <c r="A31" t="s">
        <v>435</v>
      </c>
      <c r="B31" t="s">
        <v>433</v>
      </c>
      <c r="C31" t="s">
        <v>434</v>
      </c>
      <c r="D31" t="s">
        <v>813</v>
      </c>
      <c r="E31" s="57" t="s">
        <v>25</v>
      </c>
      <c r="F31" s="57">
        <v>5</v>
      </c>
      <c r="G31" s="57">
        <v>7</v>
      </c>
      <c r="H31">
        <v>4.2549999999999999</v>
      </c>
      <c r="I31">
        <v>144</v>
      </c>
      <c r="J31">
        <v>127</v>
      </c>
      <c r="K31">
        <v>36.799999999999997</v>
      </c>
      <c r="L31">
        <v>45.8</v>
      </c>
      <c r="M31">
        <v>65</v>
      </c>
      <c r="N31">
        <v>47</v>
      </c>
      <c r="O31">
        <v>-13.6</v>
      </c>
      <c r="P31" s="4">
        <f>((I31+M31)*J31-2*N31*N31)/(I31+M31+2*J31-4*N31)</f>
        <v>80.454545454545453</v>
      </c>
      <c r="Q31" s="4">
        <f>(2*I31+2*M31+4*N31+J31)/9</f>
        <v>81.444444444444443</v>
      </c>
      <c r="R31" s="7">
        <f>0.5*(Q31+P31)</f>
        <v>80.949494949494948</v>
      </c>
      <c r="S31">
        <f>(I31+M31)*J31-2*N31*N31</f>
        <v>22125</v>
      </c>
      <c r="T31">
        <f>(I31-M31)*L31-2*O31*O31</f>
        <v>3248.2799999999997</v>
      </c>
      <c r="U31" s="4">
        <f>(I31+M31+2*J31-4*N31+3*(I31-M31)+12*K31+6*L31)/30</f>
        <v>40.946666666666665</v>
      </c>
      <c r="V31" s="4">
        <f>15/((18*Q31)/S31+6/(I31-M31)+6/K31+ (3*(I31-M31)*(I31-M31)+12*O31*O31)/((I31-M31)*T31))</f>
        <v>38.773348349722568</v>
      </c>
      <c r="W31" s="7">
        <f>0.5*(U31+V31)</f>
        <v>39.860007508194613</v>
      </c>
      <c r="X31" s="4">
        <f>(3*R31-2*W31)/(2*(3*R31+W31))</f>
        <v>0.28851002754152216</v>
      </c>
      <c r="Y31" s="4">
        <f t="shared" si="16"/>
        <v>102.72003874437823</v>
      </c>
      <c r="Z31" s="7">
        <f>R31/W31</f>
        <v>2.0308449498624142</v>
      </c>
      <c r="AA31" s="4">
        <f t="shared" si="9"/>
        <v>5.6138190169137285</v>
      </c>
      <c r="AB31" s="4">
        <f t="shared" si="10"/>
        <v>4.3617150474317938</v>
      </c>
      <c r="AC31" s="4">
        <f t="shared" si="11"/>
        <v>3.0606869081550903</v>
      </c>
      <c r="AD31" s="4">
        <f t="shared" si="17"/>
        <v>1.8341696440612432</v>
      </c>
      <c r="AE31" s="4">
        <f>5*U31/V31 +Q31/P31 - 6</f>
        <v>0.29256313228524711</v>
      </c>
      <c r="AF31" s="8">
        <f t="shared" si="13"/>
        <v>0.12256069859968173</v>
      </c>
      <c r="AG31" s="8">
        <f>(U31-V31)/(U31+V31)</f>
        <v>2.7261890461226033E-2</v>
      </c>
      <c r="AH31" s="8">
        <f>(Q31-P31)/(Q31+P31)</f>
        <v>6.1142999750436718E-3</v>
      </c>
      <c r="AK31" s="4">
        <v>0.18340000000000001</v>
      </c>
      <c r="AL31" s="4">
        <v>0.50439999999999996</v>
      </c>
      <c r="AM31" s="4">
        <v>-7</v>
      </c>
      <c r="AN31" s="4">
        <v>19</v>
      </c>
      <c r="AO31" s="4">
        <v>0</v>
      </c>
      <c r="AP31" s="4">
        <v>0</v>
      </c>
      <c r="AQ31" s="4">
        <v>0</v>
      </c>
      <c r="AR31" s="4">
        <v>1</v>
      </c>
    </row>
    <row r="32" spans="1:44">
      <c r="A32" t="s">
        <v>437</v>
      </c>
      <c r="B32" t="s">
        <v>436</v>
      </c>
      <c r="C32" t="s">
        <v>438</v>
      </c>
      <c r="D32" t="s">
        <v>813</v>
      </c>
      <c r="E32" s="57" t="s">
        <v>25</v>
      </c>
      <c r="F32" s="57">
        <v>5</v>
      </c>
      <c r="G32" s="57">
        <v>7</v>
      </c>
      <c r="H32">
        <v>6.1189999999999998</v>
      </c>
      <c r="I32">
        <v>141</v>
      </c>
      <c r="J32">
        <v>125</v>
      </c>
      <c r="K32">
        <v>33.700000000000003</v>
      </c>
      <c r="L32">
        <v>40.700000000000003</v>
      </c>
      <c r="M32">
        <v>61</v>
      </c>
      <c r="N32">
        <v>41</v>
      </c>
      <c r="O32">
        <v>-17</v>
      </c>
      <c r="P32" s="4">
        <f>((I32+M32)*J32-2*N32*N32)/(I32+M32+2*J32-4*N32)</f>
        <v>76</v>
      </c>
      <c r="Q32" s="4">
        <f>(2*I32+2*M32+4*N32+J32)/9</f>
        <v>77</v>
      </c>
      <c r="R32" s="7">
        <f>0.5*(Q32+P32)</f>
        <v>76.5</v>
      </c>
      <c r="S32">
        <f>(I32+M32)*J32-2*N32*N32</f>
        <v>21888</v>
      </c>
      <c r="T32">
        <f>(I32-M32)*L32-2*O32*O32</f>
        <v>2678</v>
      </c>
      <c r="U32" s="4">
        <f>(I32+M32+2*J32-4*N32+3*(I32-M32)+12*K32+6*L32)/30</f>
        <v>39.220000000000006</v>
      </c>
      <c r="V32" s="4">
        <f>15/((18*Q32)/S32+6/(I32-M32)+6/K32+ (3*(I32-M32)*(I32-M32)+12*O32*O32)/((I32-M32)*T32))</f>
        <v>35.530669683625391</v>
      </c>
      <c r="W32" s="7">
        <f>0.5*(U32+V32)</f>
        <v>37.375334841812702</v>
      </c>
      <c r="X32" s="4">
        <f>(3*R32-2*W32)/(2*(3*R32+W32))</f>
        <v>0.28992812394614981</v>
      </c>
      <c r="Y32" s="4">
        <f t="shared" si="16"/>
        <v>96.422991108717255</v>
      </c>
      <c r="Z32" s="7">
        <f>R32/W32</f>
        <v>2.0468044051987349</v>
      </c>
      <c r="AA32" s="4">
        <f t="shared" si="9"/>
        <v>4.5438032559674015</v>
      </c>
      <c r="AB32" s="4">
        <f t="shared" si="10"/>
        <v>3.5358227921452499</v>
      </c>
      <c r="AC32" s="4">
        <f t="shared" si="11"/>
        <v>2.4714527931187749</v>
      </c>
      <c r="AD32" s="4">
        <f t="shared" si="17"/>
        <v>1.8385150906457277</v>
      </c>
      <c r="AE32" s="4">
        <f>5*U32/V32 +Q32/P32 - 6</f>
        <v>0.53233334924211917</v>
      </c>
      <c r="AF32" s="8">
        <f t="shared" si="13"/>
        <v>0.22128885088343936</v>
      </c>
      <c r="AG32" s="8">
        <f>(U32-V32)/(U32+V32)</f>
        <v>4.9355147345024872E-2</v>
      </c>
      <c r="AH32" s="8">
        <f>(Q32-P32)/(Q32+P32)</f>
        <v>6.5359477124183009E-3</v>
      </c>
      <c r="AK32" s="4">
        <v>0.1381</v>
      </c>
      <c r="AL32" s="4">
        <v>0.57889999999999997</v>
      </c>
      <c r="AM32" s="4">
        <v>37</v>
      </c>
      <c r="AN32" s="4">
        <v>15</v>
      </c>
      <c r="AO32" s="4">
        <v>0</v>
      </c>
      <c r="AP32" s="4">
        <v>0</v>
      </c>
      <c r="AQ32" s="4">
        <v>0</v>
      </c>
      <c r="AR32" s="4">
        <v>1</v>
      </c>
    </row>
    <row r="33" spans="1:44">
      <c r="A33" t="s">
        <v>440</v>
      </c>
      <c r="B33" t="s">
        <v>439</v>
      </c>
      <c r="C33" t="s">
        <v>434</v>
      </c>
      <c r="D33" t="s">
        <v>813</v>
      </c>
      <c r="E33" s="57" t="s">
        <v>25</v>
      </c>
      <c r="F33" s="57">
        <v>5</v>
      </c>
      <c r="G33" s="57">
        <v>7</v>
      </c>
      <c r="H33">
        <v>6.8159999999999998</v>
      </c>
      <c r="I33">
        <v>107.2</v>
      </c>
      <c r="J33">
        <v>93.2</v>
      </c>
      <c r="K33">
        <v>26.4</v>
      </c>
      <c r="L33">
        <v>34.799999999999997</v>
      </c>
      <c r="M33">
        <v>61.9</v>
      </c>
      <c r="N33">
        <v>52</v>
      </c>
      <c r="O33">
        <v>-15.8</v>
      </c>
      <c r="P33" s="4">
        <f>((I33+M33)*J33-2*N33*N33)/(I33+M33+2*J33-4*N33)</f>
        <v>70.183864406779662</v>
      </c>
      <c r="Q33" s="4">
        <f>(2*I33+2*M33+4*N33+J33)/9</f>
        <v>71.044444444444451</v>
      </c>
      <c r="R33" s="7">
        <f>0.5*(Q33+P33)</f>
        <v>70.614154425612057</v>
      </c>
      <c r="S33">
        <f>(I33+M33)*J33-2*N33*N33</f>
        <v>10352.120000000001</v>
      </c>
      <c r="T33">
        <f>(I33-M33)*L33-2*O33*O33</f>
        <v>1077.1600000000001</v>
      </c>
      <c r="U33" s="4">
        <f>(I33+M33+2*J33-4*N33+3*(I33-M33)+12*K33+6*L33)/30</f>
        <v>26.966666666666661</v>
      </c>
      <c r="V33" s="4">
        <f>15/((18*Q33)/S33+6/(I33-M33)+6/K33+ (3*(I33-M33)*(I33-M33)+12*O33*O33)/((I33-M33)*T33))</f>
        <v>22.360987899425567</v>
      </c>
      <c r="W33" s="7">
        <f>0.5*(U33+V33)</f>
        <v>24.663827283046114</v>
      </c>
      <c r="X33" s="4">
        <f>(3*R33-2*W33)/(2*(3*R33+W33))</f>
        <v>0.34357396652330469</v>
      </c>
      <c r="Y33" s="4">
        <f t="shared" si="16"/>
        <v>66.275352504655942</v>
      </c>
      <c r="Z33" s="7">
        <f>R33/W33</f>
        <v>2.8630655581241498</v>
      </c>
      <c r="AA33" s="4">
        <f t="shared" si="9"/>
        <v>3.8967615035592207</v>
      </c>
      <c r="AB33" s="4">
        <f t="shared" si="10"/>
        <v>3.2187043771690811</v>
      </c>
      <c r="AC33" s="4">
        <f t="shared" si="11"/>
        <v>1.9022405896758399</v>
      </c>
      <c r="AD33" s="4">
        <f t="shared" si="17"/>
        <v>2.0485113842635787</v>
      </c>
      <c r="AE33" s="4">
        <f>5*U33/V33 +Q33/P33 - 6</f>
        <v>1.0421086828722794</v>
      </c>
      <c r="AF33" s="8">
        <f t="shared" si="13"/>
        <v>0.41895639648901445</v>
      </c>
      <c r="AG33" s="8">
        <f>(U33-V33)/(U33+V33)</f>
        <v>9.3369101120956866E-2</v>
      </c>
      <c r="AH33" s="8">
        <f>(Q33-P33)/(Q33+P33)</f>
        <v>6.0935377946878958E-3</v>
      </c>
      <c r="AK33" s="4">
        <v>8.0629999999999993E-2</v>
      </c>
      <c r="AL33" s="4">
        <v>0.67210000000000003</v>
      </c>
      <c r="AM33" s="4">
        <v>-8</v>
      </c>
      <c r="AN33" s="4">
        <v>28</v>
      </c>
      <c r="AO33" s="4">
        <v>-27</v>
      </c>
      <c r="AP33" s="4">
        <v>-8</v>
      </c>
      <c r="AQ33" s="4">
        <v>26</v>
      </c>
      <c r="AR33" s="4">
        <v>29</v>
      </c>
    </row>
    <row r="34" spans="1:44">
      <c r="A34" t="s">
        <v>143</v>
      </c>
      <c r="B34" t="s">
        <v>143</v>
      </c>
      <c r="C34" t="s">
        <v>434</v>
      </c>
      <c r="D34" t="s">
        <v>813</v>
      </c>
      <c r="E34" s="57" t="s">
        <v>23</v>
      </c>
      <c r="F34" s="57">
        <v>5</v>
      </c>
      <c r="G34" s="57">
        <v>7</v>
      </c>
      <c r="H34" s="8">
        <v>4.54</v>
      </c>
      <c r="I34">
        <v>119</v>
      </c>
      <c r="J34">
        <v>104</v>
      </c>
      <c r="K34">
        <v>34.9</v>
      </c>
      <c r="L34">
        <v>42</v>
      </c>
      <c r="M34">
        <v>62</v>
      </c>
      <c r="N34">
        <v>48</v>
      </c>
      <c r="O34">
        <v>-12</v>
      </c>
      <c r="P34" s="4">
        <f>((I34+M34)*J34-2*N34*N34)/(I34+M34+2*J34-4*N34)</f>
        <v>72.162436548223354</v>
      </c>
      <c r="Q34" s="4">
        <f>(2*I34+2*M34+4*N34+J34)/9</f>
        <v>73.111111111111114</v>
      </c>
      <c r="R34" s="7">
        <f>0.5*(Q34+P34)</f>
        <v>72.636773829667234</v>
      </c>
      <c r="S34">
        <f>(I34+M34)*J34-2*N34*N34</f>
        <v>14216</v>
      </c>
      <c r="T34">
        <f>(I34-M34)*L34-2*O34*O34</f>
        <v>2106</v>
      </c>
      <c r="U34" s="4">
        <f>(I34+M34+2*J34-4*N34+3*(I34-M34)+12*K34+6*L34)/30</f>
        <v>34.626666666666665</v>
      </c>
      <c r="V34" s="4">
        <f>15/((18*Q34)/S34+6/(I34-M34)+6/K34+ (3*(I34-M34)*(I34-M34)+12*O34*O34)/((I34-M34)*T34))</f>
        <v>32.234064226366961</v>
      </c>
      <c r="W34" s="7">
        <f>0.5*(U34+V34)</f>
        <v>33.430365446516817</v>
      </c>
      <c r="X34" s="4">
        <f>(3*R34-2*W34)/(2*(3*R34+W34))</f>
        <v>0.30048774123610134</v>
      </c>
      <c r="Y34" s="4">
        <f t="shared" si="16"/>
        <v>86.951560896476124</v>
      </c>
      <c r="Z34" s="7">
        <f>R34/W34</f>
        <v>2.1727783366853806</v>
      </c>
      <c r="AA34" s="4">
        <f t="shared" si="9"/>
        <v>5.0810738576960182</v>
      </c>
      <c r="AB34" s="4">
        <f t="shared" si="10"/>
        <v>3.9999111727380328</v>
      </c>
      <c r="AC34" s="4">
        <f t="shared" si="11"/>
        <v>2.7135800371788394</v>
      </c>
      <c r="AD34" s="4">
        <f t="shared" si="17"/>
        <v>1.8724613934654872</v>
      </c>
      <c r="AE34" s="4">
        <f>5*U34/V34 +Q34/P34 - 6</f>
        <v>0.38427587846934319</v>
      </c>
      <c r="AF34" s="8">
        <f t="shared" si="13"/>
        <v>0.16063500191741176</v>
      </c>
      <c r="AG34" s="8">
        <f>(U34-V34)/(U34+V34)</f>
        <v>3.5784868163159657E-2</v>
      </c>
      <c r="AH34" s="8">
        <f>(Q34-P34)/(Q34+P34)</f>
        <v>6.5302636176573295E-3</v>
      </c>
      <c r="AK34" s="4">
        <v>0.14729999999999999</v>
      </c>
      <c r="AL34" s="4">
        <v>0.52159999999999995</v>
      </c>
      <c r="AM34" s="4">
        <v>-28</v>
      </c>
      <c r="AN34" s="4">
        <v>7</v>
      </c>
      <c r="AO34" s="4">
        <v>27</v>
      </c>
      <c r="AP34" s="4">
        <v>26</v>
      </c>
      <c r="AQ34" s="4">
        <v>-7</v>
      </c>
      <c r="AR34" s="4">
        <v>29</v>
      </c>
    </row>
    <row r="35" spans="1:44">
      <c r="H35" s="8"/>
      <c r="P35" s="4"/>
      <c r="Q35" s="4"/>
      <c r="R35" s="7"/>
      <c r="U35" s="4"/>
      <c r="V35" s="4"/>
      <c r="W35" s="7"/>
      <c r="Z35" s="7"/>
      <c r="AA35" s="4"/>
      <c r="AB35" s="4"/>
      <c r="AC35" s="4"/>
      <c r="AD35" s="4"/>
      <c r="AE35" s="4"/>
      <c r="AF35" s="8" t="e">
        <f t="shared" ref="AF35:AF67" si="18">SQRT((LN(Q35/P35))^2+5*(LN(U35/V35))^2)</f>
        <v>#DIV/0!</v>
      </c>
      <c r="AG35" s="8"/>
      <c r="AH35" s="8"/>
      <c r="AM35" s="4"/>
      <c r="AN35" s="4"/>
      <c r="AO35" s="4"/>
      <c r="AP35" s="4"/>
      <c r="AQ35" s="4"/>
      <c r="AR35" s="4"/>
    </row>
    <row r="36" spans="1:44">
      <c r="A36" t="s">
        <v>450</v>
      </c>
      <c r="B36" t="s">
        <v>311</v>
      </c>
      <c r="C36" t="s">
        <v>431</v>
      </c>
      <c r="D36" t="s">
        <v>451</v>
      </c>
      <c r="E36" s="57" t="s">
        <v>25</v>
      </c>
      <c r="F36" s="57">
        <v>5</v>
      </c>
      <c r="G36" s="57">
        <v>9</v>
      </c>
      <c r="H36">
        <v>3.5219999999999998</v>
      </c>
      <c r="I36">
        <v>286</v>
      </c>
      <c r="J36">
        <v>280</v>
      </c>
      <c r="K36">
        <v>85</v>
      </c>
      <c r="L36">
        <v>93</v>
      </c>
      <c r="M36">
        <v>83</v>
      </c>
      <c r="N36">
        <v>105</v>
      </c>
      <c r="O36">
        <v>1.4</v>
      </c>
      <c r="P36" s="4">
        <f>((I36+M36)*J36-2*N36*N36)/(I36+M36+2*J36-4*N36)</f>
        <v>159.66601178781926</v>
      </c>
      <c r="Q36" s="4">
        <f>(2*I36+2*M36+4*N36+J36)/9</f>
        <v>159.77777777777777</v>
      </c>
      <c r="R36" s="7">
        <f>0.5*(Q36+P36)</f>
        <v>159.72189478279853</v>
      </c>
      <c r="S36">
        <f>(I36+M36)*J36-2*N36*N36</f>
        <v>81270</v>
      </c>
      <c r="T36">
        <f>(I36-M36)*L36-2*O36*O36</f>
        <v>18875.080000000002</v>
      </c>
      <c r="U36" s="4">
        <f>(I36+M36+2*J36-4*N36+3*(I36-M36)+12*K36+6*L36)/30</f>
        <v>89.86666666666666</v>
      </c>
      <c r="V36" s="4">
        <f>15/((18*Q36)/S36+6/(I36-M36)+6/K36+ (3*(I36-M36)*(I36-M36)+12*O36*O36)/((I36-M36)*T36))</f>
        <v>89.390002651139937</v>
      </c>
      <c r="W36" s="7">
        <f>0.5*(U36+V36)</f>
        <v>89.628334658903299</v>
      </c>
      <c r="X36" s="4">
        <f>(3*R36-2*W36)/(2*(3*R36+W36))</f>
        <v>0.26363587257300303</v>
      </c>
      <c r="Y36" s="4">
        <f t="shared" si="16"/>
        <v>226.51515774793683</v>
      </c>
      <c r="Z36" s="7">
        <f>R36/W36</f>
        <v>1.7820468871886199</v>
      </c>
      <c r="AA36" s="4">
        <f>SQRT((R36+4/3*W36)/H36)</f>
        <v>8.903966489655744</v>
      </c>
      <c r="AB36" s="4">
        <f>SQRT(R36/H36)</f>
        <v>6.7342238880968148</v>
      </c>
      <c r="AC36" s="4">
        <f>SQRT(W36/H36)</f>
        <v>5.0446145447817905</v>
      </c>
      <c r="AD36" s="4">
        <f>AA36/AC36</f>
        <v>1.7650439712715242</v>
      </c>
      <c r="AE36" s="4">
        <f>5*U36/V36 +Q36/P36 - 6</f>
        <v>2.7362041444638052E-2</v>
      </c>
      <c r="AF36" s="8">
        <f t="shared" si="18"/>
        <v>1.1912519655143424E-2</v>
      </c>
      <c r="AG36" s="8">
        <f>(U36-V36)/(U36+V36)</f>
        <v>2.6591145386152325E-3</v>
      </c>
      <c r="AH36" s="8">
        <f>(Q36-P36)/(Q36+P36)</f>
        <v>3.4987685974581333E-4</v>
      </c>
      <c r="AI36" s="7">
        <v>1.8</v>
      </c>
      <c r="AJ36" s="7">
        <v>9.1</v>
      </c>
      <c r="AK36" s="4">
        <v>0.1759</v>
      </c>
      <c r="AL36" s="4">
        <v>0.31669999999999998</v>
      </c>
      <c r="AM36" s="4">
        <v>1</v>
      </c>
      <c r="AN36" s="4">
        <v>-10</v>
      </c>
      <c r="AO36" s="4">
        <v>0</v>
      </c>
      <c r="AP36" s="4">
        <v>10</v>
      </c>
      <c r="AQ36" s="4">
        <v>1</v>
      </c>
      <c r="AR36" s="4">
        <v>0</v>
      </c>
    </row>
    <row r="37" spans="1:44">
      <c r="A37" s="64" t="s">
        <v>594</v>
      </c>
      <c r="B37" t="s">
        <v>595</v>
      </c>
      <c r="C37" t="s">
        <v>814</v>
      </c>
      <c r="D37" t="s">
        <v>451</v>
      </c>
      <c r="E37" s="57" t="s">
        <v>23</v>
      </c>
      <c r="F37" s="57">
        <v>5</v>
      </c>
      <c r="G37" s="57">
        <v>9</v>
      </c>
      <c r="H37">
        <v>3.7</v>
      </c>
      <c r="I37">
        <v>318.5</v>
      </c>
      <c r="J37">
        <v>364.1</v>
      </c>
      <c r="K37">
        <v>109.6</v>
      </c>
      <c r="L37">
        <v>111</v>
      </c>
      <c r="M37">
        <v>99.6</v>
      </c>
      <c r="N37">
        <v>98.6</v>
      </c>
      <c r="O37">
        <v>0</v>
      </c>
      <c r="P37" s="4">
        <f>((I37+M37)*J37-2*N37*N37)/(I37+M37+2*J37-4*N37)</f>
        <v>176.60099747306822</v>
      </c>
      <c r="Q37" s="4">
        <f>(2*I37+2*M37+4*N37+J37)/9</f>
        <v>177.18888888888887</v>
      </c>
      <c r="R37" s="7">
        <f>0.5*(Q37+P37)</f>
        <v>176.89494318097854</v>
      </c>
      <c r="S37">
        <f>(I37+M37)*J37-2*N37*N37</f>
        <v>132786.29000000004</v>
      </c>
      <c r="T37">
        <f>(I37-M37)*L37-2*O37*O37</f>
        <v>24297.9</v>
      </c>
      <c r="U37" s="4">
        <f>(I37+M37+2*J37-4*N37+3*(I37-M37)+12*K37+6*L37)/30</f>
        <v>112.99333333333334</v>
      </c>
      <c r="V37" s="4">
        <f>15/((18*Q37)/S37+6/(I37-M37)+6/K37+ (3*(I37-M37)*(I37-M37)+12*O37*O37)/((I37-M37)*T37))</f>
        <v>112.61229585237197</v>
      </c>
      <c r="W37" s="7">
        <f>0.5*(U37+V37)</f>
        <v>112.80281459285266</v>
      </c>
      <c r="X37" s="4">
        <f>(3*R37-2*W37)/(2*(3*R37+W37))</f>
        <v>0.23705132735450996</v>
      </c>
      <c r="Y37" s="4">
        <f t="shared" si="16"/>
        <v>279.08574304282615</v>
      </c>
      <c r="Z37" s="7">
        <f>R37/W37</f>
        <v>1.5681784521020883</v>
      </c>
      <c r="AA37" s="4">
        <f>SQRT((R37+4/3*W37)/H37)</f>
        <v>9.4052701725846486</v>
      </c>
      <c r="AB37" s="4">
        <f>SQRT(R37/H37)</f>
        <v>6.9144373670579427</v>
      </c>
      <c r="AC37" s="4">
        <f>SQRT(W37/H37)</f>
        <v>5.5215258024623477</v>
      </c>
      <c r="AD37" s="4">
        <f t="shared" si="17"/>
        <v>1.7033824542466738</v>
      </c>
      <c r="AE37" s="4">
        <f>5*U37/V37 +Q37/P37 - 6</f>
        <v>2.0247036404465568E-2</v>
      </c>
      <c r="AF37" s="8">
        <f t="shared" si="18"/>
        <v>8.2520523206787537E-3</v>
      </c>
      <c r="AG37" s="8">
        <f>(U37-V37)/(U37+V37)</f>
        <v>1.6889537833638007E-3</v>
      </c>
      <c r="AH37" s="8">
        <f>(Q37-P37)/(Q37+P37)</f>
        <v>1.6616964997670596E-3</v>
      </c>
      <c r="AI37" s="7">
        <v>7.5</v>
      </c>
      <c r="AJ37" s="7">
        <v>5</v>
      </c>
      <c r="AM37" s="4"/>
      <c r="AN37" s="4"/>
      <c r="AO37" s="4"/>
      <c r="AP37" s="4"/>
      <c r="AQ37" s="4"/>
      <c r="AR37" s="4"/>
    </row>
    <row r="38" spans="1:44">
      <c r="A38" s="64" t="s">
        <v>594</v>
      </c>
      <c r="B38" t="s">
        <v>707</v>
      </c>
      <c r="C38" t="s">
        <v>814</v>
      </c>
      <c r="D38" t="s">
        <v>451</v>
      </c>
      <c r="E38" s="57" t="s">
        <v>23</v>
      </c>
      <c r="F38" s="57">
        <v>5</v>
      </c>
      <c r="G38" s="57">
        <v>9</v>
      </c>
      <c r="H38">
        <v>3.51</v>
      </c>
      <c r="I38">
        <v>282.2</v>
      </c>
      <c r="J38">
        <v>331.4</v>
      </c>
      <c r="K38">
        <v>100.9</v>
      </c>
      <c r="L38">
        <v>100.8</v>
      </c>
      <c r="M38">
        <v>84.3</v>
      </c>
      <c r="N38">
        <v>90.1</v>
      </c>
      <c r="O38">
        <v>0</v>
      </c>
      <c r="P38" s="4">
        <f>((I38+M38)*J38-2*N38*N38)/(I38+M38+2*J38-4*N38)</f>
        <v>157.30614441620568</v>
      </c>
      <c r="Q38" s="4">
        <f>(2*I38+2*M38+4*N38+J38)/9</f>
        <v>158.31111111111113</v>
      </c>
      <c r="R38" s="7">
        <f>0.5*(Q38+P38)</f>
        <v>157.80862776365842</v>
      </c>
      <c r="S38">
        <f>(I38+M38)*J38-2*N38*N38</f>
        <v>105222.07999999999</v>
      </c>
      <c r="T38">
        <f>(I38-M38)*L38-2*O38*O38</f>
        <v>19948.319999999996</v>
      </c>
      <c r="U38" s="4">
        <f>(I38+M38+2*J38-4*N38+3*(I38-M38)+12*K38+6*L38)/30</f>
        <v>102.60666666666665</v>
      </c>
      <c r="V38" s="4">
        <f>15/((18*Q38)/S38+6/(I38-M38)+6/K38+ (3*(I38-M38)*(I38-M38)+12*O38*O38)/((I38-M38)*T38))</f>
        <v>102.30051181369633</v>
      </c>
      <c r="W38" s="7">
        <f>0.5*(U38+V38)</f>
        <v>102.45358924018149</v>
      </c>
      <c r="X38" s="4">
        <f>(3*R38-2*W38)/(2*(3*R38+W38))</f>
        <v>0.23313793737984351</v>
      </c>
      <c r="Y38" s="4">
        <f t="shared" si="16"/>
        <v>252.67881542559826</v>
      </c>
      <c r="Z38" s="7">
        <f>R38/W38</f>
        <v>1.5402937948197049</v>
      </c>
      <c r="AA38" s="4">
        <f t="shared" ref="AA38:AA67" si="19">SQRT((R38+4/3*W38)/H38)</f>
        <v>9.158518731816585</v>
      </c>
      <c r="AB38" s="4">
        <f t="shared" ref="AB38:AB67" si="20">SQRT(R38/H38)</f>
        <v>6.7052011908360587</v>
      </c>
      <c r="AC38" s="4">
        <f>SQRT(W38/H38)</f>
        <v>5.4026897711773598</v>
      </c>
      <c r="AD38" s="4">
        <f t="shared" si="17"/>
        <v>1.6951776096188382</v>
      </c>
      <c r="AE38" s="4">
        <f>5*U38/V38 +Q38/P38 - 6</f>
        <v>2.1352109638183236E-2</v>
      </c>
      <c r="AF38" s="8">
        <f t="shared" si="18"/>
        <v>9.2305300080002782E-3</v>
      </c>
      <c r="AG38" s="8">
        <f>(U38-V38)/(U38+V38)</f>
        <v>1.4941148242869542E-3</v>
      </c>
      <c r="AH38" s="8">
        <f>(Q38-P38)/(Q38+P38)</f>
        <v>3.1841310235918578E-3</v>
      </c>
      <c r="AI38" s="7">
        <v>10</v>
      </c>
      <c r="AJ38" s="7">
        <v>4</v>
      </c>
      <c r="AM38" s="4"/>
      <c r="AN38" s="4"/>
      <c r="AO38" s="4"/>
      <c r="AP38" s="4"/>
      <c r="AQ38" s="4"/>
      <c r="AR38" s="4"/>
    </row>
    <row r="39" spans="1:44">
      <c r="A39" s="64"/>
      <c r="P39" s="4"/>
      <c r="Q39" s="4"/>
      <c r="R39" s="7"/>
      <c r="U39" s="4"/>
      <c r="V39" s="4"/>
      <c r="W39" s="7"/>
      <c r="Z39" s="7"/>
      <c r="AA39" s="4"/>
      <c r="AB39" s="4"/>
      <c r="AC39" s="4"/>
      <c r="AD39" s="4"/>
      <c r="AE39" s="4"/>
      <c r="AF39" s="8" t="e">
        <f t="shared" si="18"/>
        <v>#DIV/0!</v>
      </c>
      <c r="AG39" s="8"/>
      <c r="AH39" s="8"/>
      <c r="AM39" s="4"/>
      <c r="AN39" s="4"/>
      <c r="AO39" s="4"/>
      <c r="AP39" s="4"/>
      <c r="AQ39" s="4"/>
      <c r="AR39" s="4"/>
    </row>
    <row r="40" spans="1:44">
      <c r="A40" t="s">
        <v>156</v>
      </c>
      <c r="R40" s="7"/>
      <c r="W40" s="7"/>
      <c r="Z40" s="7"/>
      <c r="AA40" s="4" t="e">
        <f t="shared" si="19"/>
        <v>#DIV/0!</v>
      </c>
      <c r="AB40" s="4" t="e">
        <f t="shared" si="20"/>
        <v>#DIV/0!</v>
      </c>
      <c r="AC40" s="4" t="e">
        <f t="shared" ref="AC40:AC67" si="21">SQRT(W40/H40)</f>
        <v>#DIV/0!</v>
      </c>
      <c r="AD40" s="4" t="e">
        <f t="shared" si="17"/>
        <v>#DIV/0!</v>
      </c>
      <c r="AF40" s="8" t="e">
        <f t="shared" si="18"/>
        <v>#DIV/0!</v>
      </c>
      <c r="AG40" s="8"/>
      <c r="AH40" s="8"/>
    </row>
    <row r="41" spans="1:44">
      <c r="A41" t="s">
        <v>141</v>
      </c>
      <c r="E41" s="57" t="s">
        <v>23</v>
      </c>
      <c r="F41" s="57">
        <v>5</v>
      </c>
      <c r="G41" s="57">
        <v>11</v>
      </c>
      <c r="I41">
        <v>44.5</v>
      </c>
      <c r="J41">
        <v>44.4</v>
      </c>
      <c r="K41">
        <v>6.55</v>
      </c>
      <c r="L41">
        <v>12.2</v>
      </c>
      <c r="M41">
        <v>39.44</v>
      </c>
      <c r="N41">
        <v>40.51</v>
      </c>
      <c r="P41" s="4">
        <f t="shared" ref="P41:P56" si="22">((I41+M41)*J41-2*N41*N41)/(I41+M41+2*J41-4*N41)</f>
        <v>41.571570093457865</v>
      </c>
      <c r="Q41" s="4">
        <f t="shared" ref="Q41:Q56" si="23">(2*I41+2*M41+4*N41+J41)/9</f>
        <v>41.591111111111104</v>
      </c>
      <c r="R41" s="7">
        <f t="shared" ref="R41:R56" si="24">0.5*(Q41+P41)</f>
        <v>41.581340602284484</v>
      </c>
      <c r="S41">
        <f t="shared" ref="S41:S56" si="25">(I41+M41)*J41-2*N41*N41</f>
        <v>444.81579999999985</v>
      </c>
      <c r="T41">
        <v>0</v>
      </c>
      <c r="U41" s="4">
        <f t="shared" ref="U41:U56" si="26">(I41+M41+2*J41-4*N41+3*(I41-M41)+12*K41+6*L41)/30</f>
        <v>5.9226666666666672</v>
      </c>
      <c r="V41" s="4">
        <f t="shared" ref="V41:V56" si="27">15/((18*Q41)/S41+6/(I41-M41)+6/K41+3/L41)</f>
        <v>3.7214041113424701</v>
      </c>
      <c r="W41" s="7">
        <f t="shared" ref="W41:W56" si="28">0.5*(U41+V41)</f>
        <v>4.8220353890045686</v>
      </c>
      <c r="X41" s="4">
        <f t="shared" ref="X41:X56" si="29">(3*R41-2*W41)/(2*(3*R41+W41))</f>
        <v>0.44417478435287228</v>
      </c>
      <c r="Y41" s="4">
        <f t="shared" si="16"/>
        <v>13.927723836115181</v>
      </c>
      <c r="Z41" s="7">
        <f t="shared" ref="Z41:Z56" si="30">R41/W41</f>
        <v>8.6231927490827225</v>
      </c>
      <c r="AA41" s="4" t="e">
        <f t="shared" si="19"/>
        <v>#DIV/0!</v>
      </c>
      <c r="AB41" s="4" t="e">
        <f t="shared" si="20"/>
        <v>#DIV/0!</v>
      </c>
      <c r="AC41" s="4" t="e">
        <f t="shared" si="21"/>
        <v>#DIV/0!</v>
      </c>
      <c r="AD41" s="4" t="e">
        <f t="shared" si="17"/>
        <v>#DIV/0!</v>
      </c>
      <c r="AE41" s="4">
        <f t="shared" ref="AE41:AE56" si="31">5*U41/V41 +Q41/P41 - 6</f>
        <v>2.9580399548731275</v>
      </c>
      <c r="AF41" s="8">
        <f t="shared" si="18"/>
        <v>1.0390690349578069</v>
      </c>
      <c r="AG41" s="8">
        <f t="shared" ref="AG41:AG56" si="32">(U41-V41)/(U41+V41)</f>
        <v>0.22825035257348167</v>
      </c>
      <c r="AH41" s="8">
        <f t="shared" ref="AH41:AH56" si="33">(Q41-P41)/(Q41+P41)</f>
        <v>2.3497339636237627E-4</v>
      </c>
      <c r="AM41" s="4"/>
      <c r="AN41" s="4"/>
      <c r="AO41" s="4"/>
      <c r="AP41" s="4"/>
      <c r="AQ41" s="4"/>
      <c r="AR41" s="4"/>
    </row>
    <row r="42" spans="1:44">
      <c r="A42" s="64" t="s">
        <v>27</v>
      </c>
      <c r="E42" s="57" t="s">
        <v>26</v>
      </c>
      <c r="F42" s="57">
        <v>5</v>
      </c>
      <c r="G42" s="57">
        <v>9</v>
      </c>
      <c r="H42">
        <v>4.29</v>
      </c>
      <c r="I42">
        <v>453</v>
      </c>
      <c r="J42">
        <v>776</v>
      </c>
      <c r="K42">
        <v>252</v>
      </c>
      <c r="L42">
        <v>302</v>
      </c>
      <c r="M42">
        <v>211</v>
      </c>
      <c r="N42">
        <v>203</v>
      </c>
      <c r="O42">
        <v>0</v>
      </c>
      <c r="P42" s="4">
        <f t="shared" si="22"/>
        <v>308.29487179487177</v>
      </c>
      <c r="Q42" s="4">
        <f t="shared" si="23"/>
        <v>324</v>
      </c>
      <c r="R42" s="7">
        <f t="shared" si="24"/>
        <v>316.14743589743591</v>
      </c>
      <c r="S42">
        <f t="shared" si="25"/>
        <v>432846</v>
      </c>
      <c r="T42">
        <v>0</v>
      </c>
      <c r="U42" s="4">
        <f t="shared" si="26"/>
        <v>232.2</v>
      </c>
      <c r="V42" s="4">
        <f t="shared" si="27"/>
        <v>208.30353075132788</v>
      </c>
      <c r="W42" s="7">
        <f t="shared" si="28"/>
        <v>220.25176537566392</v>
      </c>
      <c r="X42" s="4">
        <f t="shared" si="29"/>
        <v>0.21731041024601738</v>
      </c>
      <c r="Y42" s="4">
        <f t="shared" si="16"/>
        <v>536.22953373371809</v>
      </c>
      <c r="Z42" s="7">
        <f t="shared" si="30"/>
        <v>1.435391155018491</v>
      </c>
      <c r="AA42" s="4">
        <f t="shared" si="19"/>
        <v>11.92259863179193</v>
      </c>
      <c r="AB42" s="4">
        <f t="shared" si="20"/>
        <v>8.5845233415567872</v>
      </c>
      <c r="AC42" s="4">
        <f t="shared" si="21"/>
        <v>7.1652451353603466</v>
      </c>
      <c r="AD42" s="4">
        <f t="shared" si="17"/>
        <v>1.6639484632499362</v>
      </c>
      <c r="AE42" s="4">
        <f t="shared" si="31"/>
        <v>0.62453922187241417</v>
      </c>
      <c r="AF42" s="8">
        <f t="shared" si="18"/>
        <v>0.24787413887185469</v>
      </c>
      <c r="AG42" s="8">
        <f t="shared" si="32"/>
        <v>5.4248076531677313E-2</v>
      </c>
      <c r="AH42" s="8">
        <f t="shared" si="33"/>
        <v>2.4838297613495857E-2</v>
      </c>
      <c r="AK42" s="5">
        <v>-3.977E-2</v>
      </c>
      <c r="AL42" s="4">
        <v>0.43669999999999998</v>
      </c>
      <c r="AM42" s="5">
        <v>1</v>
      </c>
      <c r="AN42" s="5">
        <v>1</v>
      </c>
      <c r="AO42" s="5">
        <v>0</v>
      </c>
      <c r="AP42" s="5">
        <v>-1</v>
      </c>
      <c r="AQ42" s="5">
        <v>1</v>
      </c>
      <c r="AR42" s="5">
        <v>0</v>
      </c>
    </row>
    <row r="43" spans="1:44">
      <c r="A43" s="64" t="s">
        <v>109</v>
      </c>
      <c r="E43" s="57" t="s">
        <v>23</v>
      </c>
      <c r="F43" s="57">
        <v>5</v>
      </c>
      <c r="G43" s="57">
        <v>9</v>
      </c>
      <c r="I43">
        <v>461</v>
      </c>
      <c r="J43">
        <v>735</v>
      </c>
      <c r="K43">
        <v>257</v>
      </c>
      <c r="L43">
        <v>327</v>
      </c>
      <c r="M43">
        <v>209</v>
      </c>
      <c r="N43">
        <v>196</v>
      </c>
      <c r="O43">
        <v>0</v>
      </c>
      <c r="P43" s="4">
        <f t="shared" si="22"/>
        <v>306.50294985250736</v>
      </c>
      <c r="Q43" s="4">
        <f t="shared" si="23"/>
        <v>317.66666666666669</v>
      </c>
      <c r="R43" s="7">
        <f t="shared" si="24"/>
        <v>312.08480825958702</v>
      </c>
      <c r="S43">
        <f t="shared" si="25"/>
        <v>415618</v>
      </c>
      <c r="U43" s="4">
        <f t="shared" si="26"/>
        <v>238.6</v>
      </c>
      <c r="V43" s="4">
        <f t="shared" si="27"/>
        <v>214.01677184051425</v>
      </c>
      <c r="W43" s="7">
        <f t="shared" si="28"/>
        <v>226.30838592025714</v>
      </c>
      <c r="X43" s="4">
        <f t="shared" si="29"/>
        <v>0.20800495615692724</v>
      </c>
      <c r="Y43" s="4">
        <f t="shared" si="16"/>
        <v>546.76330362309034</v>
      </c>
      <c r="Z43" s="7">
        <f t="shared" si="30"/>
        <v>1.3790244978794306</v>
      </c>
      <c r="AA43" s="4" t="e">
        <f t="shared" si="19"/>
        <v>#DIV/0!</v>
      </c>
      <c r="AB43" s="4" t="e">
        <f t="shared" si="20"/>
        <v>#DIV/0!</v>
      </c>
      <c r="AC43" s="4" t="e">
        <f t="shared" si="21"/>
        <v>#DIV/0!</v>
      </c>
      <c r="AD43" s="4" t="e">
        <f t="shared" si="17"/>
        <v>#DIV/0!</v>
      </c>
      <c r="AE43" s="4">
        <f t="shared" si="31"/>
        <v>0.61075234681065727</v>
      </c>
      <c r="AF43" s="8">
        <f t="shared" si="18"/>
        <v>0.24575478989255684</v>
      </c>
      <c r="AG43" s="8">
        <f t="shared" si="32"/>
        <v>5.431355992293626E-2</v>
      </c>
      <c r="AH43" s="8">
        <f t="shared" si="33"/>
        <v>1.788571009979046E-2</v>
      </c>
      <c r="AK43" s="5">
        <v>-7.2599999999999998E-2</v>
      </c>
      <c r="AL43" s="4">
        <v>0.4249</v>
      </c>
      <c r="AM43" s="4">
        <v>1</v>
      </c>
      <c r="AN43" s="4">
        <v>1</v>
      </c>
      <c r="AO43" s="4">
        <v>0</v>
      </c>
      <c r="AP43" s="4">
        <v>-1</v>
      </c>
      <c r="AQ43" s="4">
        <v>1</v>
      </c>
      <c r="AR43" s="4">
        <v>0</v>
      </c>
    </row>
    <row r="44" spans="1:44">
      <c r="A44" s="64" t="s">
        <v>110</v>
      </c>
      <c r="E44" s="57" t="s">
        <v>23</v>
      </c>
      <c r="F44" s="57">
        <v>5</v>
      </c>
      <c r="G44" s="57">
        <v>9</v>
      </c>
      <c r="I44">
        <v>538</v>
      </c>
      <c r="J44">
        <v>832</v>
      </c>
      <c r="K44">
        <v>292</v>
      </c>
      <c r="L44">
        <v>392</v>
      </c>
      <c r="M44">
        <v>334</v>
      </c>
      <c r="N44">
        <v>248</v>
      </c>
      <c r="O44">
        <v>0</v>
      </c>
      <c r="P44" s="4">
        <f t="shared" si="22"/>
        <v>390.2176165803109</v>
      </c>
      <c r="Q44" s="4">
        <f t="shared" si="23"/>
        <v>396.44444444444446</v>
      </c>
      <c r="R44" s="7">
        <f t="shared" si="24"/>
        <v>393.33103051237765</v>
      </c>
      <c r="S44">
        <f t="shared" si="25"/>
        <v>602496</v>
      </c>
      <c r="U44" s="4">
        <f t="shared" si="26"/>
        <v>267.06666666666666</v>
      </c>
      <c r="V44" s="4">
        <f t="shared" si="27"/>
        <v>215.96147297768465</v>
      </c>
      <c r="W44" s="7">
        <f t="shared" si="28"/>
        <v>241.51406982217566</v>
      </c>
      <c r="X44" s="4">
        <f t="shared" si="29"/>
        <v>0.24514999672119572</v>
      </c>
      <c r="Y44" s="4">
        <f t="shared" si="16"/>
        <v>601.44248649440942</v>
      </c>
      <c r="Z44" s="7">
        <f t="shared" si="30"/>
        <v>1.6286050365594984</v>
      </c>
      <c r="AA44" s="4" t="e">
        <f t="shared" si="19"/>
        <v>#DIV/0!</v>
      </c>
      <c r="AB44" s="4" t="e">
        <f t="shared" si="20"/>
        <v>#DIV/0!</v>
      </c>
      <c r="AC44" s="4" t="e">
        <f t="shared" si="21"/>
        <v>#DIV/0!</v>
      </c>
      <c r="AD44" s="4" t="e">
        <f t="shared" si="17"/>
        <v>#DIV/0!</v>
      </c>
      <c r="AE44" s="4">
        <f t="shared" si="31"/>
        <v>1.1991589586584173</v>
      </c>
      <c r="AF44" s="8">
        <f t="shared" si="18"/>
        <v>0.47520079717660163</v>
      </c>
      <c r="AG44" s="8">
        <f t="shared" si="32"/>
        <v>0.1058016904079548</v>
      </c>
      <c r="AH44" s="8">
        <f t="shared" si="33"/>
        <v>7.9155054916746556E-3</v>
      </c>
      <c r="AK44" s="5">
        <v>-4.7829999999999998E-2</v>
      </c>
      <c r="AL44" s="4">
        <v>0.6149</v>
      </c>
      <c r="AM44" s="4">
        <v>28</v>
      </c>
      <c r="AN44" s="4">
        <v>0</v>
      </c>
      <c r="AO44" s="4">
        <v>29</v>
      </c>
      <c r="AP44" s="4">
        <v>29</v>
      </c>
      <c r="AQ44" s="4">
        <v>0</v>
      </c>
      <c r="AR44" s="4">
        <v>-28</v>
      </c>
    </row>
    <row r="45" spans="1:44">
      <c r="A45" s="64" t="s">
        <v>111</v>
      </c>
      <c r="E45" s="57" t="s">
        <v>23</v>
      </c>
      <c r="F45" s="57">
        <v>5</v>
      </c>
      <c r="G45" s="57">
        <v>9</v>
      </c>
      <c r="I45">
        <v>597</v>
      </c>
      <c r="J45">
        <v>959</v>
      </c>
      <c r="K45">
        <v>330</v>
      </c>
      <c r="L45">
        <v>447</v>
      </c>
      <c r="M45">
        <v>493</v>
      </c>
      <c r="N45">
        <v>299</v>
      </c>
      <c r="O45">
        <v>0</v>
      </c>
      <c r="P45" s="4">
        <f t="shared" si="22"/>
        <v>478.20529801324506</v>
      </c>
      <c r="Q45" s="4">
        <f t="shared" si="23"/>
        <v>481.66666666666669</v>
      </c>
      <c r="R45" s="7">
        <f t="shared" si="24"/>
        <v>479.9359823399559</v>
      </c>
      <c r="S45">
        <f t="shared" si="25"/>
        <v>866508</v>
      </c>
      <c r="U45" s="4">
        <f t="shared" si="26"/>
        <v>292.2</v>
      </c>
      <c r="V45" s="4">
        <f t="shared" si="27"/>
        <v>162.0024133640554</v>
      </c>
      <c r="W45" s="7">
        <f t="shared" si="28"/>
        <v>227.10120668202768</v>
      </c>
      <c r="X45" s="4">
        <f t="shared" si="29"/>
        <v>0.29563864697334158</v>
      </c>
      <c r="Y45" s="4">
        <f t="shared" si="16"/>
        <v>588.48220030303105</v>
      </c>
      <c r="Z45" s="7">
        <f t="shared" si="30"/>
        <v>2.113313219915784</v>
      </c>
      <c r="AA45" s="4" t="e">
        <f t="shared" si="19"/>
        <v>#DIV/0!</v>
      </c>
      <c r="AB45" s="4" t="e">
        <f t="shared" si="20"/>
        <v>#DIV/0!</v>
      </c>
      <c r="AC45" s="4" t="e">
        <f t="shared" si="21"/>
        <v>#DIV/0!</v>
      </c>
      <c r="AD45" s="4" t="e">
        <f t="shared" si="17"/>
        <v>#DIV/0!</v>
      </c>
      <c r="AE45" s="4">
        <f t="shared" si="31"/>
        <v>4.025622417096157</v>
      </c>
      <c r="AF45" s="8">
        <f t="shared" si="18"/>
        <v>1.3189135829619048</v>
      </c>
      <c r="AG45" s="8">
        <f t="shared" si="32"/>
        <v>0.28665102343167814</v>
      </c>
      <c r="AH45" s="8">
        <f t="shared" si="33"/>
        <v>3.6060732897599435E-3</v>
      </c>
      <c r="AK45" s="5">
        <v>-0.36670000000000003</v>
      </c>
      <c r="AL45" s="4">
        <v>1.0289999999999999</v>
      </c>
      <c r="AM45" s="4">
        <v>25</v>
      </c>
      <c r="AN45" s="4">
        <v>0</v>
      </c>
      <c r="AO45" s="4">
        <v>32</v>
      </c>
      <c r="AP45" s="4">
        <v>-32</v>
      </c>
      <c r="AQ45" s="4">
        <v>0</v>
      </c>
      <c r="AR45" s="4">
        <v>25</v>
      </c>
    </row>
    <row r="46" spans="1:44">
      <c r="A46" s="64" t="s">
        <v>112</v>
      </c>
      <c r="E46" s="57" t="s">
        <v>23</v>
      </c>
      <c r="F46" s="57">
        <v>5</v>
      </c>
      <c r="G46" s="57">
        <v>9</v>
      </c>
      <c r="I46">
        <v>566</v>
      </c>
      <c r="J46">
        <v>1023</v>
      </c>
      <c r="K46">
        <v>346</v>
      </c>
      <c r="L46">
        <v>475</v>
      </c>
      <c r="M46">
        <v>641</v>
      </c>
      <c r="N46">
        <v>329</v>
      </c>
      <c r="O46">
        <v>0</v>
      </c>
      <c r="P46" s="4">
        <f t="shared" si="22"/>
        <v>525.6990191017037</v>
      </c>
      <c r="Q46" s="4">
        <f t="shared" si="23"/>
        <v>528.11111111111109</v>
      </c>
      <c r="R46" s="7">
        <f t="shared" si="24"/>
        <v>526.90506510640739</v>
      </c>
      <c r="S46">
        <f t="shared" si="25"/>
        <v>1018279</v>
      </c>
      <c r="U46" s="4">
        <f t="shared" si="26"/>
        <v>290.46666666666664</v>
      </c>
      <c r="V46" s="5">
        <f t="shared" si="27"/>
        <v>-319.09590453174263</v>
      </c>
      <c r="W46" s="7">
        <f t="shared" si="28"/>
        <v>-14.314618932537996</v>
      </c>
      <c r="X46" s="4">
        <f t="shared" si="29"/>
        <v>0.51370781441381852</v>
      </c>
      <c r="Y46" s="4">
        <f t="shared" si="16"/>
        <v>-43.336301077077522</v>
      </c>
      <c r="Z46" s="7">
        <f t="shared" si="30"/>
        <v>-36.808878223696212</v>
      </c>
      <c r="AA46" s="4" t="e">
        <f t="shared" si="19"/>
        <v>#DIV/0!</v>
      </c>
      <c r="AB46" s="4" t="e">
        <f t="shared" si="20"/>
        <v>#DIV/0!</v>
      </c>
      <c r="AC46" s="4" t="e">
        <f t="shared" si="21"/>
        <v>#DIV/0!</v>
      </c>
      <c r="AD46" s="4" t="e">
        <f t="shared" si="17"/>
        <v>#DIV/0!</v>
      </c>
      <c r="AE46" s="5">
        <f t="shared" si="31"/>
        <v>-9.5468123798498326</v>
      </c>
      <c r="AF46" s="8" t="e">
        <f t="shared" si="18"/>
        <v>#NUM!</v>
      </c>
      <c r="AG46" s="8">
        <f t="shared" si="32"/>
        <v>-21.291610138948116</v>
      </c>
      <c r="AH46" s="8">
        <f t="shared" si="33"/>
        <v>2.2889246746188243E-3</v>
      </c>
      <c r="AI46" s="12"/>
      <c r="AJ46" s="12"/>
      <c r="AK46" s="5">
        <v>-926.6</v>
      </c>
      <c r="AL46" s="4">
        <v>1211</v>
      </c>
      <c r="AM46" s="4">
        <v>13</v>
      </c>
      <c r="AN46" s="4">
        <v>-3</v>
      </c>
      <c r="AO46" s="4">
        <v>15</v>
      </c>
      <c r="AP46" s="4">
        <v>15</v>
      </c>
      <c r="AQ46" s="4">
        <v>1</v>
      </c>
      <c r="AR46" s="4">
        <v>-13</v>
      </c>
    </row>
    <row r="47" spans="1:44">
      <c r="A47" s="64" t="s">
        <v>90</v>
      </c>
      <c r="E47" s="57" t="s">
        <v>23</v>
      </c>
      <c r="F47" s="57">
        <v>5</v>
      </c>
      <c r="G47" s="57">
        <v>9</v>
      </c>
      <c r="I47" s="14">
        <v>454.8</v>
      </c>
      <c r="J47" s="14">
        <v>761.7</v>
      </c>
      <c r="K47" s="14">
        <v>257.5</v>
      </c>
      <c r="L47" s="14">
        <v>320.5</v>
      </c>
      <c r="M47" s="14">
        <v>199.2</v>
      </c>
      <c r="N47" s="14">
        <v>192</v>
      </c>
      <c r="O47" s="14">
        <v>0</v>
      </c>
      <c r="P47" s="4">
        <f t="shared" si="22"/>
        <v>301.13793103448279</v>
      </c>
      <c r="Q47" s="4">
        <f t="shared" si="23"/>
        <v>315.29999999999995</v>
      </c>
      <c r="R47" s="7">
        <f t="shared" si="24"/>
        <v>308.21896551724137</v>
      </c>
      <c r="S47">
        <f t="shared" si="25"/>
        <v>424423.80000000005</v>
      </c>
      <c r="T47">
        <v>2</v>
      </c>
      <c r="U47" s="4">
        <f t="shared" si="26"/>
        <v>239.64000000000001</v>
      </c>
      <c r="V47" s="4">
        <f t="shared" si="27"/>
        <v>215.80394017908918</v>
      </c>
      <c r="W47" s="7">
        <f t="shared" si="28"/>
        <v>227.72197008954458</v>
      </c>
      <c r="X47" s="4">
        <f t="shared" si="29"/>
        <v>0.20358450243894449</v>
      </c>
      <c r="Y47" s="4">
        <f t="shared" si="16"/>
        <v>548.16526812928146</v>
      </c>
      <c r="Z47" s="7">
        <f t="shared" si="30"/>
        <v>1.3534880512233574</v>
      </c>
      <c r="AA47" s="4" t="e">
        <f t="shared" si="19"/>
        <v>#DIV/0!</v>
      </c>
      <c r="AB47" s="4" t="e">
        <f t="shared" si="20"/>
        <v>#DIV/0!</v>
      </c>
      <c r="AC47" s="4" t="e">
        <f t="shared" si="21"/>
        <v>#DIV/0!</v>
      </c>
      <c r="AD47" s="4" t="e">
        <f t="shared" si="17"/>
        <v>#DIV/0!</v>
      </c>
      <c r="AE47" s="4">
        <f t="shared" si="31"/>
        <v>0.59929043604963539</v>
      </c>
      <c r="AF47" s="8">
        <f t="shared" si="18"/>
        <v>0.23873227624522247</v>
      </c>
      <c r="AG47" s="8">
        <f t="shared" si="32"/>
        <v>5.2335880924308804E-2</v>
      </c>
      <c r="AH47" s="8">
        <f t="shared" si="33"/>
        <v>2.2974038832670334E-2</v>
      </c>
      <c r="AK47" s="5">
        <v>-6.9930000000000006E-2</v>
      </c>
      <c r="AL47" s="4">
        <v>0.41099999999999998</v>
      </c>
      <c r="AM47" s="4">
        <v>1</v>
      </c>
      <c r="AN47" s="4">
        <v>1</v>
      </c>
      <c r="AO47" s="4">
        <v>0</v>
      </c>
      <c r="AP47" s="4">
        <v>-1</v>
      </c>
      <c r="AQ47" s="4">
        <v>1</v>
      </c>
      <c r="AR47" s="4">
        <v>0</v>
      </c>
    </row>
    <row r="48" spans="1:44">
      <c r="A48" s="64" t="s">
        <v>91</v>
      </c>
      <c r="E48" s="57" t="s">
        <v>23</v>
      </c>
      <c r="F48" s="57">
        <v>5</v>
      </c>
      <c r="G48" s="57">
        <v>9</v>
      </c>
      <c r="I48" s="14">
        <v>457.1</v>
      </c>
      <c r="J48" s="14">
        <v>781.5</v>
      </c>
      <c r="K48" s="14">
        <v>260.8</v>
      </c>
      <c r="L48" s="14">
        <v>321.8</v>
      </c>
      <c r="M48" s="14">
        <v>206.1</v>
      </c>
      <c r="N48" s="14">
        <v>202</v>
      </c>
      <c r="O48" s="14">
        <v>0</v>
      </c>
      <c r="P48" s="4">
        <f t="shared" si="22"/>
        <v>307.91341136652102</v>
      </c>
      <c r="Q48" s="4">
        <f t="shared" si="23"/>
        <v>323.98888888888888</v>
      </c>
      <c r="R48" s="7">
        <f t="shared" si="24"/>
        <v>315.95115012770498</v>
      </c>
      <c r="S48">
        <f t="shared" si="25"/>
        <v>436682.80000000005</v>
      </c>
      <c r="T48">
        <v>3</v>
      </c>
      <c r="U48" s="4">
        <f t="shared" si="26"/>
        <v>241.05333333333334</v>
      </c>
      <c r="V48" s="4">
        <f t="shared" si="27"/>
        <v>215.55486499860487</v>
      </c>
      <c r="W48" s="7">
        <f t="shared" si="28"/>
        <v>228.30409916596909</v>
      </c>
      <c r="X48" s="4">
        <f t="shared" si="29"/>
        <v>0.20883479948732661</v>
      </c>
      <c r="Y48" s="4">
        <f t="shared" si="16"/>
        <v>551.96387987485798</v>
      </c>
      <c r="Z48" s="7">
        <f t="shared" si="30"/>
        <v>1.3839048500746347</v>
      </c>
      <c r="AA48" s="4" t="e">
        <f t="shared" si="19"/>
        <v>#DIV/0!</v>
      </c>
      <c r="AB48" s="4" t="e">
        <f t="shared" si="20"/>
        <v>#DIV/0!</v>
      </c>
      <c r="AC48" s="4" t="e">
        <f t="shared" si="21"/>
        <v>#DIV/0!</v>
      </c>
      <c r="AD48" s="4" t="e">
        <f t="shared" si="17"/>
        <v>#DIV/0!</v>
      </c>
      <c r="AE48" s="4">
        <f t="shared" si="31"/>
        <v>0.64366899797088006</v>
      </c>
      <c r="AF48" s="8">
        <f t="shared" si="18"/>
        <v>0.25512568543857994</v>
      </c>
      <c r="AG48" s="8">
        <f t="shared" si="32"/>
        <v>5.5843211812399339E-2</v>
      </c>
      <c r="AH48" s="8">
        <f t="shared" si="33"/>
        <v>2.5439814850919645E-2</v>
      </c>
      <c r="AK48" s="5">
        <v>-7.0550000000000002E-2</v>
      </c>
      <c r="AL48" s="4">
        <v>0.42699999999999999</v>
      </c>
      <c r="AM48" s="4">
        <v>1</v>
      </c>
      <c r="AN48" s="4">
        <v>1</v>
      </c>
      <c r="AO48" s="4">
        <v>0</v>
      </c>
      <c r="AP48" s="4">
        <v>-1</v>
      </c>
      <c r="AQ48" s="4">
        <v>1</v>
      </c>
      <c r="AR48" s="4">
        <v>0</v>
      </c>
    </row>
    <row r="49" spans="1:44">
      <c r="A49" s="64" t="s">
        <v>92</v>
      </c>
      <c r="E49" s="57" t="s">
        <v>23</v>
      </c>
      <c r="F49" s="57">
        <v>5</v>
      </c>
      <c r="G49" s="57">
        <v>9</v>
      </c>
      <c r="I49" s="14">
        <v>455.7</v>
      </c>
      <c r="J49" s="14">
        <v>767.9</v>
      </c>
      <c r="K49" s="14">
        <v>256.60000000000002</v>
      </c>
      <c r="L49" s="14">
        <v>326.2</v>
      </c>
      <c r="M49" s="14">
        <v>209.1</v>
      </c>
      <c r="N49" s="14">
        <v>196.1</v>
      </c>
      <c r="O49" s="14">
        <v>0</v>
      </c>
      <c r="P49" s="4">
        <f t="shared" si="22"/>
        <v>306.16403050416608</v>
      </c>
      <c r="Q49" s="4">
        <f t="shared" si="23"/>
        <v>320.21111111111111</v>
      </c>
      <c r="R49" s="7">
        <f t="shared" si="24"/>
        <v>313.18757080763862</v>
      </c>
      <c r="S49">
        <f t="shared" si="25"/>
        <v>433589.49999999994</v>
      </c>
      <c r="T49">
        <v>4</v>
      </c>
      <c r="U49" s="4">
        <f t="shared" si="26"/>
        <v>239.7466666666667</v>
      </c>
      <c r="V49" s="4">
        <f t="shared" si="27"/>
        <v>213.66417312578284</v>
      </c>
      <c r="W49" s="7">
        <f t="shared" si="28"/>
        <v>226.70541989622478</v>
      </c>
      <c r="X49" s="4">
        <f t="shared" si="29"/>
        <v>0.20842199969219188</v>
      </c>
      <c r="Y49" s="4">
        <f t="shared" si="16"/>
        <v>547.911633704108</v>
      </c>
      <c r="Z49" s="7">
        <f t="shared" si="30"/>
        <v>1.3814736804748706</v>
      </c>
      <c r="AA49" s="4" t="e">
        <f t="shared" si="19"/>
        <v>#DIV/0!</v>
      </c>
      <c r="AB49" s="4" t="e">
        <f t="shared" si="20"/>
        <v>#DIV/0!</v>
      </c>
      <c r="AC49" s="4" t="e">
        <f t="shared" si="21"/>
        <v>#DIV/0!</v>
      </c>
      <c r="AD49" s="4" t="e">
        <f t="shared" si="17"/>
        <v>#DIV/0!</v>
      </c>
      <c r="AE49" s="4">
        <f t="shared" si="31"/>
        <v>0.65624278395936653</v>
      </c>
      <c r="AF49" s="8">
        <f t="shared" si="18"/>
        <v>0.26142195904383486</v>
      </c>
      <c r="AG49" s="8">
        <f t="shared" si="32"/>
        <v>5.752507715259568E-2</v>
      </c>
      <c r="AH49" s="8">
        <f t="shared" si="33"/>
        <v>2.2425986718950634E-2</v>
      </c>
      <c r="AK49" s="5">
        <v>-7.2109999999999994E-2</v>
      </c>
      <c r="AL49" s="4">
        <v>0.43059999999999998</v>
      </c>
      <c r="AM49" s="4">
        <v>1</v>
      </c>
      <c r="AN49" s="4">
        <v>1</v>
      </c>
      <c r="AO49" s="4">
        <v>0</v>
      </c>
      <c r="AP49" s="4">
        <v>-1</v>
      </c>
      <c r="AQ49" s="4">
        <v>1</v>
      </c>
      <c r="AR49" s="4">
        <v>0</v>
      </c>
    </row>
    <row r="50" spans="1:44">
      <c r="A50" s="64" t="s">
        <v>101</v>
      </c>
      <c r="E50" s="57" t="s">
        <v>23</v>
      </c>
      <c r="F50" s="57">
        <v>5</v>
      </c>
      <c r="G50" s="57">
        <v>9</v>
      </c>
      <c r="I50" s="14">
        <v>464.8</v>
      </c>
      <c r="J50" s="14">
        <v>770.3</v>
      </c>
      <c r="K50" s="14">
        <v>261.5</v>
      </c>
      <c r="L50" s="14">
        <v>326.8</v>
      </c>
      <c r="M50" s="14">
        <v>219.5</v>
      </c>
      <c r="N50" s="14">
        <v>203</v>
      </c>
      <c r="O50" s="14">
        <v>0</v>
      </c>
      <c r="P50" s="4">
        <f t="shared" si="22"/>
        <v>314.74151744638687</v>
      </c>
      <c r="Q50" s="4">
        <f t="shared" si="23"/>
        <v>327.87777777777774</v>
      </c>
      <c r="R50" s="7">
        <f t="shared" si="24"/>
        <v>321.3096476120823</v>
      </c>
      <c r="S50">
        <f t="shared" si="25"/>
        <v>444698.28999999992</v>
      </c>
      <c r="T50">
        <v>5</v>
      </c>
      <c r="U50" s="4">
        <f t="shared" si="26"/>
        <v>241.58666666666664</v>
      </c>
      <c r="V50" s="4">
        <f t="shared" si="27"/>
        <v>214.72807779452316</v>
      </c>
      <c r="W50" s="7">
        <f t="shared" si="28"/>
        <v>228.15737223059489</v>
      </c>
      <c r="X50" s="4">
        <f t="shared" si="29"/>
        <v>0.21291000154908857</v>
      </c>
      <c r="Y50" s="4">
        <f t="shared" si="16"/>
        <v>553.46871741129348</v>
      </c>
      <c r="Z50" s="7">
        <f t="shared" si="30"/>
        <v>1.4082808040379249</v>
      </c>
      <c r="AA50" s="4" t="e">
        <f t="shared" si="19"/>
        <v>#DIV/0!</v>
      </c>
      <c r="AB50" s="4" t="e">
        <f t="shared" si="20"/>
        <v>#DIV/0!</v>
      </c>
      <c r="AC50" s="4" t="e">
        <f t="shared" si="21"/>
        <v>#DIV/0!</v>
      </c>
      <c r="AD50" s="4" t="e">
        <f t="shared" si="17"/>
        <v>#DIV/0!</v>
      </c>
      <c r="AE50" s="4">
        <f t="shared" si="31"/>
        <v>0.66714599710089395</v>
      </c>
      <c r="AF50" s="8">
        <f t="shared" si="18"/>
        <v>0.26668685381619928</v>
      </c>
      <c r="AG50" s="8">
        <f t="shared" si="32"/>
        <v>5.8859787456260568E-2</v>
      </c>
      <c r="AH50" s="8">
        <f t="shared" si="33"/>
        <v>2.0441745881297504E-2</v>
      </c>
      <c r="AK50" s="5">
        <v>-6.198E-2</v>
      </c>
      <c r="AL50" s="4">
        <v>0.44519999999999998</v>
      </c>
      <c r="AM50" s="4">
        <v>1</v>
      </c>
      <c r="AN50" s="4">
        <v>1</v>
      </c>
      <c r="AO50" s="4">
        <v>0</v>
      </c>
      <c r="AP50" s="4">
        <v>-1</v>
      </c>
      <c r="AQ50" s="4">
        <v>1</v>
      </c>
      <c r="AR50" s="4">
        <v>0</v>
      </c>
    </row>
    <row r="51" spans="1:44">
      <c r="A51" s="64" t="s">
        <v>102</v>
      </c>
      <c r="E51" s="57" t="s">
        <v>23</v>
      </c>
      <c r="F51" s="57">
        <v>5</v>
      </c>
      <c r="G51" s="57">
        <v>9</v>
      </c>
      <c r="I51" s="14">
        <v>465.9</v>
      </c>
      <c r="J51" s="14">
        <v>780.8</v>
      </c>
      <c r="K51" s="14">
        <v>264.7</v>
      </c>
      <c r="L51" s="14">
        <v>324.2</v>
      </c>
      <c r="M51" s="14">
        <v>225.5</v>
      </c>
      <c r="N51" s="14">
        <v>199.6</v>
      </c>
      <c r="O51" s="14">
        <v>0</v>
      </c>
      <c r="P51" s="4">
        <f t="shared" si="22"/>
        <v>316.35143682111919</v>
      </c>
      <c r="Q51" s="4">
        <f t="shared" si="23"/>
        <v>329.11111111111109</v>
      </c>
      <c r="R51" s="7">
        <f t="shared" si="24"/>
        <v>322.73127396611517</v>
      </c>
      <c r="S51">
        <f t="shared" si="25"/>
        <v>460164.8</v>
      </c>
      <c r="T51">
        <v>6</v>
      </c>
      <c r="U51" s="4">
        <f t="shared" si="26"/>
        <v>243.24666666666661</v>
      </c>
      <c r="V51" s="4">
        <f t="shared" si="27"/>
        <v>215.04522643254271</v>
      </c>
      <c r="W51" s="7">
        <f t="shared" si="28"/>
        <v>229.14594654960467</v>
      </c>
      <c r="X51" s="4">
        <f t="shared" si="29"/>
        <v>0.21293117552593105</v>
      </c>
      <c r="Y51" s="4">
        <f t="shared" si="16"/>
        <v>555.87652463082838</v>
      </c>
      <c r="Z51" s="7">
        <f t="shared" si="30"/>
        <v>1.4084092641641011</v>
      </c>
      <c r="AA51" s="4" t="e">
        <f t="shared" si="19"/>
        <v>#DIV/0!</v>
      </c>
      <c r="AB51" s="4" t="e">
        <f t="shared" si="20"/>
        <v>#DIV/0!</v>
      </c>
      <c r="AC51" s="4" t="e">
        <f t="shared" si="21"/>
        <v>#DIV/0!</v>
      </c>
      <c r="AD51" s="4" t="e">
        <f t="shared" si="17"/>
        <v>#DIV/0!</v>
      </c>
      <c r="AE51" s="4">
        <f t="shared" si="31"/>
        <v>0.69604337433744945</v>
      </c>
      <c r="AF51" s="8">
        <f t="shared" si="18"/>
        <v>0.27836813871662258</v>
      </c>
      <c r="AG51" s="8">
        <f t="shared" si="32"/>
        <v>6.1535978835259394E-2</v>
      </c>
      <c r="AH51" s="8">
        <f t="shared" si="33"/>
        <v>1.9768264372376228E-2</v>
      </c>
      <c r="AK51" s="5">
        <v>-4.7710000000000002E-2</v>
      </c>
      <c r="AL51" s="4">
        <v>0.45779999999999998</v>
      </c>
      <c r="AM51" s="4">
        <v>1</v>
      </c>
      <c r="AN51" s="4">
        <v>1</v>
      </c>
      <c r="AO51" s="4">
        <v>0</v>
      </c>
      <c r="AP51" s="4">
        <v>-1</v>
      </c>
      <c r="AQ51" s="4">
        <v>1</v>
      </c>
      <c r="AR51" s="4">
        <v>0</v>
      </c>
    </row>
    <row r="52" spans="1:44">
      <c r="A52" s="64" t="s">
        <v>103</v>
      </c>
      <c r="E52" s="57" t="s">
        <v>23</v>
      </c>
      <c r="F52" s="57">
        <v>5</v>
      </c>
      <c r="G52" s="57">
        <v>9</v>
      </c>
      <c r="I52" s="14">
        <v>483.5</v>
      </c>
      <c r="J52" s="14">
        <v>804.3</v>
      </c>
      <c r="K52" s="14">
        <v>265.39999999999998</v>
      </c>
      <c r="L52" s="14">
        <v>334.2</v>
      </c>
      <c r="M52" s="14">
        <v>227.6</v>
      </c>
      <c r="N52" s="14">
        <v>215.6</v>
      </c>
      <c r="O52" s="14">
        <v>0</v>
      </c>
      <c r="P52" s="4">
        <f t="shared" si="22"/>
        <v>328.67015027791126</v>
      </c>
      <c r="Q52" s="4">
        <f t="shared" si="23"/>
        <v>343.21111111111105</v>
      </c>
      <c r="R52" s="7">
        <f t="shared" si="24"/>
        <v>335.94063069451113</v>
      </c>
      <c r="S52">
        <f t="shared" si="25"/>
        <v>478971.01</v>
      </c>
      <c r="T52">
        <v>7</v>
      </c>
      <c r="U52" s="4">
        <f t="shared" si="26"/>
        <v>247.16666666666663</v>
      </c>
      <c r="V52" s="4">
        <f t="shared" si="27"/>
        <v>220.81953973281989</v>
      </c>
      <c r="W52" s="7">
        <f t="shared" si="28"/>
        <v>233.99310319974325</v>
      </c>
      <c r="X52" s="4">
        <f t="shared" si="29"/>
        <v>0.21735753221473311</v>
      </c>
      <c r="Y52" s="4">
        <f t="shared" si="16"/>
        <v>569.70653333301357</v>
      </c>
      <c r="Z52" s="7">
        <f t="shared" si="30"/>
        <v>1.4356860356167958</v>
      </c>
      <c r="AA52" s="4" t="e">
        <f t="shared" si="19"/>
        <v>#DIV/0!</v>
      </c>
      <c r="AB52" s="4" t="e">
        <f t="shared" si="20"/>
        <v>#DIV/0!</v>
      </c>
      <c r="AC52" s="4" t="e">
        <f t="shared" si="21"/>
        <v>#DIV/0!</v>
      </c>
      <c r="AD52" s="4" t="e">
        <f t="shared" si="17"/>
        <v>#DIV/0!</v>
      </c>
      <c r="AE52" s="4">
        <f t="shared" si="31"/>
        <v>0.6408177915250981</v>
      </c>
      <c r="AF52" s="8">
        <f t="shared" si="18"/>
        <v>0.25573385306447038</v>
      </c>
      <c r="AG52" s="8">
        <f t="shared" si="32"/>
        <v>5.629893910026073E-2</v>
      </c>
      <c r="AH52" s="8">
        <f t="shared" si="33"/>
        <v>2.1642158620614527E-2</v>
      </c>
      <c r="AK52" s="5">
        <v>-5.7669999999999999E-2</v>
      </c>
      <c r="AL52" s="4">
        <v>0.43959999999999999</v>
      </c>
      <c r="AM52" s="4">
        <v>1</v>
      </c>
      <c r="AN52" s="4">
        <v>1</v>
      </c>
      <c r="AO52" s="4">
        <v>0</v>
      </c>
      <c r="AP52" s="4">
        <v>-1</v>
      </c>
      <c r="AQ52" s="4">
        <v>1</v>
      </c>
      <c r="AR52" s="4">
        <v>0</v>
      </c>
    </row>
    <row r="53" spans="1:44">
      <c r="A53" s="64" t="s">
        <v>104</v>
      </c>
      <c r="E53" s="57" t="s">
        <v>23</v>
      </c>
      <c r="F53" s="57">
        <v>5</v>
      </c>
      <c r="G53" s="57">
        <v>9</v>
      </c>
      <c r="I53" s="14">
        <v>476</v>
      </c>
      <c r="J53" s="14">
        <v>819.7</v>
      </c>
      <c r="K53" s="14">
        <v>278.89999999999998</v>
      </c>
      <c r="L53" s="14">
        <v>331.2</v>
      </c>
      <c r="M53" s="14">
        <v>236.6</v>
      </c>
      <c r="N53" s="14">
        <v>212.2</v>
      </c>
      <c r="O53" s="14">
        <v>0</v>
      </c>
      <c r="P53" s="4">
        <f t="shared" si="22"/>
        <v>328.672525279404</v>
      </c>
      <c r="Q53" s="4">
        <f t="shared" si="23"/>
        <v>343.74444444444441</v>
      </c>
      <c r="R53" s="7">
        <f t="shared" si="24"/>
        <v>336.20848486192421</v>
      </c>
      <c r="S53">
        <f t="shared" si="25"/>
        <v>494060.5400000001</v>
      </c>
      <c r="T53">
        <v>8</v>
      </c>
      <c r="U53" s="4">
        <f t="shared" si="26"/>
        <v>251.84666666666666</v>
      </c>
      <c r="V53" s="4">
        <f t="shared" si="27"/>
        <v>220.07920107349395</v>
      </c>
      <c r="W53" s="7">
        <f t="shared" si="28"/>
        <v>235.96293387008029</v>
      </c>
      <c r="X53" s="4">
        <f t="shared" si="29"/>
        <v>0.21561328702073509</v>
      </c>
      <c r="Y53" s="4">
        <f t="shared" si="16"/>
        <v>573.67935531372927</v>
      </c>
      <c r="Z53" s="7">
        <f t="shared" si="30"/>
        <v>1.4248360085530996</v>
      </c>
      <c r="AA53" s="4" t="e">
        <f t="shared" si="19"/>
        <v>#DIV/0!</v>
      </c>
      <c r="AB53" s="4" t="e">
        <f t="shared" si="20"/>
        <v>#DIV/0!</v>
      </c>
      <c r="AC53" s="4" t="e">
        <f t="shared" si="21"/>
        <v>#DIV/0!</v>
      </c>
      <c r="AD53" s="4" t="e">
        <f t="shared" si="17"/>
        <v>#DIV/0!</v>
      </c>
      <c r="AE53" s="4">
        <f t="shared" si="31"/>
        <v>0.76758497758230959</v>
      </c>
      <c r="AF53" s="8">
        <f t="shared" si="18"/>
        <v>0.3048113231740745</v>
      </c>
      <c r="AG53" s="8">
        <f t="shared" si="32"/>
        <v>6.7314524938615325E-2</v>
      </c>
      <c r="AH53" s="8">
        <f t="shared" si="33"/>
        <v>2.2414543123785564E-2</v>
      </c>
      <c r="AK53" s="5">
        <v>-4.7160000000000001E-2</v>
      </c>
      <c r="AL53" s="4">
        <v>0.47920000000000001</v>
      </c>
      <c r="AM53" s="4">
        <v>1</v>
      </c>
      <c r="AN53" s="4">
        <v>1</v>
      </c>
      <c r="AO53" s="4">
        <v>0</v>
      </c>
      <c r="AP53" s="4">
        <v>-1</v>
      </c>
      <c r="AQ53" s="4">
        <v>1</v>
      </c>
      <c r="AR53" s="4">
        <v>0</v>
      </c>
    </row>
    <row r="54" spans="1:44">
      <c r="A54" s="64" t="s">
        <v>105</v>
      </c>
      <c r="E54" s="57" t="s">
        <v>23</v>
      </c>
      <c r="F54" s="57">
        <v>5</v>
      </c>
      <c r="G54" s="57">
        <v>9</v>
      </c>
      <c r="I54" s="14">
        <v>508</v>
      </c>
      <c r="J54" s="14">
        <v>816</v>
      </c>
      <c r="K54" s="14">
        <v>275.89999999999998</v>
      </c>
      <c r="L54" s="14">
        <v>339.8</v>
      </c>
      <c r="M54" s="14">
        <v>266.89999999999998</v>
      </c>
      <c r="N54" s="14">
        <v>199.1</v>
      </c>
      <c r="O54" s="14">
        <v>0</v>
      </c>
      <c r="P54" s="4">
        <f t="shared" si="22"/>
        <v>343.39446134740763</v>
      </c>
      <c r="Q54" s="4">
        <f t="shared" si="23"/>
        <v>351.35555555555555</v>
      </c>
      <c r="R54" s="7">
        <f t="shared" si="24"/>
        <v>347.37500845148156</v>
      </c>
      <c r="S54">
        <f t="shared" si="25"/>
        <v>553036.78</v>
      </c>
      <c r="T54">
        <v>9</v>
      </c>
      <c r="U54" s="4">
        <f t="shared" si="26"/>
        <v>256.11333333333334</v>
      </c>
      <c r="V54" s="4">
        <f t="shared" si="27"/>
        <v>224.22382866091851</v>
      </c>
      <c r="W54" s="7">
        <f t="shared" si="28"/>
        <v>240.16858099712593</v>
      </c>
      <c r="X54" s="4">
        <f t="shared" si="29"/>
        <v>0.21905586231479879</v>
      </c>
      <c r="Y54" s="4">
        <f t="shared" si="16"/>
        <v>585.55783321674596</v>
      </c>
      <c r="Z54" s="7">
        <f t="shared" si="30"/>
        <v>1.4463799011896505</v>
      </c>
      <c r="AA54" s="4" t="e">
        <f t="shared" si="19"/>
        <v>#DIV/0!</v>
      </c>
      <c r="AB54" s="4" t="e">
        <f t="shared" si="20"/>
        <v>#DIV/0!</v>
      </c>
      <c r="AC54" s="4" t="e">
        <f t="shared" si="21"/>
        <v>#DIV/0!</v>
      </c>
      <c r="AD54" s="4" t="e">
        <f t="shared" si="17"/>
        <v>#DIV/0!</v>
      </c>
      <c r="AE54" s="4">
        <f t="shared" si="31"/>
        <v>0.73429226129400949</v>
      </c>
      <c r="AF54" s="8">
        <f t="shared" si="18"/>
        <v>0.29822371218523136</v>
      </c>
      <c r="AG54" s="8">
        <f t="shared" si="32"/>
        <v>6.6389834465475833E-2</v>
      </c>
      <c r="AH54" s="8">
        <f t="shared" si="33"/>
        <v>1.1458933450101471E-2</v>
      </c>
      <c r="AK54" s="9">
        <v>-1.369E-3</v>
      </c>
      <c r="AL54" s="4">
        <v>0.49359999999999998</v>
      </c>
      <c r="AM54" s="4">
        <v>1</v>
      </c>
      <c r="AN54" s="4">
        <v>1</v>
      </c>
      <c r="AO54" s="4">
        <v>0</v>
      </c>
      <c r="AP54" s="4">
        <v>-1</v>
      </c>
      <c r="AQ54" s="4">
        <v>1</v>
      </c>
      <c r="AR54" s="4">
        <v>0</v>
      </c>
    </row>
    <row r="55" spans="1:44">
      <c r="A55" s="64" t="s">
        <v>106</v>
      </c>
      <c r="E55" s="57" t="s">
        <v>23</v>
      </c>
      <c r="F55" s="57">
        <v>5</v>
      </c>
      <c r="G55" s="57">
        <v>9</v>
      </c>
      <c r="I55" s="14">
        <v>513.70000000000005</v>
      </c>
      <c r="J55" s="14">
        <v>820</v>
      </c>
      <c r="K55" s="14">
        <v>279.8</v>
      </c>
      <c r="L55" s="14">
        <v>346.7</v>
      </c>
      <c r="M55" s="14">
        <v>281.3</v>
      </c>
      <c r="N55" s="14">
        <v>201.8</v>
      </c>
      <c r="O55" s="14">
        <v>0</v>
      </c>
      <c r="P55" s="4">
        <f t="shared" si="22"/>
        <v>350.44447720850229</v>
      </c>
      <c r="Q55" s="4">
        <f t="shared" si="23"/>
        <v>357.46666666666664</v>
      </c>
      <c r="R55" s="7">
        <f t="shared" si="24"/>
        <v>353.95557193758447</v>
      </c>
      <c r="S55">
        <f t="shared" si="25"/>
        <v>570453.52</v>
      </c>
      <c r="T55">
        <v>10</v>
      </c>
      <c r="U55" s="4">
        <f t="shared" si="26"/>
        <v>258.76</v>
      </c>
      <c r="V55" s="4">
        <f t="shared" si="27"/>
        <v>223.23453250857938</v>
      </c>
      <c r="W55" s="7">
        <f t="shared" si="28"/>
        <v>240.99726625428968</v>
      </c>
      <c r="X55" s="4">
        <f t="shared" si="29"/>
        <v>0.22253749865131156</v>
      </c>
      <c r="Y55" s="4">
        <f t="shared" si="16"/>
        <v>589.25639013664681</v>
      </c>
      <c r="Z55" s="7">
        <f t="shared" si="30"/>
        <v>1.4687119793471273</v>
      </c>
      <c r="AA55" s="4" t="e">
        <f t="shared" si="19"/>
        <v>#DIV/0!</v>
      </c>
      <c r="AB55" s="4" t="e">
        <f t="shared" si="20"/>
        <v>#DIV/0!</v>
      </c>
      <c r="AC55" s="4" t="e">
        <f t="shared" si="21"/>
        <v>#DIV/0!</v>
      </c>
      <c r="AD55" s="4" t="e">
        <f t="shared" si="17"/>
        <v>#DIV/0!</v>
      </c>
      <c r="AE55" s="4">
        <f t="shared" si="31"/>
        <v>0.81573624904400788</v>
      </c>
      <c r="AF55" s="8">
        <f t="shared" si="18"/>
        <v>0.33081363598162317</v>
      </c>
      <c r="AG55" s="8">
        <f t="shared" si="32"/>
        <v>7.3705125463821047E-2</v>
      </c>
      <c r="AH55" s="8">
        <f t="shared" si="33"/>
        <v>9.9195916308426144E-3</v>
      </c>
      <c r="AK55" s="9">
        <v>1.6379999999999999E-3</v>
      </c>
      <c r="AL55" s="4">
        <v>0.51980000000000004</v>
      </c>
      <c r="AM55" s="4">
        <v>1</v>
      </c>
      <c r="AN55" s="4">
        <v>1</v>
      </c>
      <c r="AO55" s="4">
        <v>0</v>
      </c>
      <c r="AP55" s="4">
        <v>-1</v>
      </c>
      <c r="AQ55" s="4">
        <v>1</v>
      </c>
      <c r="AR55" s="4">
        <v>0</v>
      </c>
    </row>
    <row r="56" spans="1:44">
      <c r="A56" s="64" t="s">
        <v>107</v>
      </c>
      <c r="E56" s="57" t="s">
        <v>23</v>
      </c>
      <c r="F56" s="57">
        <v>5</v>
      </c>
      <c r="G56" s="57">
        <v>9</v>
      </c>
      <c r="I56" s="14">
        <v>519</v>
      </c>
      <c r="J56" s="14">
        <v>825</v>
      </c>
      <c r="K56" s="14">
        <v>276.3</v>
      </c>
      <c r="L56" s="14">
        <v>350.2</v>
      </c>
      <c r="M56" s="14">
        <v>283.3</v>
      </c>
      <c r="N56" s="14">
        <v>207.8</v>
      </c>
      <c r="O56" s="14">
        <v>0</v>
      </c>
      <c r="P56" s="4">
        <f t="shared" si="22"/>
        <v>355.02795632595144</v>
      </c>
      <c r="Q56" s="4">
        <f t="shared" si="23"/>
        <v>362.31111111111113</v>
      </c>
      <c r="R56" s="7">
        <f t="shared" si="24"/>
        <v>358.66953371853128</v>
      </c>
      <c r="S56">
        <f t="shared" si="25"/>
        <v>575535.81999999995</v>
      </c>
      <c r="T56">
        <v>11</v>
      </c>
      <c r="U56" s="4">
        <f t="shared" si="26"/>
        <v>258.16666666666669</v>
      </c>
      <c r="V56" s="4">
        <f t="shared" si="27"/>
        <v>223.64859645508361</v>
      </c>
      <c r="W56" s="7">
        <f t="shared" si="28"/>
        <v>240.90763156087513</v>
      </c>
      <c r="X56" s="4">
        <f t="shared" si="29"/>
        <v>0.2256002786176351</v>
      </c>
      <c r="Y56" s="4">
        <f t="shared" si="16"/>
        <v>590.51292072424621</v>
      </c>
      <c r="Z56" s="7">
        <f t="shared" si="30"/>
        <v>1.488825951235583</v>
      </c>
      <c r="AA56" s="4" t="e">
        <f t="shared" si="19"/>
        <v>#DIV/0!</v>
      </c>
      <c r="AB56" s="4" t="e">
        <f t="shared" si="20"/>
        <v>#DIV/0!</v>
      </c>
      <c r="AC56" s="4" t="e">
        <f t="shared" si="21"/>
        <v>#DIV/0!</v>
      </c>
      <c r="AD56" s="4" t="e">
        <f t="shared" si="17"/>
        <v>#DIV/0!</v>
      </c>
      <c r="AE56" s="4">
        <f t="shared" si="31"/>
        <v>0.79221757381939906</v>
      </c>
      <c r="AF56" s="8">
        <f t="shared" si="18"/>
        <v>0.32158309561155463</v>
      </c>
      <c r="AG56" s="8">
        <f t="shared" si="32"/>
        <v>7.1641711779605211E-2</v>
      </c>
      <c r="AH56" s="8">
        <f t="shared" si="33"/>
        <v>1.0153015659918314E-2</v>
      </c>
      <c r="AK56" s="9">
        <v>-1.9889999999999999E-3</v>
      </c>
      <c r="AL56" s="4">
        <v>0.51390000000000002</v>
      </c>
      <c r="AM56" s="4">
        <v>1</v>
      </c>
      <c r="AN56" s="4">
        <v>1</v>
      </c>
      <c r="AO56" s="4">
        <v>0</v>
      </c>
      <c r="AP56" s="4">
        <v>-1</v>
      </c>
      <c r="AQ56" s="4">
        <v>1</v>
      </c>
      <c r="AR56" s="4">
        <v>0</v>
      </c>
    </row>
    <row r="57" spans="1:44">
      <c r="I57" s="14"/>
      <c r="J57" s="14"/>
      <c r="K57" s="14"/>
      <c r="L57" s="14"/>
      <c r="M57" s="14"/>
      <c r="N57" s="14"/>
      <c r="O57" s="14"/>
      <c r="P57" s="4"/>
      <c r="Q57" s="4"/>
      <c r="R57" s="7"/>
      <c r="U57" s="4"/>
      <c r="V57" s="4"/>
      <c r="W57" s="7"/>
      <c r="Z57" s="7"/>
      <c r="AA57" s="4" t="e">
        <f t="shared" si="19"/>
        <v>#DIV/0!</v>
      </c>
      <c r="AB57" s="4" t="e">
        <f t="shared" si="20"/>
        <v>#DIV/0!</v>
      </c>
      <c r="AC57" s="4" t="e">
        <f t="shared" si="21"/>
        <v>#DIV/0!</v>
      </c>
      <c r="AD57" s="4" t="e">
        <f t="shared" si="17"/>
        <v>#DIV/0!</v>
      </c>
      <c r="AE57" s="4"/>
      <c r="AF57" s="8" t="e">
        <f t="shared" si="18"/>
        <v>#DIV/0!</v>
      </c>
      <c r="AG57" s="8"/>
      <c r="AH57" s="8"/>
      <c r="AK57" s="9"/>
      <c r="AM57" s="4"/>
      <c r="AN57" s="4"/>
      <c r="AO57" s="4"/>
      <c r="AP57" s="4"/>
      <c r="AQ57" s="4"/>
      <c r="AR57" s="4"/>
    </row>
    <row r="58" spans="1:44">
      <c r="A58" t="s">
        <v>125</v>
      </c>
      <c r="E58" s="57" t="s">
        <v>23</v>
      </c>
      <c r="F58" s="57">
        <v>5</v>
      </c>
      <c r="G58" s="57">
        <v>3</v>
      </c>
      <c r="I58">
        <v>131.1</v>
      </c>
      <c r="J58">
        <v>192.3</v>
      </c>
      <c r="K58">
        <v>52.5</v>
      </c>
      <c r="L58">
        <v>89.8</v>
      </c>
      <c r="M58">
        <v>82.5</v>
      </c>
      <c r="N58">
        <v>59.6</v>
      </c>
      <c r="O58" s="14"/>
      <c r="P58" s="4">
        <f>((I58+M58)*J58-2*N58*N58)/(I58+M58+2*J58-4*N58)</f>
        <v>94.416231239577527</v>
      </c>
      <c r="Q58" s="4">
        <f>(2*I58+2*M58+4*N58+J58)/9</f>
        <v>95.322222222222237</v>
      </c>
      <c r="R58" s="7">
        <f>0.5*(Q58+P58)</f>
        <v>94.869226730899882</v>
      </c>
      <c r="S58">
        <f>(I58+M58)*J58-2*N58*N58</f>
        <v>33970.959999999999</v>
      </c>
      <c r="T58">
        <v>13</v>
      </c>
      <c r="U58" s="4">
        <f>(I58+M58+2*J58-4*N58+3*(I58-M58)+12*K58+6*L58)/30</f>
        <v>55.813333333333325</v>
      </c>
      <c r="V58" s="4">
        <f>15/((18*Q58)/S58+6/(I58-M58)+6/K58+3/L58)</f>
        <v>46.633392058124741</v>
      </c>
      <c r="W58" s="7">
        <f>0.5*(U58+V58)</f>
        <v>51.223362695729037</v>
      </c>
      <c r="Y58" s="4">
        <f t="shared" si="16"/>
        <v>130.23122254970397</v>
      </c>
      <c r="Z58" s="7">
        <f>R58/W58</f>
        <v>1.8520694803742357</v>
      </c>
      <c r="AA58" s="4" t="e">
        <f t="shared" si="19"/>
        <v>#DIV/0!</v>
      </c>
      <c r="AB58" s="4" t="e">
        <f t="shared" si="20"/>
        <v>#DIV/0!</v>
      </c>
      <c r="AC58" s="4" t="e">
        <f t="shared" si="21"/>
        <v>#DIV/0!</v>
      </c>
      <c r="AD58" s="4" t="e">
        <f t="shared" si="17"/>
        <v>#DIV/0!</v>
      </c>
      <c r="AE58" s="4">
        <f>5*U58/V58 +Q58/P58 - 6</f>
        <v>0.99386265806486751</v>
      </c>
      <c r="AF58" s="8">
        <f t="shared" si="18"/>
        <v>0.40192580290382535</v>
      </c>
      <c r="AG58" s="8">
        <f>(U58-V58)/(U58+V58)</f>
        <v>8.9606976114963266E-2</v>
      </c>
      <c r="AH58" s="8">
        <f>(Q58-P58)/(Q58+P58)</f>
        <v>4.7749465968273726E-3</v>
      </c>
      <c r="AK58" s="9"/>
      <c r="AM58" s="4"/>
      <c r="AN58" s="4"/>
      <c r="AO58" s="4"/>
      <c r="AP58" s="4"/>
      <c r="AQ58" s="4"/>
      <c r="AR58" s="4"/>
    </row>
    <row r="59" spans="1:44">
      <c r="A59" t="s">
        <v>126</v>
      </c>
      <c r="E59" s="57" t="s">
        <v>23</v>
      </c>
      <c r="F59" s="57">
        <v>5</v>
      </c>
      <c r="G59" s="57">
        <v>3</v>
      </c>
      <c r="I59">
        <v>141.6</v>
      </c>
      <c r="J59">
        <v>207.2</v>
      </c>
      <c r="K59">
        <v>54.2</v>
      </c>
      <c r="L59">
        <v>97.2</v>
      </c>
      <c r="M59">
        <v>99.4</v>
      </c>
      <c r="N59">
        <v>67.900000000000006</v>
      </c>
      <c r="O59" s="14"/>
      <c r="P59" s="4">
        <f>((I59+M59)*J59-2*N59*N59)/(I59+M59+2*J59-4*N59)</f>
        <v>106.08228243877019</v>
      </c>
      <c r="Q59" s="4">
        <f>(2*I59+2*M59+4*N59+J59)/9</f>
        <v>106.75555555555555</v>
      </c>
      <c r="R59" s="7">
        <f>0.5*(Q59+P59)</f>
        <v>106.41891899716288</v>
      </c>
      <c r="S59">
        <f>(I59+M59)*J59-2*N59*N59</f>
        <v>40714.379999999997</v>
      </c>
      <c r="T59">
        <v>14</v>
      </c>
      <c r="U59" s="4">
        <f>(I59+M59+2*J59-4*N59+3*(I59-M59)+12*K59+6*L59)/30</f>
        <v>58.133333333333333</v>
      </c>
      <c r="V59" s="4">
        <f>15/((18*Q59)/S59+6/(I59-M59)+6/K59+3/L59)</f>
        <v>45.325096564977471</v>
      </c>
      <c r="W59" s="7">
        <f>0.5*(U59+V59)</f>
        <v>51.729214949155406</v>
      </c>
      <c r="Y59" s="4">
        <f t="shared" si="16"/>
        <v>133.54872681567559</v>
      </c>
      <c r="Z59" s="7">
        <f>R59/W59</f>
        <v>2.0572305050784538</v>
      </c>
      <c r="AA59" s="4" t="e">
        <f t="shared" si="19"/>
        <v>#DIV/0!</v>
      </c>
      <c r="AB59" s="4" t="e">
        <f t="shared" si="20"/>
        <v>#DIV/0!</v>
      </c>
      <c r="AC59" s="4" t="e">
        <f t="shared" si="21"/>
        <v>#DIV/0!</v>
      </c>
      <c r="AD59" s="4" t="e">
        <f t="shared" si="17"/>
        <v>#DIV/0!</v>
      </c>
      <c r="AE59" s="4">
        <f>5*U59/V59 +Q59/P59 - 6</f>
        <v>1.419276599594296</v>
      </c>
      <c r="AF59" s="8">
        <f t="shared" si="18"/>
        <v>0.55654483766741603</v>
      </c>
      <c r="AG59" s="8">
        <f>(U59-V59)/(U59+V59)</f>
        <v>0.12380080367491625</v>
      </c>
      <c r="AH59" s="8">
        <f>(Q59-P59)/(Q59+P59)</f>
        <v>3.163314959078387E-3</v>
      </c>
      <c r="AK59" s="9"/>
      <c r="AM59" s="4"/>
      <c r="AN59" s="4"/>
      <c r="AO59" s="4"/>
      <c r="AP59" s="4"/>
      <c r="AQ59" s="4"/>
      <c r="AR59" s="4"/>
    </row>
    <row r="60" spans="1:44">
      <c r="A60" t="s">
        <v>127</v>
      </c>
      <c r="E60" s="57" t="s">
        <v>23</v>
      </c>
      <c r="F60" s="57">
        <v>5</v>
      </c>
      <c r="G60" s="57">
        <v>3</v>
      </c>
      <c r="I60">
        <v>150.69999999999999</v>
      </c>
      <c r="J60">
        <v>219.5</v>
      </c>
      <c r="K60">
        <v>56.2</v>
      </c>
      <c r="L60">
        <v>105.1</v>
      </c>
      <c r="M60">
        <v>113.5</v>
      </c>
      <c r="N60">
        <v>77.099999999999994</v>
      </c>
      <c r="O60" s="14"/>
      <c r="P60" s="4">
        <f>((I60+M60)*J60-2*N60*N60)/(I60+M60+2*J60-4*N60)</f>
        <v>116.77578520770007</v>
      </c>
      <c r="Q60" s="4">
        <f>(2*I60+2*M60+4*N60+J60)/9</f>
        <v>117.36666666666666</v>
      </c>
      <c r="R60" s="7">
        <f>0.5*(Q60+P60)</f>
        <v>117.07122593718336</v>
      </c>
      <c r="S60">
        <f>(I60+M60)*J60-2*N60*N60</f>
        <v>46103.079999999994</v>
      </c>
      <c r="T60">
        <v>15</v>
      </c>
      <c r="U60" s="4">
        <f>(I60+M60+2*J60-4*N60+3*(I60-M60)+12*K60+6*L60)/30</f>
        <v>60.38</v>
      </c>
      <c r="V60" s="4">
        <f>15/((18*Q60)/S60+6/(I60-M60)+6/K60+3/L60)</f>
        <v>43.8059119901149</v>
      </c>
      <c r="W60" s="7">
        <f>0.5*(U60+V60)</f>
        <v>52.092955995057451</v>
      </c>
      <c r="Y60" s="4">
        <f t="shared" si="16"/>
        <v>136.09316432820566</v>
      </c>
      <c r="Z60" s="7">
        <f>R60/W60</f>
        <v>2.2473523281783243</v>
      </c>
      <c r="AA60" s="4" t="e">
        <f t="shared" si="19"/>
        <v>#DIV/0!</v>
      </c>
      <c r="AB60" s="4" t="e">
        <f t="shared" si="20"/>
        <v>#DIV/0!</v>
      </c>
      <c r="AC60" s="4" t="e">
        <f t="shared" si="21"/>
        <v>#DIV/0!</v>
      </c>
      <c r="AD60" s="4" t="e">
        <f t="shared" si="17"/>
        <v>#DIV/0!</v>
      </c>
      <c r="AE60" s="4">
        <f>5*U60/V60 +Q60/P60 - 6</f>
        <v>1.8968238003357012</v>
      </c>
      <c r="AF60" s="8">
        <f t="shared" si="18"/>
        <v>0.71754767934762664</v>
      </c>
      <c r="AG60" s="8">
        <f>(U60-V60)/(U60+V60)</f>
        <v>0.15908185371029473</v>
      </c>
      <c r="AH60" s="8">
        <f>(Q60-P60)/(Q60+P60)</f>
        <v>2.5235981524770238E-3</v>
      </c>
      <c r="AK60" s="9"/>
      <c r="AM60" s="4"/>
      <c r="AN60" s="4"/>
      <c r="AO60" s="4"/>
      <c r="AP60" s="4"/>
      <c r="AQ60" s="4"/>
      <c r="AR60" s="4"/>
    </row>
    <row r="61" spans="1:44">
      <c r="A61" t="s">
        <v>128</v>
      </c>
      <c r="E61" s="57" t="s">
        <v>23</v>
      </c>
      <c r="F61" s="57">
        <v>5</v>
      </c>
      <c r="G61" s="57">
        <v>3</v>
      </c>
      <c r="I61">
        <v>153.30000000000001</v>
      </c>
      <c r="J61">
        <v>231.8</v>
      </c>
      <c r="K61">
        <v>57.4</v>
      </c>
      <c r="L61">
        <v>112</v>
      </c>
      <c r="M61">
        <v>132</v>
      </c>
      <c r="N61">
        <v>83.6</v>
      </c>
      <c r="O61" s="14"/>
      <c r="P61" s="4">
        <f>((I61+M61)*J61-2*N61*N61)/(I61+M61+2*J61-4*N61)</f>
        <v>125.82537997587454</v>
      </c>
      <c r="Q61" s="4">
        <f>(2*I61+2*M61+4*N61+J61)/9</f>
        <v>126.3111111111111</v>
      </c>
      <c r="R61" s="7">
        <f>0.5*(Q61+P61)</f>
        <v>126.06824554349282</v>
      </c>
      <c r="S61">
        <f>(I61+M61)*J61-2*N61*N61</f>
        <v>52154.62000000001</v>
      </c>
      <c r="T61">
        <v>16</v>
      </c>
      <c r="U61" s="4">
        <f>(I61+M61+2*J61-4*N61+3*(I61-M61)+12*K61+6*L61)/30</f>
        <v>61.306666666666665</v>
      </c>
      <c r="V61" s="4">
        <f>15/((18*Q61)/S61+6/(I61-M61)+6/K61+3/L61)</f>
        <v>32.851588490800339</v>
      </c>
      <c r="W61" s="7">
        <f>0.5*(U61+V61)</f>
        <v>47.079127578733505</v>
      </c>
      <c r="Y61" s="4">
        <f t="shared" si="16"/>
        <v>125.60233678145215</v>
      </c>
      <c r="Z61" s="7">
        <f>R61/W61</f>
        <v>2.6777948536251155</v>
      </c>
      <c r="AA61" s="4" t="e">
        <f t="shared" si="19"/>
        <v>#DIV/0!</v>
      </c>
      <c r="AB61" s="4" t="e">
        <f t="shared" si="20"/>
        <v>#DIV/0!</v>
      </c>
      <c r="AC61" s="4" t="e">
        <f t="shared" si="21"/>
        <v>#DIV/0!</v>
      </c>
      <c r="AD61" s="4" t="e">
        <f t="shared" si="17"/>
        <v>#DIV/0!</v>
      </c>
      <c r="AE61" s="4">
        <f>5*U61/V61 +Q61/P61 - 6</f>
        <v>4.3347130639901312</v>
      </c>
      <c r="AF61" s="8">
        <f t="shared" si="18"/>
        <v>1.3950623993841549</v>
      </c>
      <c r="AG61" s="8">
        <f>(U61-V61)/(U61+V61)</f>
        <v>0.30220481601192628</v>
      </c>
      <c r="AH61" s="8">
        <f>(Q61-P61)/(Q61+P61)</f>
        <v>1.9264610732961627E-3</v>
      </c>
      <c r="AK61" s="9"/>
      <c r="AM61" s="4"/>
      <c r="AN61" s="4"/>
      <c r="AO61" s="4"/>
      <c r="AP61" s="4"/>
      <c r="AQ61" s="4"/>
      <c r="AR61" s="4"/>
    </row>
    <row r="62" spans="1:44">
      <c r="A62" t="s">
        <v>129</v>
      </c>
      <c r="E62" s="57" t="s">
        <v>23</v>
      </c>
      <c r="F62" s="57">
        <v>5</v>
      </c>
      <c r="G62" s="57">
        <v>3</v>
      </c>
      <c r="I62">
        <v>137.6</v>
      </c>
      <c r="J62">
        <v>241.8</v>
      </c>
      <c r="K62">
        <v>59</v>
      </c>
      <c r="L62">
        <v>119.4</v>
      </c>
      <c r="M62">
        <v>150.5</v>
      </c>
      <c r="N62">
        <v>83.9</v>
      </c>
      <c r="O62" s="14"/>
      <c r="P62" s="4">
        <f>((I62+M62)*J62-2*N62*N62)/(I62+M62+2*J62-4*N62)</f>
        <v>127.45737216234809</v>
      </c>
      <c r="Q62" s="4">
        <f>(2*I62+2*M62+4*N62+J62)/9</f>
        <v>128.17777777777781</v>
      </c>
      <c r="R62" s="7">
        <f>0.5*(Q62+P62)</f>
        <v>127.81757497006295</v>
      </c>
      <c r="S62">
        <f>(I62+M62)*J62-2*N62*N62</f>
        <v>55584.160000000003</v>
      </c>
      <c r="T62">
        <v>17</v>
      </c>
      <c r="U62" s="4">
        <f>(I62+M62+2*J62-4*N62+3*(I62-M62)+12*K62+6*L62)/30</f>
        <v>60.726666666666674</v>
      </c>
      <c r="V62" s="4">
        <f>15/((18*Q62)/S62+6/(I62-M62)+6/K62+3/L62)</f>
        <v>-50.541210881215804</v>
      </c>
      <c r="W62" s="7">
        <f>0.5*(U62+V62)</f>
        <v>5.0927278927254349</v>
      </c>
      <c r="Y62" s="4">
        <f t="shared" si="16"/>
        <v>15.077930061497131</v>
      </c>
      <c r="Z62" s="7">
        <f>R62/W62</f>
        <v>25.098057006470029</v>
      </c>
      <c r="AA62" s="4" t="e">
        <f t="shared" si="19"/>
        <v>#DIV/0!</v>
      </c>
      <c r="AB62" s="4" t="e">
        <f t="shared" si="20"/>
        <v>#DIV/0!</v>
      </c>
      <c r="AC62" s="4" t="e">
        <f t="shared" si="21"/>
        <v>#DIV/0!</v>
      </c>
      <c r="AD62" s="4" t="e">
        <f t="shared" si="17"/>
        <v>#DIV/0!</v>
      </c>
      <c r="AE62" s="4">
        <f>5*U62/V62 +Q62/P62 - 6</f>
        <v>-11.00198654837412</v>
      </c>
      <c r="AF62" s="8" t="e">
        <f t="shared" si="18"/>
        <v>#NUM!</v>
      </c>
      <c r="AG62" s="8">
        <f>(U62-V62)/(U62+V62)</f>
        <v>10.92419228865732</v>
      </c>
      <c r="AH62" s="8">
        <f>(Q62-P62)/(Q62+P62)</f>
        <v>2.8181007799531611E-3</v>
      </c>
      <c r="AK62" s="9"/>
      <c r="AM62" s="4"/>
      <c r="AN62" s="4"/>
      <c r="AO62" s="4"/>
      <c r="AP62" s="4"/>
      <c r="AQ62" s="4"/>
      <c r="AR62" s="4"/>
    </row>
    <row r="63" spans="1:44">
      <c r="I63" s="14"/>
      <c r="J63" s="14"/>
      <c r="K63" s="14"/>
      <c r="L63" s="14"/>
      <c r="M63" s="14"/>
      <c r="N63" s="14"/>
      <c r="O63" s="14"/>
      <c r="P63" s="4"/>
      <c r="Q63" s="4"/>
      <c r="R63" s="7"/>
      <c r="U63" s="4"/>
      <c r="V63" s="4"/>
      <c r="W63" s="7"/>
      <c r="Z63" s="7"/>
      <c r="AA63" s="4" t="e">
        <f t="shared" si="19"/>
        <v>#DIV/0!</v>
      </c>
      <c r="AB63" s="4" t="e">
        <f t="shared" si="20"/>
        <v>#DIV/0!</v>
      </c>
      <c r="AC63" s="4" t="e">
        <f t="shared" si="21"/>
        <v>#DIV/0!</v>
      </c>
      <c r="AD63" s="4" t="e">
        <f t="shared" si="17"/>
        <v>#DIV/0!</v>
      </c>
      <c r="AE63" s="4"/>
      <c r="AF63" s="8" t="e">
        <f t="shared" si="18"/>
        <v>#DIV/0!</v>
      </c>
      <c r="AG63" s="8"/>
      <c r="AH63" s="8"/>
      <c r="AK63" s="9"/>
      <c r="AM63" s="4"/>
      <c r="AN63" s="4"/>
      <c r="AO63" s="4"/>
      <c r="AP63" s="4"/>
      <c r="AQ63" s="4"/>
      <c r="AR63" s="4"/>
    </row>
    <row r="64" spans="1:44">
      <c r="A64" s="11" t="s">
        <v>114</v>
      </c>
      <c r="E64" s="57" t="s">
        <v>25</v>
      </c>
      <c r="F64" s="57">
        <v>5</v>
      </c>
      <c r="I64">
        <v>256</v>
      </c>
      <c r="J64">
        <v>372</v>
      </c>
      <c r="K64">
        <v>73.5</v>
      </c>
      <c r="L64">
        <v>116</v>
      </c>
      <c r="M64">
        <v>175</v>
      </c>
      <c r="N64">
        <v>214</v>
      </c>
      <c r="O64">
        <v>0</v>
      </c>
      <c r="P64" s="4">
        <f>((I64+M64)*J64-2*N64*N64)/(I64+M64+2*J64-4*N64)</f>
        <v>215.48589341692789</v>
      </c>
      <c r="Q64" s="4">
        <f>(2*I64+2*M64+4*N64+J64)/9</f>
        <v>232.22222222222223</v>
      </c>
      <c r="R64" s="7">
        <f>0.5*(Q64+P64)</f>
        <v>223.85405781957508</v>
      </c>
      <c r="S64">
        <f>(I64+M64)*J64-2*N64*N64</f>
        <v>68740</v>
      </c>
      <c r="T64">
        <v>0</v>
      </c>
      <c r="U64" s="4">
        <f>(I64+M64+2*J64-4*N64+3*(I64-M64)+12*K64+6*L64)/30</f>
        <v>71.333333333333329</v>
      </c>
      <c r="V64" s="4">
        <f>15/((18*Q64)/S64+6/(I64-M64)+6/K64+3/L64)</f>
        <v>61.886896566224252</v>
      </c>
      <c r="W64" s="7">
        <f>0.5*(U64+V64)</f>
        <v>66.61011494977879</v>
      </c>
      <c r="X64" s="4">
        <f>(3*R64-2*W64)/(2*(3*R64+W64))</f>
        <v>0.36464518650505723</v>
      </c>
      <c r="Y64" s="4">
        <f t="shared" si="16"/>
        <v>181.79834547752833</v>
      </c>
      <c r="Z64" s="7">
        <f>R64/W64</f>
        <v>3.3606616350737659</v>
      </c>
      <c r="AA64" s="4" t="e">
        <f t="shared" si="19"/>
        <v>#DIV/0!</v>
      </c>
      <c r="AB64" s="4" t="e">
        <f t="shared" si="20"/>
        <v>#DIV/0!</v>
      </c>
      <c r="AC64" s="4" t="e">
        <f t="shared" si="21"/>
        <v>#DIV/0!</v>
      </c>
      <c r="AD64" s="4" t="e">
        <f t="shared" si="17"/>
        <v>#DIV/0!</v>
      </c>
      <c r="AE64" s="4">
        <f>5*U64/V64 +Q64/P64 - 6</f>
        <v>0.84086954936410407</v>
      </c>
      <c r="AF64" s="8">
        <f t="shared" si="18"/>
        <v>0.32633329182912962</v>
      </c>
      <c r="AG64" s="8">
        <f>(U64-V64)/(U64+V64)</f>
        <v>7.0908425651504209E-2</v>
      </c>
      <c r="AH64" s="8">
        <f>(Q64-P64)/(Q64+P64)</f>
        <v>3.7382232353330193E-2</v>
      </c>
      <c r="AK64" s="5">
        <v>-0.1133</v>
      </c>
      <c r="AL64" s="4">
        <v>0.64039999999999997</v>
      </c>
      <c r="AM64" s="5">
        <v>1</v>
      </c>
      <c r="AN64" s="5">
        <v>1</v>
      </c>
      <c r="AO64" s="5">
        <v>0</v>
      </c>
      <c r="AP64" s="5">
        <v>-1</v>
      </c>
      <c r="AQ64" s="5">
        <v>1</v>
      </c>
      <c r="AR64" s="5">
        <v>0</v>
      </c>
    </row>
    <row r="65" spans="1:50">
      <c r="A65" s="11" t="s">
        <v>24</v>
      </c>
      <c r="E65" s="57" t="s">
        <v>25</v>
      </c>
      <c r="F65" s="57">
        <v>5</v>
      </c>
      <c r="I65">
        <v>424</v>
      </c>
      <c r="J65">
        <v>489</v>
      </c>
      <c r="K65">
        <v>113</v>
      </c>
      <c r="L65">
        <v>48.3</v>
      </c>
      <c r="M65">
        <v>69</v>
      </c>
      <c r="N65">
        <v>149</v>
      </c>
      <c r="O65">
        <v>0</v>
      </c>
      <c r="P65" s="4">
        <f>((I65+M65)*J65-2*N65*N65)/(I65+M65+2*J65-4*N65)</f>
        <v>224.77142857142857</v>
      </c>
      <c r="Q65" s="4">
        <f>(2*I65+2*M65+4*N65+J65)/9</f>
        <v>230.11111111111111</v>
      </c>
      <c r="R65" s="7">
        <f>0.5*(Q65+P65)</f>
        <v>227.44126984126984</v>
      </c>
      <c r="S65">
        <f>(I65+M65)*J65-2*N65*N65</f>
        <v>196675</v>
      </c>
      <c r="T65">
        <v>0</v>
      </c>
      <c r="U65" s="4">
        <f>(I65+M65+2*J65-4*N65+3*(I65-M65)+12*K65+6*L65)/30</f>
        <v>119.52666666666667</v>
      </c>
      <c r="V65" s="4">
        <f>15/((18*Q65)/S65+6/(I65-M65)+6/K65+3/L65)</f>
        <v>97.929969750630235</v>
      </c>
      <c r="W65" s="7">
        <f>0.5*(U65+V65)</f>
        <v>108.72831820864846</v>
      </c>
      <c r="X65" s="4">
        <f>(3*R65-2*W65)/(2*(3*R65+W65))</f>
        <v>0.29382840700969298</v>
      </c>
      <c r="Y65" s="4">
        <f t="shared" si="16"/>
        <v>281.35157348947723</v>
      </c>
      <c r="Z65" s="7">
        <f>R65/W65</f>
        <v>2.0918310297489611</v>
      </c>
      <c r="AA65" s="4" t="e">
        <f t="shared" si="19"/>
        <v>#DIV/0!</v>
      </c>
      <c r="AB65" s="4" t="e">
        <f t="shared" si="20"/>
        <v>#DIV/0!</v>
      </c>
      <c r="AC65" s="4" t="e">
        <f t="shared" si="21"/>
        <v>#DIV/0!</v>
      </c>
      <c r="AD65" s="4" t="e">
        <f t="shared" si="17"/>
        <v>#DIV/0!</v>
      </c>
      <c r="AE65" s="4">
        <f>5*U65/V65 +Q65/P65 - 6</f>
        <v>1.1264163019855058</v>
      </c>
      <c r="AF65" s="8">
        <f t="shared" si="18"/>
        <v>0.44623705729386259</v>
      </c>
      <c r="AG65" s="8">
        <f>(U65-V65)/(U65+V65)</f>
        <v>9.9314958935502934E-2</v>
      </c>
      <c r="AH65" s="8">
        <f>(Q65-P65)/(Q65+P65)</f>
        <v>1.1738596393277879E-2</v>
      </c>
      <c r="AK65" s="4">
        <v>6.2330000000000003E-2</v>
      </c>
      <c r="AL65" s="4">
        <v>0.61439999999999995</v>
      </c>
      <c r="AM65" s="4">
        <v>1</v>
      </c>
      <c r="AN65" s="4">
        <v>0</v>
      </c>
      <c r="AO65" s="4">
        <v>0</v>
      </c>
      <c r="AP65" s="4">
        <v>0</v>
      </c>
      <c r="AQ65" s="4">
        <v>1</v>
      </c>
      <c r="AR65" s="4">
        <v>0</v>
      </c>
    </row>
    <row r="66" spans="1:50">
      <c r="A66" s="64" t="s">
        <v>115</v>
      </c>
      <c r="E66" s="57" t="s">
        <v>23</v>
      </c>
      <c r="F66" s="57">
        <v>5</v>
      </c>
      <c r="I66" s="14">
        <v>432.846</v>
      </c>
      <c r="J66" s="14">
        <v>482.74599999999998</v>
      </c>
      <c r="K66" s="14">
        <v>111.003</v>
      </c>
      <c r="L66" s="14">
        <v>48.697000000000003</v>
      </c>
      <c r="M66" s="14">
        <v>62.167999999999999</v>
      </c>
      <c r="N66" s="14">
        <v>147.07</v>
      </c>
      <c r="O66" s="14">
        <v>0</v>
      </c>
      <c r="P66" s="4">
        <f>((I66+M66)*J66-2*N66*N66)/(I66+M66+2*J66-4*N66)</f>
        <v>224.37631834409891</v>
      </c>
      <c r="Q66" s="4">
        <f>(2*I66+2*M66+4*N66+J66)/9</f>
        <v>229.006</v>
      </c>
      <c r="R66" s="17">
        <f>0.5*(Q66+P66)</f>
        <v>226.69115917204945</v>
      </c>
      <c r="S66">
        <f>(I66+M66)*J66-2*N66*N66</f>
        <v>195706.85864399999</v>
      </c>
      <c r="T66">
        <v>0</v>
      </c>
      <c r="U66" s="4">
        <f>(I66+M66+2*J66-4*N66+3*(I66-M66)+12*K66+6*L66)/30</f>
        <v>120.2826</v>
      </c>
      <c r="V66" s="4">
        <f>15/((18*Q66)/S66+6/(I66-M66)+6/K66+3/L66)</f>
        <v>98.098683160881365</v>
      </c>
      <c r="W66" s="17">
        <f>0.5*(U66+V66)</f>
        <v>109.19064158044068</v>
      </c>
      <c r="X66" s="15">
        <f>(3*R66-2*W66)/(2*(3*R66+W66))</f>
        <v>0.29248269570630625</v>
      </c>
      <c r="Y66" s="4">
        <f t="shared" si="16"/>
        <v>282.25402955157813</v>
      </c>
      <c r="Z66" s="7">
        <f>R66/W66</f>
        <v>2.0761042877932558</v>
      </c>
      <c r="AA66" s="4" t="e">
        <f t="shared" si="19"/>
        <v>#DIV/0!</v>
      </c>
      <c r="AB66" s="4" t="e">
        <f t="shared" si="20"/>
        <v>#DIV/0!</v>
      </c>
      <c r="AC66" s="4" t="e">
        <f t="shared" si="21"/>
        <v>#DIV/0!</v>
      </c>
      <c r="AD66" s="4" t="e">
        <f t="shared" si="17"/>
        <v>#DIV/0!</v>
      </c>
      <c r="AE66" s="4">
        <f>5*U66/V66 +Q66/P66 - 6</f>
        <v>1.1513274732295997</v>
      </c>
      <c r="AF66" s="8">
        <f t="shared" si="18"/>
        <v>0.4563245227073417</v>
      </c>
      <c r="AG66" s="8">
        <f>(U66-V66)/(U66+V66)</f>
        <v>0.10158341648160277</v>
      </c>
      <c r="AH66" s="8">
        <f>(Q66-P66)/(Q66+P66)</f>
        <v>1.0211429666710896E-2</v>
      </c>
      <c r="AK66" s="4">
        <v>4.4740000000000002E-2</v>
      </c>
      <c r="AL66" s="15">
        <v>0.61270000000000002</v>
      </c>
      <c r="AM66" s="4">
        <v>1</v>
      </c>
      <c r="AN66" s="4">
        <v>0</v>
      </c>
      <c r="AO66" s="4">
        <v>0</v>
      </c>
      <c r="AP66" s="4">
        <v>0</v>
      </c>
      <c r="AQ66" s="4">
        <v>1</v>
      </c>
      <c r="AR66" s="4">
        <v>0</v>
      </c>
    </row>
    <row r="67" spans="1:50">
      <c r="A67" s="64" t="s">
        <v>116</v>
      </c>
      <c r="E67" s="57" t="s">
        <v>23</v>
      </c>
      <c r="F67" s="57">
        <v>5</v>
      </c>
      <c r="I67" s="14">
        <v>612.18600000000004</v>
      </c>
      <c r="J67" s="14">
        <v>606.25400000000002</v>
      </c>
      <c r="K67" s="14">
        <v>126.839</v>
      </c>
      <c r="L67" s="14">
        <v>44.845999999999997</v>
      </c>
      <c r="M67" s="14">
        <v>137.928</v>
      </c>
      <c r="N67" s="14">
        <v>222.154</v>
      </c>
      <c r="O67" s="14">
        <v>0</v>
      </c>
      <c r="P67" s="4">
        <f>((I67+M67)*J67-2*N67*N67)/(I67+M67+2*J67-4*N67)</f>
        <v>331.52032067232398</v>
      </c>
      <c r="Q67" s="4">
        <f>(2*I67+2*M67+4*N67+J67)/9</f>
        <v>332.78866666666664</v>
      </c>
      <c r="R67" s="17">
        <f>0.5*(Q67+P67)</f>
        <v>332.15449366949531</v>
      </c>
      <c r="S67">
        <f>(I67+M67)*J67-2*N67*N67</f>
        <v>356054.813524</v>
      </c>
      <c r="U67" s="4">
        <f>(I67+M67+2*J67-4*N67+3*(I67-M67)+12*K67+6*L67)/30</f>
        <v>142.9308</v>
      </c>
      <c r="V67" s="4">
        <f>15/((18*Q67)/S67+6/(I67-M67)+6/K67+3/L67)</f>
        <v>104.40243821230179</v>
      </c>
      <c r="W67" s="17">
        <f>0.5*(U67+V67)</f>
        <v>123.6666191061509</v>
      </c>
      <c r="X67" s="15">
        <f>(3*R67-2*W67)/(2*(3*R67+W67))</f>
        <v>0.33439430059040298</v>
      </c>
      <c r="Y67" s="4">
        <f t="shared" si="16"/>
        <v>330.040063417064</v>
      </c>
      <c r="Z67" s="7">
        <f>R67/W67</f>
        <v>2.6858864265092106</v>
      </c>
      <c r="AA67" s="4" t="e">
        <f t="shared" si="19"/>
        <v>#DIV/0!</v>
      </c>
      <c r="AB67" s="4" t="e">
        <f t="shared" si="20"/>
        <v>#DIV/0!</v>
      </c>
      <c r="AC67" s="4" t="e">
        <f t="shared" si="21"/>
        <v>#DIV/0!</v>
      </c>
      <c r="AD67" s="4" t="e">
        <f t="shared" si="17"/>
        <v>#DIV/0!</v>
      </c>
      <c r="AE67" s="4">
        <f>5*U67/V67 +Q67/P67 - 6</f>
        <v>1.849010808459675</v>
      </c>
      <c r="AF67" s="8">
        <f t="shared" si="18"/>
        <v>0.70237625289930183</v>
      </c>
      <c r="AG67" s="8">
        <f>(U67-V67)/(U67+V67)</f>
        <v>0.15577510756814206</v>
      </c>
      <c r="AH67" s="8">
        <f>(Q67-P67)/(Q67+P67)</f>
        <v>1.9092711652498567E-3</v>
      </c>
      <c r="AK67" s="4">
        <v>3.85E-2</v>
      </c>
      <c r="AL67" s="16">
        <v>0.74239999999999995</v>
      </c>
      <c r="AM67" s="4">
        <v>7</v>
      </c>
      <c r="AN67" s="4">
        <v>7</v>
      </c>
      <c r="AO67" s="4">
        <v>9</v>
      </c>
      <c r="AP67" s="4">
        <v>-19</v>
      </c>
      <c r="AQ67" s="4">
        <v>-19</v>
      </c>
      <c r="AR67" s="4">
        <v>30</v>
      </c>
    </row>
    <row r="68" spans="1:50">
      <c r="I68">
        <v>11</v>
      </c>
      <c r="J68">
        <v>33</v>
      </c>
      <c r="K68">
        <v>44</v>
      </c>
      <c r="L68">
        <v>66</v>
      </c>
      <c r="M68">
        <v>12</v>
      </c>
      <c r="N68">
        <v>13</v>
      </c>
      <c r="O68">
        <v>16</v>
      </c>
      <c r="P68" s="4"/>
      <c r="Q68" s="4"/>
      <c r="R68" s="15"/>
      <c r="U68" s="4"/>
      <c r="V68" s="4"/>
      <c r="W68" s="14"/>
      <c r="X68" s="15"/>
      <c r="Y68" s="15"/>
      <c r="Z68" s="14"/>
      <c r="AA68" s="14"/>
      <c r="AB68" s="14"/>
      <c r="AC68" s="14"/>
      <c r="AD68" s="14"/>
      <c r="AE68" s="4"/>
      <c r="AF68" s="4"/>
      <c r="AG68" s="4"/>
      <c r="AH68" s="4"/>
      <c r="AK68"/>
      <c r="AL68" s="15"/>
      <c r="AW68" s="14"/>
      <c r="AX68" s="14"/>
    </row>
    <row r="69" spans="1:50">
      <c r="L69" s="4"/>
      <c r="M69" s="4"/>
      <c r="N69" s="4"/>
      <c r="O69" s="4"/>
    </row>
    <row r="70" spans="1:50">
      <c r="L70" s="4"/>
      <c r="M70" s="4"/>
      <c r="N70" s="4"/>
      <c r="O70" s="4"/>
    </row>
    <row r="71" spans="1:50">
      <c r="L71" s="4"/>
      <c r="M71" s="4"/>
      <c r="N71" s="4"/>
      <c r="O71" s="4"/>
    </row>
    <row r="72" spans="1:50">
      <c r="L72" s="4"/>
      <c r="M72" s="4"/>
      <c r="N72" s="4"/>
      <c r="O72" s="4"/>
    </row>
    <row r="73" spans="1:50">
      <c r="L73" s="4"/>
      <c r="M73" s="4"/>
      <c r="N73" s="4"/>
      <c r="O73" s="4"/>
    </row>
    <row r="74" spans="1:50">
      <c r="L74" s="4"/>
      <c r="M74" s="4"/>
      <c r="N74" s="4"/>
      <c r="O74" s="4"/>
    </row>
    <row r="75" spans="1:50">
      <c r="L75" s="4"/>
      <c r="M75" s="4"/>
      <c r="N75" s="4"/>
      <c r="O75" s="4"/>
    </row>
    <row r="76" spans="1:50">
      <c r="L76" s="8"/>
      <c r="M76" s="4"/>
      <c r="N76" s="4"/>
      <c r="O76" s="4"/>
    </row>
    <row r="77" spans="1:50">
      <c r="L77" s="4"/>
      <c r="M77" s="4"/>
      <c r="N77" s="18"/>
      <c r="O77" s="18"/>
      <c r="R77" s="18"/>
      <c r="X77" s="18"/>
      <c r="Y77" s="18"/>
      <c r="AK77" s="18"/>
      <c r="AL77" s="18"/>
    </row>
    <row r="78" spans="1:50">
      <c r="L78" s="4"/>
      <c r="M78" s="4"/>
      <c r="N78" s="18"/>
      <c r="O78" s="18"/>
      <c r="R78" s="18"/>
      <c r="X78" s="18"/>
      <c r="Y78" s="18"/>
      <c r="AK78" s="18"/>
      <c r="AL78" s="18"/>
    </row>
    <row r="79" spans="1:50">
      <c r="L79" s="4"/>
      <c r="M79" s="4"/>
      <c r="N79" s="18"/>
      <c r="O79" s="18"/>
      <c r="R79" s="18"/>
      <c r="X79" s="18"/>
      <c r="Y79" s="18"/>
      <c r="AK79" s="18"/>
      <c r="AL79" s="18"/>
    </row>
    <row r="80" spans="1:50">
      <c r="L80" s="4"/>
      <c r="M80" s="4"/>
      <c r="N80" s="18"/>
      <c r="O80" s="18"/>
      <c r="R80" s="18"/>
      <c r="X80" s="18"/>
      <c r="Y80" s="18"/>
      <c r="AK80" s="18"/>
      <c r="AL80" s="18"/>
    </row>
    <row r="81" spans="12:38">
      <c r="L81" s="4"/>
      <c r="M81" s="4"/>
      <c r="N81" s="18"/>
      <c r="O81" s="18"/>
      <c r="R81" s="18"/>
      <c r="X81" s="18"/>
      <c r="Y81" s="18"/>
      <c r="AK81" s="18"/>
      <c r="AL81" s="18"/>
    </row>
    <row r="82" spans="12:38">
      <c r="L82" s="4"/>
      <c r="M82" s="4"/>
      <c r="N82" s="18"/>
      <c r="O82" s="18"/>
      <c r="R82" s="18"/>
      <c r="X82" s="18"/>
      <c r="Y82" s="18"/>
      <c r="AK82" s="18"/>
      <c r="AL82" s="18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8695-6C29-4CB6-A4B0-084633439C8E}">
  <dimension ref="A1:H67"/>
  <sheetViews>
    <sheetView workbookViewId="0">
      <selection activeCell="D5" sqref="D5"/>
    </sheetView>
  </sheetViews>
  <sheetFormatPr defaultRowHeight="14.4"/>
  <cols>
    <col min="1" max="1" width="17.41796875" customWidth="1"/>
  </cols>
  <sheetData>
    <row r="1" spans="1:8">
      <c r="A1" s="22" t="s">
        <v>242</v>
      </c>
      <c r="B1" s="22" t="s">
        <v>336</v>
      </c>
      <c r="C1" s="22" t="s">
        <v>386</v>
      </c>
      <c r="D1" s="22" t="s">
        <v>701</v>
      </c>
      <c r="E1" s="22" t="s">
        <v>444</v>
      </c>
      <c r="F1" s="24" t="s">
        <v>121</v>
      </c>
      <c r="G1" s="24" t="s">
        <v>122</v>
      </c>
      <c r="H1" s="22" t="s">
        <v>130</v>
      </c>
    </row>
    <row r="2" spans="1:8">
      <c r="A2" s="38" t="s">
        <v>443</v>
      </c>
    </row>
    <row r="3" spans="1:8">
      <c r="A3" t="s">
        <v>623</v>
      </c>
      <c r="B3" t="s">
        <v>787</v>
      </c>
      <c r="E3" t="s">
        <v>187</v>
      </c>
      <c r="F3">
        <v>94.4</v>
      </c>
      <c r="G3">
        <v>40.700000000000003</v>
      </c>
      <c r="H3" t="s">
        <v>629</v>
      </c>
    </row>
    <row r="4" spans="1:8">
      <c r="A4" t="s">
        <v>623</v>
      </c>
      <c r="B4" t="s">
        <v>627</v>
      </c>
      <c r="C4" t="s">
        <v>593</v>
      </c>
      <c r="H4" t="s">
        <v>630</v>
      </c>
    </row>
    <row r="5" spans="1:8">
      <c r="A5" t="s">
        <v>624</v>
      </c>
      <c r="B5" t="s">
        <v>627</v>
      </c>
      <c r="C5" t="s">
        <v>593</v>
      </c>
      <c r="H5" t="s">
        <v>631</v>
      </c>
    </row>
    <row r="6" spans="1:8">
      <c r="A6" t="s">
        <v>413</v>
      </c>
      <c r="B6" t="s">
        <v>788</v>
      </c>
      <c r="C6" t="s">
        <v>388</v>
      </c>
      <c r="E6" t="s">
        <v>187</v>
      </c>
      <c r="F6">
        <v>258.89999999999998</v>
      </c>
      <c r="G6">
        <v>150.9</v>
      </c>
    </row>
    <row r="7" spans="1:8">
      <c r="A7" t="s">
        <v>416</v>
      </c>
      <c r="B7" t="s">
        <v>789</v>
      </c>
      <c r="C7" t="s">
        <v>390</v>
      </c>
      <c r="E7" t="s">
        <v>187</v>
      </c>
      <c r="F7">
        <v>316</v>
      </c>
      <c r="G7">
        <v>220</v>
      </c>
    </row>
    <row r="8" spans="1:8">
      <c r="A8" t="s">
        <v>416</v>
      </c>
      <c r="B8" t="s">
        <v>790</v>
      </c>
      <c r="C8" t="s">
        <v>593</v>
      </c>
      <c r="F8">
        <v>316</v>
      </c>
      <c r="G8">
        <v>220</v>
      </c>
    </row>
    <row r="9" spans="1:8">
      <c r="A9" t="s">
        <v>416</v>
      </c>
      <c r="B9" t="s">
        <v>791</v>
      </c>
      <c r="F9">
        <v>316</v>
      </c>
      <c r="G9">
        <v>220</v>
      </c>
    </row>
    <row r="10" spans="1:8">
      <c r="A10" t="s">
        <v>416</v>
      </c>
      <c r="B10" t="s">
        <v>792</v>
      </c>
      <c r="C10" t="s">
        <v>390</v>
      </c>
      <c r="F10">
        <v>316</v>
      </c>
      <c r="G10">
        <v>220</v>
      </c>
    </row>
    <row r="11" spans="1:8" ht="14.7">
      <c r="A11" t="s">
        <v>441</v>
      </c>
      <c r="B11" t="s">
        <v>793</v>
      </c>
      <c r="C11" t="s">
        <v>390</v>
      </c>
      <c r="E11" t="s">
        <v>187</v>
      </c>
      <c r="F11">
        <v>16.399999999999999</v>
      </c>
      <c r="G11">
        <v>39.1</v>
      </c>
    </row>
    <row r="12" spans="1:8">
      <c r="A12" t="s">
        <v>419</v>
      </c>
      <c r="B12" t="s">
        <v>794</v>
      </c>
      <c r="C12" t="s">
        <v>388</v>
      </c>
      <c r="E12" t="s">
        <v>187</v>
      </c>
      <c r="F12">
        <v>212.3</v>
      </c>
      <c r="G12">
        <v>101.8</v>
      </c>
    </row>
    <row r="13" spans="1:8">
      <c r="A13" t="s">
        <v>421</v>
      </c>
      <c r="B13" t="s">
        <v>795</v>
      </c>
      <c r="E13" t="s">
        <v>187</v>
      </c>
      <c r="F13">
        <v>45</v>
      </c>
      <c r="G13">
        <v>20.399999999999999</v>
      </c>
    </row>
    <row r="14" spans="1:8">
      <c r="A14" t="s">
        <v>421</v>
      </c>
      <c r="B14" t="s">
        <v>796</v>
      </c>
      <c r="E14" t="s">
        <v>187</v>
      </c>
      <c r="F14">
        <v>43.7</v>
      </c>
      <c r="G14">
        <v>19</v>
      </c>
    </row>
    <row r="15" spans="1:8">
      <c r="A15" t="s">
        <v>415</v>
      </c>
      <c r="B15" t="s">
        <v>797</v>
      </c>
      <c r="C15" t="s">
        <v>593</v>
      </c>
      <c r="E15" t="s">
        <v>187</v>
      </c>
      <c r="F15">
        <v>212</v>
      </c>
      <c r="G15">
        <v>113</v>
      </c>
    </row>
    <row r="16" spans="1:8">
      <c r="A16" t="s">
        <v>415</v>
      </c>
      <c r="B16" t="s">
        <v>799</v>
      </c>
      <c r="C16" t="s">
        <v>390</v>
      </c>
      <c r="E16" t="s">
        <v>10</v>
      </c>
      <c r="F16">
        <v>213.1</v>
      </c>
      <c r="G16">
        <v>111.1</v>
      </c>
    </row>
    <row r="17" spans="1:8">
      <c r="A17" t="s">
        <v>415</v>
      </c>
      <c r="B17" t="s">
        <v>798</v>
      </c>
      <c r="E17" t="s">
        <v>11</v>
      </c>
      <c r="F17">
        <v>214</v>
      </c>
      <c r="G17">
        <v>113</v>
      </c>
    </row>
    <row r="18" spans="1:8">
      <c r="A18" t="s">
        <v>415</v>
      </c>
      <c r="B18" t="s">
        <v>800</v>
      </c>
      <c r="E18" t="s">
        <v>12</v>
      </c>
      <c r="F18">
        <v>215</v>
      </c>
      <c r="G18">
        <v>114</v>
      </c>
    </row>
    <row r="19" spans="1:8">
      <c r="A19" t="s">
        <v>425</v>
      </c>
      <c r="B19" t="s">
        <v>802</v>
      </c>
      <c r="E19" t="s">
        <v>28</v>
      </c>
      <c r="F19">
        <v>56.9</v>
      </c>
      <c r="G19">
        <v>42.1</v>
      </c>
      <c r="H19" t="s">
        <v>801</v>
      </c>
    </row>
    <row r="20" spans="1:8">
      <c r="A20" t="s">
        <v>426</v>
      </c>
      <c r="B20" s="10" t="s">
        <v>803</v>
      </c>
      <c r="E20" t="s">
        <v>5</v>
      </c>
      <c r="F20">
        <v>82.6</v>
      </c>
      <c r="G20">
        <v>55.5</v>
      </c>
      <c r="H20" t="s">
        <v>446</v>
      </c>
    </row>
    <row r="21" spans="1:8">
      <c r="A21" t="s">
        <v>427</v>
      </c>
      <c r="B21" s="10" t="s">
        <v>804</v>
      </c>
      <c r="E21" t="s">
        <v>5</v>
      </c>
      <c r="F21">
        <v>58</v>
      </c>
      <c r="G21">
        <v>23.1</v>
      </c>
      <c r="H21" t="s">
        <v>447</v>
      </c>
    </row>
    <row r="22" spans="1:8">
      <c r="A22" t="s">
        <v>427</v>
      </c>
      <c r="B22" s="10" t="s">
        <v>804</v>
      </c>
      <c r="E22" t="s">
        <v>5</v>
      </c>
      <c r="F22">
        <v>65.3</v>
      </c>
      <c r="G22">
        <v>29.1</v>
      </c>
      <c r="H22" t="s">
        <v>447</v>
      </c>
    </row>
    <row r="23" spans="1:8">
      <c r="A23" t="s">
        <v>706</v>
      </c>
      <c r="B23" s="11" t="s">
        <v>805</v>
      </c>
      <c r="E23" t="s">
        <v>29</v>
      </c>
      <c r="F23">
        <v>0</v>
      </c>
      <c r="G23">
        <v>0</v>
      </c>
      <c r="H23" t="s">
        <v>97</v>
      </c>
    </row>
    <row r="24" spans="1:8">
      <c r="A24" t="s">
        <v>706</v>
      </c>
      <c r="B24" s="11" t="s">
        <v>805</v>
      </c>
      <c r="E24" t="s">
        <v>29</v>
      </c>
      <c r="F24">
        <v>0</v>
      </c>
      <c r="G24">
        <v>0</v>
      </c>
      <c r="H24" t="s">
        <v>64</v>
      </c>
    </row>
    <row r="25" spans="1:8">
      <c r="A25" t="s">
        <v>706</v>
      </c>
      <c r="B25" s="11" t="s">
        <v>806</v>
      </c>
      <c r="E25" t="s">
        <v>65</v>
      </c>
      <c r="F25">
        <v>0</v>
      </c>
      <c r="G25">
        <v>0</v>
      </c>
      <c r="H25" t="s">
        <v>63</v>
      </c>
    </row>
    <row r="26" spans="1:8">
      <c r="A26" t="s">
        <v>955</v>
      </c>
      <c r="B26" s="11" t="s">
        <v>807</v>
      </c>
      <c r="E26" t="s">
        <v>600</v>
      </c>
      <c r="F26">
        <v>228</v>
      </c>
      <c r="G26">
        <v>109</v>
      </c>
      <c r="H26" t="s">
        <v>808</v>
      </c>
    </row>
    <row r="27" spans="1:8">
      <c r="A27" t="s">
        <v>430</v>
      </c>
      <c r="B27" s="10" t="s">
        <v>809</v>
      </c>
      <c r="E27" t="s">
        <v>5</v>
      </c>
      <c r="F27">
        <v>223.9</v>
      </c>
      <c r="G27">
        <v>66.599999999999994</v>
      </c>
    </row>
    <row r="28" spans="1:8">
      <c r="A28" t="s">
        <v>939</v>
      </c>
      <c r="B28" s="34" t="s">
        <v>942</v>
      </c>
      <c r="E28" t="s">
        <v>616</v>
      </c>
      <c r="H28" t="s">
        <v>940</v>
      </c>
    </row>
    <row r="29" spans="1:8">
      <c r="A29" t="s">
        <v>953</v>
      </c>
      <c r="B29" s="34"/>
    </row>
    <row r="30" spans="1:8">
      <c r="A30" s="38" t="s">
        <v>442</v>
      </c>
    </row>
    <row r="31" spans="1:8">
      <c r="A31" t="s">
        <v>435</v>
      </c>
      <c r="B31" s="11" t="s">
        <v>811</v>
      </c>
      <c r="E31" t="s">
        <v>6</v>
      </c>
      <c r="F31">
        <v>81</v>
      </c>
      <c r="G31">
        <v>39.9</v>
      </c>
      <c r="H31" t="s">
        <v>816</v>
      </c>
    </row>
    <row r="32" spans="1:8">
      <c r="A32" t="s">
        <v>437</v>
      </c>
      <c r="B32" s="11" t="s">
        <v>812</v>
      </c>
      <c r="E32" t="s">
        <v>6</v>
      </c>
      <c r="F32">
        <v>76.5</v>
      </c>
      <c r="G32">
        <v>37.4</v>
      </c>
      <c r="H32" t="s">
        <v>817</v>
      </c>
    </row>
    <row r="33" spans="1:8">
      <c r="A33" t="s">
        <v>440</v>
      </c>
      <c r="B33" s="11" t="s">
        <v>812</v>
      </c>
      <c r="E33" t="s">
        <v>6</v>
      </c>
      <c r="F33">
        <v>72.400000000000006</v>
      </c>
      <c r="G33">
        <v>24.5</v>
      </c>
      <c r="H33" t="s">
        <v>818</v>
      </c>
    </row>
    <row r="34" spans="1:8">
      <c r="A34" t="s">
        <v>143</v>
      </c>
      <c r="B34" s="11" t="s">
        <v>815</v>
      </c>
      <c r="C34" t="s">
        <v>388</v>
      </c>
      <c r="E34" t="s">
        <v>821</v>
      </c>
      <c r="H34" t="s">
        <v>819</v>
      </c>
    </row>
    <row r="35" spans="1:8">
      <c r="B35" s="11"/>
    </row>
    <row r="36" spans="1:8">
      <c r="A36" t="s">
        <v>450</v>
      </c>
      <c r="B36" s="11" t="s">
        <v>810</v>
      </c>
      <c r="C36" t="s">
        <v>390</v>
      </c>
      <c r="E36" t="s">
        <v>9</v>
      </c>
      <c r="F36">
        <v>160</v>
      </c>
      <c r="G36">
        <v>90</v>
      </c>
    </row>
    <row r="37" spans="1:8">
      <c r="A37" s="64" t="s">
        <v>594</v>
      </c>
      <c r="B37" s="11" t="s">
        <v>820</v>
      </c>
      <c r="H37" t="s">
        <v>596</v>
      </c>
    </row>
    <row r="38" spans="1:8">
      <c r="A38" s="64" t="s">
        <v>594</v>
      </c>
      <c r="B38" s="11" t="s">
        <v>820</v>
      </c>
      <c r="H38" t="s">
        <v>597</v>
      </c>
    </row>
    <row r="39" spans="1:8">
      <c r="A39" s="64"/>
    </row>
    <row r="40" spans="1:8">
      <c r="A40" t="s">
        <v>156</v>
      </c>
    </row>
    <row r="41" spans="1:8">
      <c r="A41" t="s">
        <v>141</v>
      </c>
      <c r="B41" t="s">
        <v>142</v>
      </c>
    </row>
    <row r="42" spans="1:8">
      <c r="A42" s="64" t="s">
        <v>27</v>
      </c>
      <c r="B42" t="s">
        <v>56</v>
      </c>
      <c r="F42">
        <v>316</v>
      </c>
      <c r="G42">
        <v>220</v>
      </c>
    </row>
    <row r="43" spans="1:8">
      <c r="A43" s="64" t="s">
        <v>109</v>
      </c>
      <c r="B43" t="s">
        <v>113</v>
      </c>
    </row>
    <row r="44" spans="1:8">
      <c r="A44" s="64" t="s">
        <v>110</v>
      </c>
      <c r="B44" t="s">
        <v>113</v>
      </c>
    </row>
    <row r="45" spans="1:8">
      <c r="A45" s="64" t="s">
        <v>111</v>
      </c>
      <c r="B45" t="s">
        <v>113</v>
      </c>
    </row>
    <row r="46" spans="1:8">
      <c r="A46" s="64" t="s">
        <v>112</v>
      </c>
      <c r="B46" t="s">
        <v>113</v>
      </c>
    </row>
    <row r="47" spans="1:8">
      <c r="A47" s="64" t="s">
        <v>90</v>
      </c>
      <c r="B47" t="s">
        <v>108</v>
      </c>
    </row>
    <row r="48" spans="1:8">
      <c r="A48" s="64" t="s">
        <v>91</v>
      </c>
      <c r="B48" t="s">
        <v>108</v>
      </c>
    </row>
    <row r="49" spans="1:7">
      <c r="A49" s="64" t="s">
        <v>92</v>
      </c>
      <c r="B49" t="s">
        <v>108</v>
      </c>
    </row>
    <row r="50" spans="1:7">
      <c r="A50" s="64" t="s">
        <v>101</v>
      </c>
      <c r="B50" t="s">
        <v>108</v>
      </c>
    </row>
    <row r="51" spans="1:7">
      <c r="A51" s="64" t="s">
        <v>102</v>
      </c>
      <c r="B51" t="s">
        <v>108</v>
      </c>
    </row>
    <row r="52" spans="1:7">
      <c r="A52" s="64" t="s">
        <v>103</v>
      </c>
      <c r="B52" t="s">
        <v>108</v>
      </c>
    </row>
    <row r="53" spans="1:7">
      <c r="A53" s="64" t="s">
        <v>104</v>
      </c>
      <c r="B53" t="s">
        <v>108</v>
      </c>
    </row>
    <row r="54" spans="1:7">
      <c r="A54" s="64" t="s">
        <v>105</v>
      </c>
      <c r="B54" t="s">
        <v>108</v>
      </c>
    </row>
    <row r="55" spans="1:7">
      <c r="A55" s="64" t="s">
        <v>106</v>
      </c>
      <c r="B55" t="s">
        <v>108</v>
      </c>
    </row>
    <row r="56" spans="1:7">
      <c r="A56" s="64" t="s">
        <v>107</v>
      </c>
      <c r="B56" t="s">
        <v>108</v>
      </c>
    </row>
    <row r="58" spans="1:7">
      <c r="A58" t="s">
        <v>125</v>
      </c>
    </row>
    <row r="59" spans="1:7">
      <c r="A59" t="s">
        <v>126</v>
      </c>
    </row>
    <row r="60" spans="1:7">
      <c r="A60" t="s">
        <v>127</v>
      </c>
    </row>
    <row r="61" spans="1:7">
      <c r="A61" t="s">
        <v>128</v>
      </c>
    </row>
    <row r="62" spans="1:7">
      <c r="A62" t="s">
        <v>129</v>
      </c>
    </row>
    <row r="64" spans="1:7">
      <c r="A64" s="11" t="s">
        <v>114</v>
      </c>
      <c r="E64" t="s">
        <v>5</v>
      </c>
      <c r="F64">
        <v>223.9</v>
      </c>
      <c r="G64">
        <v>66.599999999999994</v>
      </c>
    </row>
    <row r="65" spans="1:7">
      <c r="A65" s="11" t="s">
        <v>24</v>
      </c>
      <c r="E65" t="s">
        <v>66</v>
      </c>
      <c r="F65">
        <v>228</v>
      </c>
      <c r="G65">
        <v>109</v>
      </c>
    </row>
    <row r="66" spans="1:7">
      <c r="A66" s="64" t="s">
        <v>115</v>
      </c>
      <c r="B66" t="s">
        <v>117</v>
      </c>
      <c r="F66" s="14"/>
      <c r="G66" s="14"/>
    </row>
    <row r="67" spans="1:7">
      <c r="A67" s="64" t="s">
        <v>116</v>
      </c>
      <c r="B67" t="s">
        <v>117</v>
      </c>
      <c r="F67" s="14"/>
      <c r="G6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22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ColWidth="8.83984375" defaultRowHeight="14.4" outlineLevelCol="1"/>
  <cols>
    <col min="1" max="1" width="20.26171875" style="53" customWidth="1"/>
    <col min="2" max="2" width="34.83984375" customWidth="1" outlineLevel="1"/>
    <col min="3" max="3" width="21.83984375" customWidth="1" outlineLevel="1"/>
    <col min="4" max="4" width="11.83984375" customWidth="1" outlineLevel="1"/>
    <col min="5" max="5" width="3" style="57" customWidth="1" outlineLevel="1"/>
    <col min="6" max="6" width="2.26171875" style="57" customWidth="1" outlineLevel="1"/>
    <col min="7" max="7" width="3.41796875" style="57" customWidth="1" outlineLevel="1"/>
    <col min="8" max="8" width="5.68359375" customWidth="1"/>
    <col min="9" max="17" width="8.83984375" customWidth="1" outlineLevel="1"/>
    <col min="18" max="19" width="8.83984375" customWidth="1"/>
    <col min="20" max="21" width="9" customWidth="1"/>
    <col min="22" max="23" width="8.83984375" customWidth="1"/>
    <col min="24" max="27" width="9" customWidth="1"/>
    <col min="28" max="31" width="9" customWidth="1" outlineLevel="1"/>
    <col min="32" max="32" width="9.41796875" style="4" customWidth="1"/>
    <col min="33" max="35" width="8.83984375" customWidth="1"/>
    <col min="36" max="37" width="9.41796875" style="7" customWidth="1"/>
    <col min="38" max="38" width="8.83984375" style="8" hidden="1" customWidth="1" outlineLevel="1" collapsed="1"/>
    <col min="39" max="39" width="8.83984375" style="8" hidden="1" customWidth="1" outlineLevel="1"/>
    <col min="40" max="45" width="9.41796875" style="4" hidden="1" customWidth="1" outlineLevel="1"/>
    <col min="46" max="46" width="21.15625" customWidth="1" collapsed="1"/>
    <col min="47" max="47" width="13.68359375" customWidth="1"/>
    <col min="48" max="48" width="8.41796875" customWidth="1"/>
    <col min="49" max="49" width="12.41796875" customWidth="1" outlineLevel="1"/>
    <col min="50" max="51" width="8.83984375" style="57" customWidth="1" outlineLevel="1"/>
  </cols>
  <sheetData>
    <row r="1" spans="1:51" s="57" customFormat="1" ht="16.8">
      <c r="A1" s="89" t="s">
        <v>242</v>
      </c>
      <c r="B1" s="22" t="s">
        <v>412</v>
      </c>
      <c r="C1" s="22" t="s">
        <v>241</v>
      </c>
      <c r="D1" s="22" t="s">
        <v>610</v>
      </c>
      <c r="E1" s="22"/>
      <c r="F1" s="22" t="s">
        <v>703</v>
      </c>
      <c r="G1" s="22" t="s">
        <v>704</v>
      </c>
      <c r="H1" s="121" t="s">
        <v>1391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 t="s">
        <v>135</v>
      </c>
      <c r="S1" s="22" t="s">
        <v>134</v>
      </c>
      <c r="T1" s="22" t="s">
        <v>155</v>
      </c>
      <c r="U1" s="22" t="s">
        <v>144</v>
      </c>
      <c r="V1" s="22" t="s">
        <v>137</v>
      </c>
      <c r="W1" s="22" t="s">
        <v>136</v>
      </c>
      <c r="X1" s="22" t="s">
        <v>157</v>
      </c>
      <c r="Y1" s="22" t="s">
        <v>208</v>
      </c>
      <c r="Z1" s="143" t="s">
        <v>1385</v>
      </c>
      <c r="AA1" s="143" t="s">
        <v>1384</v>
      </c>
      <c r="AB1" s="22" t="s">
        <v>166</v>
      </c>
      <c r="AC1" s="22" t="s">
        <v>167</v>
      </c>
      <c r="AD1" s="22" t="s">
        <v>168</v>
      </c>
      <c r="AE1" s="22" t="s">
        <v>169</v>
      </c>
      <c r="AF1" s="27" t="s">
        <v>146</v>
      </c>
      <c r="AG1" s="22" t="s">
        <v>985</v>
      </c>
      <c r="AH1" s="22" t="s">
        <v>120</v>
      </c>
      <c r="AI1" s="22" t="s">
        <v>119</v>
      </c>
      <c r="AJ1" s="25" t="s">
        <v>621</v>
      </c>
      <c r="AK1" s="25" t="s">
        <v>622</v>
      </c>
      <c r="AL1" s="26" t="s">
        <v>132</v>
      </c>
      <c r="AM1" s="26" t="s">
        <v>133</v>
      </c>
      <c r="AN1" s="27" t="s">
        <v>161</v>
      </c>
      <c r="AO1" s="27" t="s">
        <v>162</v>
      </c>
      <c r="AP1" s="27" t="s">
        <v>163</v>
      </c>
      <c r="AQ1" s="27" t="s">
        <v>161</v>
      </c>
      <c r="AR1" s="27" t="s">
        <v>162</v>
      </c>
      <c r="AS1" s="27" t="s">
        <v>163</v>
      </c>
    </row>
    <row r="2" spans="1:51">
      <c r="A2" s="53" t="s">
        <v>310</v>
      </c>
      <c r="B2" t="s">
        <v>309</v>
      </c>
      <c r="C2" t="s">
        <v>281</v>
      </c>
      <c r="E2" s="57" t="s">
        <v>23</v>
      </c>
      <c r="F2" s="57">
        <v>3</v>
      </c>
      <c r="G2" s="57">
        <v>9</v>
      </c>
      <c r="H2">
        <v>3.22</v>
      </c>
      <c r="I2">
        <v>327.3</v>
      </c>
      <c r="J2">
        <v>200.4</v>
      </c>
      <c r="K2">
        <v>235.4</v>
      </c>
      <c r="L2">
        <v>67</v>
      </c>
      <c r="M2">
        <v>81.2</v>
      </c>
      <c r="N2">
        <v>80.7</v>
      </c>
      <c r="O2">
        <v>67.3</v>
      </c>
      <c r="P2">
        <v>69.099999999999994</v>
      </c>
      <c r="Q2">
        <v>73.2</v>
      </c>
      <c r="R2" s="4">
        <f t="shared" ref="R2:R33" si="0">U2/(I2*(J2+K2-2*Q2)+J2*(K2-2*P2)-2*K2*O2+O2*(2*Q2-O2)+P2*(2*O2-P2)+Q2*(2*P2-Q2) )</f>
        <v>127.09879310731826</v>
      </c>
      <c r="S2" s="4">
        <f t="shared" ref="S2:S33" si="1">(I2+J2+K2+2*(O2+P2+Q2))/9</f>
        <v>131.36666666666667</v>
      </c>
      <c r="T2" s="7">
        <f t="shared" ref="T2:T33" si="2">0.5*(R2+S2)</f>
        <v>129.23272988699247</v>
      </c>
      <c r="U2">
        <f t="shared" ref="U2:U33" si="3">P2*(O2*Q2-P2*J2)+Q2*(O2*P2-Q2*I2)+K2*(I2*J2-O2*O2)</f>
        <v>12344106.777999999</v>
      </c>
      <c r="V2" s="4">
        <f t="shared" ref="V2:V33" si="4">15/(4*(I2*(J2+K2+Q2)+J2*(K2+P2)+K2*O2-O2*(O2+Q2)-P2*(P2+O2)-Q2*(Q2+P2))/U2 +3*(1/L2 + 1/M2 +1/N2))</f>
        <v>79.662572148820075</v>
      </c>
      <c r="W2" s="4">
        <f t="shared" ref="W2:W33" si="5">(I2+J2+K2-(O2+P2+Q2)+3*(L2+M2+N2))/15</f>
        <v>82.679999999999993</v>
      </c>
      <c r="X2" s="7">
        <f t="shared" ref="X2:X33" si="6">0.5*(V2+W2)</f>
        <v>81.171286074410034</v>
      </c>
      <c r="Y2" s="7">
        <f t="shared" ref="Y2:Y33" si="7">T2/X2</f>
        <v>1.5920990800678496</v>
      </c>
      <c r="Z2" s="4">
        <f t="shared" ref="Z2:Z33" si="8">(3*T2-2*X2)/(2*(3*T2+X2))</f>
        <v>0.24031807269891428</v>
      </c>
      <c r="AA2" s="4">
        <f>9*X2*T2/(X2+3*T2)</f>
        <v>201.35642620460899</v>
      </c>
      <c r="AB2" s="4">
        <f t="shared" ref="AB2:AB33" si="9">SQRT((T2+4/3*X2)/H2)</f>
        <v>8.5875308875833749</v>
      </c>
      <c r="AC2" s="4">
        <f t="shared" ref="AC2:AC33" si="10">SQRT(T2/H2)</f>
        <v>6.3351707288487704</v>
      </c>
      <c r="AD2" s="4">
        <f t="shared" ref="AD2:AD33" si="11">SQRT(X2/H2)</f>
        <v>5.0208041125055036</v>
      </c>
      <c r="AE2" s="4">
        <f>AB2/AD2</f>
        <v>1.7103895501905944</v>
      </c>
      <c r="AF2" s="4">
        <f t="shared" ref="AF2:AF33" si="12">5*W2/V2 + S2/R2 - 6</f>
        <v>0.22296723315808897</v>
      </c>
      <c r="AG2" s="8">
        <f t="shared" ref="AG2:AG33" si="13">SQRT((LN(S2/R2))^2+5*(LN(W2/V2))^2)</f>
        <v>8.9452777229510422E-2</v>
      </c>
      <c r="AH2" s="8">
        <f t="shared" ref="AH2:AH33" si="14">(W2-V2)/(W2+V2)</f>
        <v>1.8586793416170772E-2</v>
      </c>
      <c r="AI2" s="8">
        <f t="shared" ref="AI2:AI33" si="15">(S2-R2)/(S2+R2)</f>
        <v>1.6512355511952959E-2</v>
      </c>
      <c r="AL2" s="8">
        <v>0.1411</v>
      </c>
      <c r="AM2" s="8">
        <v>0.32669999999999999</v>
      </c>
      <c r="AN2" s="4">
        <v>0</v>
      </c>
      <c r="AO2" s="4">
        <v>13</v>
      </c>
      <c r="AP2" s="4">
        <v>15</v>
      </c>
      <c r="AQ2" s="4">
        <v>1</v>
      </c>
      <c r="AR2" s="4">
        <v>0</v>
      </c>
      <c r="AS2" s="4">
        <v>0</v>
      </c>
      <c r="AX2"/>
      <c r="AY2"/>
    </row>
    <row r="3" spans="1:51">
      <c r="A3" s="53" t="s">
        <v>310</v>
      </c>
      <c r="B3" t="s">
        <v>309</v>
      </c>
      <c r="C3" t="s">
        <v>281</v>
      </c>
      <c r="E3" s="57" t="s">
        <v>23</v>
      </c>
      <c r="F3" s="57">
        <v>3</v>
      </c>
      <c r="G3" s="57">
        <v>9</v>
      </c>
      <c r="H3">
        <v>3.2250000000000001</v>
      </c>
      <c r="I3">
        <v>328.7</v>
      </c>
      <c r="J3">
        <v>199.8</v>
      </c>
      <c r="K3">
        <v>235.5</v>
      </c>
      <c r="L3">
        <v>66.8</v>
      </c>
      <c r="M3">
        <v>80.900000000000006</v>
      </c>
      <c r="N3">
        <v>80.599999999999994</v>
      </c>
      <c r="O3">
        <v>66.599999999999994</v>
      </c>
      <c r="P3">
        <v>68.400000000000006</v>
      </c>
      <c r="Q3">
        <v>72.7</v>
      </c>
      <c r="R3" s="4">
        <f t="shared" si="0"/>
        <v>126.67623419790483</v>
      </c>
      <c r="S3" s="4">
        <f t="shared" si="1"/>
        <v>131.04444444444445</v>
      </c>
      <c r="T3" s="7">
        <f t="shared" si="2"/>
        <v>128.86033932117465</v>
      </c>
      <c r="U3">
        <f t="shared" si="3"/>
        <v>12412023.715</v>
      </c>
      <c r="V3" s="4">
        <f t="shared" si="4"/>
        <v>79.627544557091241</v>
      </c>
      <c r="W3" s="4">
        <f t="shared" si="5"/>
        <v>82.746666666666655</v>
      </c>
      <c r="X3" s="7">
        <f t="shared" si="6"/>
        <v>81.187105611878948</v>
      </c>
      <c r="Y3" s="7">
        <f t="shared" si="7"/>
        <v>1.5872020359637056</v>
      </c>
      <c r="Z3" s="4">
        <f t="shared" si="8"/>
        <v>0.23965592719960593</v>
      </c>
      <c r="AA3" s="4">
        <f t="shared" ref="AA3:AA66" si="16">9*X3*T3/(X3+3*T3)</f>
        <v>201.28815336789222</v>
      </c>
      <c r="AB3" s="4">
        <f t="shared" si="9"/>
        <v>8.5745217231926585</v>
      </c>
      <c r="AC3" s="4">
        <f t="shared" si="10"/>
        <v>6.3211307820005533</v>
      </c>
      <c r="AD3" s="4">
        <f t="shared" si="11"/>
        <v>5.0173993576115619</v>
      </c>
      <c r="AE3" s="4">
        <f t="shared" ref="AE3:AE76" si="17">AB3/AD3</f>
        <v>1.7089573924756105</v>
      </c>
      <c r="AF3" s="4">
        <f t="shared" si="12"/>
        <v>0.23034024757294702</v>
      </c>
      <c r="AG3" s="8">
        <f t="shared" si="13"/>
        <v>9.236469668656265E-2</v>
      </c>
      <c r="AH3" s="8">
        <f t="shared" si="14"/>
        <v>1.9209467353637485E-2</v>
      </c>
      <c r="AI3" s="8">
        <f t="shared" si="15"/>
        <v>1.694939757861488E-2</v>
      </c>
      <c r="AL3" s="8">
        <v>0.13880000000000001</v>
      </c>
      <c r="AM3" s="8">
        <v>0.32769999999999999</v>
      </c>
      <c r="AN3" s="4">
        <v>0</v>
      </c>
      <c r="AO3" s="4">
        <v>13</v>
      </c>
      <c r="AP3" s="4">
        <v>15</v>
      </c>
      <c r="AQ3" s="4">
        <v>1</v>
      </c>
      <c r="AR3" s="4">
        <v>0</v>
      </c>
      <c r="AS3" s="4">
        <v>0</v>
      </c>
      <c r="AX3"/>
      <c r="AY3"/>
    </row>
    <row r="4" spans="1:51">
      <c r="A4" s="53" t="s">
        <v>310</v>
      </c>
      <c r="B4" t="s">
        <v>309</v>
      </c>
      <c r="C4" t="s">
        <v>281</v>
      </c>
      <c r="E4" s="57" t="s">
        <v>23</v>
      </c>
      <c r="F4" s="57">
        <v>3</v>
      </c>
      <c r="G4" s="57">
        <v>9</v>
      </c>
      <c r="H4">
        <v>3.2240000000000002</v>
      </c>
      <c r="I4">
        <v>328.4</v>
      </c>
      <c r="J4">
        <v>199.8</v>
      </c>
      <c r="K4">
        <v>235.3</v>
      </c>
      <c r="L4">
        <v>65.900000000000006</v>
      </c>
      <c r="M4">
        <v>81.2</v>
      </c>
      <c r="N4">
        <v>80.900000000000006</v>
      </c>
      <c r="O4">
        <v>63.9</v>
      </c>
      <c r="P4">
        <v>68.8</v>
      </c>
      <c r="Q4">
        <v>73.8</v>
      </c>
      <c r="R4" s="4">
        <f t="shared" si="0"/>
        <v>126.48286155599411</v>
      </c>
      <c r="S4" s="4">
        <f t="shared" si="1"/>
        <v>130.72222222222223</v>
      </c>
      <c r="T4" s="7">
        <f t="shared" si="2"/>
        <v>128.60254188910818</v>
      </c>
      <c r="U4">
        <f t="shared" si="3"/>
        <v>12392814.806999998</v>
      </c>
      <c r="V4" s="4">
        <f t="shared" si="4"/>
        <v>79.459884146677098</v>
      </c>
      <c r="W4" s="4">
        <f t="shared" si="5"/>
        <v>82.733333333333334</v>
      </c>
      <c r="X4" s="7">
        <f t="shared" si="6"/>
        <v>81.096608740005223</v>
      </c>
      <c r="Y4" s="7">
        <f t="shared" si="7"/>
        <v>1.5857943246604358</v>
      </c>
      <c r="Z4" s="4">
        <f t="shared" si="8"/>
        <v>0.23946496059428718</v>
      </c>
      <c r="AA4" s="4">
        <f t="shared" si="16"/>
        <v>201.03280991252177</v>
      </c>
      <c r="AB4" s="4">
        <f t="shared" si="9"/>
        <v>8.5690045622641815</v>
      </c>
      <c r="AC4" s="4">
        <f t="shared" si="10"/>
        <v>6.3157838702828775</v>
      </c>
      <c r="AD4" s="4">
        <f t="shared" si="11"/>
        <v>5.0153798429415346</v>
      </c>
      <c r="AE4" s="4">
        <f t="shared" si="17"/>
        <v>1.7085454802239737</v>
      </c>
      <c r="AF4" s="4">
        <f t="shared" si="12"/>
        <v>0.23949851938971101</v>
      </c>
      <c r="AG4" s="8">
        <f t="shared" si="13"/>
        <v>9.6102440157692204E-2</v>
      </c>
      <c r="AH4" s="8">
        <f t="shared" si="14"/>
        <v>2.0182404896552927E-2</v>
      </c>
      <c r="AI4" s="8">
        <f t="shared" si="15"/>
        <v>1.6482413970804917E-2</v>
      </c>
      <c r="AJ4" s="7">
        <v>24.6</v>
      </c>
      <c r="AK4" s="7">
        <v>18.100000000000001</v>
      </c>
      <c r="AL4" s="8">
        <v>0.13389999999999999</v>
      </c>
      <c r="AM4" s="8">
        <v>0.3367</v>
      </c>
      <c r="AN4" s="4">
        <v>0</v>
      </c>
      <c r="AO4" s="4">
        <v>4</v>
      </c>
      <c r="AP4" s="4">
        <v>-3</v>
      </c>
      <c r="AQ4" s="4">
        <v>1</v>
      </c>
      <c r="AR4" s="4">
        <v>0</v>
      </c>
      <c r="AS4" s="4">
        <v>0</v>
      </c>
      <c r="AX4"/>
      <c r="AY4"/>
    </row>
    <row r="5" spans="1:51">
      <c r="A5" s="53" t="s">
        <v>310</v>
      </c>
      <c r="B5" t="s">
        <v>309</v>
      </c>
      <c r="C5" t="s">
        <v>281</v>
      </c>
      <c r="E5" s="57" t="s">
        <v>23</v>
      </c>
      <c r="F5" s="57">
        <v>3</v>
      </c>
      <c r="G5" s="57">
        <v>9</v>
      </c>
      <c r="H5">
        <v>3.2210000000000001</v>
      </c>
      <c r="I5">
        <v>329</v>
      </c>
      <c r="J5">
        <v>200.5</v>
      </c>
      <c r="K5">
        <v>236.3</v>
      </c>
      <c r="L5">
        <v>67.2</v>
      </c>
      <c r="M5">
        <v>81.400000000000006</v>
      </c>
      <c r="N5">
        <v>81.099999999999994</v>
      </c>
      <c r="O5">
        <v>66.3</v>
      </c>
      <c r="P5">
        <v>68.400000000000006</v>
      </c>
      <c r="Q5">
        <v>72.8</v>
      </c>
      <c r="R5" s="4">
        <f t="shared" si="0"/>
        <v>126.88536359643808</v>
      </c>
      <c r="S5" s="4">
        <f t="shared" si="1"/>
        <v>131.19999999999999</v>
      </c>
      <c r="T5" s="7">
        <f t="shared" si="2"/>
        <v>129.04268179821904</v>
      </c>
      <c r="U5">
        <f t="shared" si="3"/>
        <v>12527295.514999999</v>
      </c>
      <c r="V5" s="4">
        <f t="shared" si="4"/>
        <v>80.058243010185009</v>
      </c>
      <c r="W5" s="4">
        <f t="shared" si="5"/>
        <v>83.160000000000011</v>
      </c>
      <c r="X5" s="7">
        <f t="shared" si="6"/>
        <v>81.609121505092503</v>
      </c>
      <c r="Y5" s="7">
        <f t="shared" si="7"/>
        <v>1.5812286594724172</v>
      </c>
      <c r="Z5" s="4">
        <f t="shared" si="8"/>
        <v>0.23884366143335975</v>
      </c>
      <c r="AA5" s="4">
        <f t="shared" si="16"/>
        <v>202.20188578345747</v>
      </c>
      <c r="AB5" s="4">
        <f t="shared" si="9"/>
        <v>8.5933131372747571</v>
      </c>
      <c r="AC5" s="4">
        <f t="shared" si="10"/>
        <v>6.3295280326317025</v>
      </c>
      <c r="AD5" s="4">
        <f t="shared" si="11"/>
        <v>5.0335453876508645</v>
      </c>
      <c r="AE5" s="4">
        <f t="shared" si="17"/>
        <v>1.7072088310472595</v>
      </c>
      <c r="AF5" s="4">
        <f t="shared" si="12"/>
        <v>0.22772298615302855</v>
      </c>
      <c r="AG5" s="8">
        <f t="shared" si="13"/>
        <v>9.1338591538348446E-2</v>
      </c>
      <c r="AH5" s="8">
        <f t="shared" si="14"/>
        <v>1.900373961029251E-2</v>
      </c>
      <c r="AI5" s="8">
        <f t="shared" si="15"/>
        <v>1.6717865528820146E-2</v>
      </c>
      <c r="AL5" s="8">
        <v>0.1386</v>
      </c>
      <c r="AM5" s="8">
        <v>0.32679999999999998</v>
      </c>
      <c r="AN5" s="4">
        <v>0</v>
      </c>
      <c r="AO5" s="4">
        <v>13</v>
      </c>
      <c r="AP5" s="4">
        <v>-15</v>
      </c>
      <c r="AQ5" s="4">
        <v>1</v>
      </c>
      <c r="AR5" s="4">
        <v>0</v>
      </c>
      <c r="AS5" s="4">
        <v>0</v>
      </c>
      <c r="AX5"/>
      <c r="AY5"/>
    </row>
    <row r="6" spans="1:51">
      <c r="A6" s="53" t="s">
        <v>310</v>
      </c>
      <c r="B6" t="s">
        <v>309</v>
      </c>
      <c r="C6" t="s">
        <v>281</v>
      </c>
      <c r="E6" s="57" t="s">
        <v>23</v>
      </c>
      <c r="F6" s="57">
        <v>3</v>
      </c>
      <c r="G6" s="57">
        <v>9</v>
      </c>
      <c r="H6">
        <v>3.222</v>
      </c>
      <c r="I6">
        <v>330</v>
      </c>
      <c r="J6">
        <v>200.3</v>
      </c>
      <c r="K6">
        <v>236.2</v>
      </c>
      <c r="L6">
        <v>67.099999999999994</v>
      </c>
      <c r="M6">
        <v>81.599999999999994</v>
      </c>
      <c r="N6">
        <v>81.2</v>
      </c>
      <c r="O6">
        <v>66.2</v>
      </c>
      <c r="P6">
        <v>68</v>
      </c>
      <c r="Q6">
        <v>72.2</v>
      </c>
      <c r="R6" s="4">
        <f t="shared" si="0"/>
        <v>126.63041173163293</v>
      </c>
      <c r="S6" s="4">
        <f t="shared" si="1"/>
        <v>131.03333333333333</v>
      </c>
      <c r="T6" s="7">
        <f t="shared" si="2"/>
        <v>128.83187253248315</v>
      </c>
      <c r="U6">
        <f t="shared" si="3"/>
        <v>12581058.112</v>
      </c>
      <c r="V6" s="4">
        <f t="shared" si="4"/>
        <v>80.169461901621688</v>
      </c>
      <c r="W6" s="4">
        <f t="shared" si="5"/>
        <v>83.32</v>
      </c>
      <c r="X6" s="7">
        <f t="shared" si="6"/>
        <v>81.744730950810833</v>
      </c>
      <c r="Y6" s="7">
        <f t="shared" si="7"/>
        <v>1.5760266262299718</v>
      </c>
      <c r="Z6" s="4">
        <f t="shared" si="8"/>
        <v>0.23813214344645817</v>
      </c>
      <c r="AA6" s="4">
        <f t="shared" si="16"/>
        <v>202.42155789516292</v>
      </c>
      <c r="AB6" s="4">
        <f t="shared" si="9"/>
        <v>8.5914376979310916</v>
      </c>
      <c r="AC6" s="4">
        <f t="shared" si="10"/>
        <v>6.323374325409155</v>
      </c>
      <c r="AD6" s="4">
        <f t="shared" si="11"/>
        <v>5.0369439289752727</v>
      </c>
      <c r="AE6" s="4">
        <f t="shared" si="17"/>
        <v>1.7056846014323119</v>
      </c>
      <c r="AF6" s="4">
        <f t="shared" si="12"/>
        <v>0.23126226575927511</v>
      </c>
      <c r="AG6" s="8">
        <f t="shared" si="13"/>
        <v>9.2720859037319983E-2</v>
      </c>
      <c r="AH6" s="8">
        <f t="shared" si="14"/>
        <v>1.9270588218548997E-2</v>
      </c>
      <c r="AI6" s="8">
        <f t="shared" si="15"/>
        <v>1.7087858443531761E-2</v>
      </c>
      <c r="AL6" s="8">
        <v>0.13769999999999999</v>
      </c>
      <c r="AM6" s="8">
        <v>0.32640000000000002</v>
      </c>
      <c r="AN6" s="4">
        <v>0</v>
      </c>
      <c r="AO6" s="4">
        <v>13</v>
      </c>
      <c r="AP6" s="4">
        <v>-15</v>
      </c>
      <c r="AQ6" s="4">
        <v>1</v>
      </c>
      <c r="AR6" s="4">
        <v>0</v>
      </c>
      <c r="AS6" s="4">
        <v>0</v>
      </c>
      <c r="AX6"/>
      <c r="AY6"/>
    </row>
    <row r="7" spans="1:51">
      <c r="A7" s="53" t="s">
        <v>310</v>
      </c>
      <c r="B7" t="s">
        <v>309</v>
      </c>
      <c r="C7" t="s">
        <v>281</v>
      </c>
      <c r="E7" s="57" t="s">
        <v>23</v>
      </c>
      <c r="F7" s="57">
        <v>3</v>
      </c>
      <c r="G7" s="57">
        <v>9</v>
      </c>
      <c r="H7">
        <v>3.226</v>
      </c>
      <c r="I7">
        <v>329.3</v>
      </c>
      <c r="J7">
        <v>199.7</v>
      </c>
      <c r="K7">
        <v>236.7</v>
      </c>
      <c r="L7">
        <v>67.5</v>
      </c>
      <c r="M7">
        <v>81.900000000000006</v>
      </c>
      <c r="N7">
        <v>81.3</v>
      </c>
      <c r="O7">
        <v>66</v>
      </c>
      <c r="P7">
        <v>68.2</v>
      </c>
      <c r="Q7">
        <v>72.099999999999994</v>
      </c>
      <c r="R7" s="4">
        <f t="shared" si="0"/>
        <v>126.49842838551538</v>
      </c>
      <c r="S7" s="4">
        <f t="shared" si="1"/>
        <v>130.92222222222222</v>
      </c>
      <c r="T7" s="7">
        <f t="shared" si="2"/>
        <v>128.71032530386879</v>
      </c>
      <c r="U7">
        <f t="shared" si="3"/>
        <v>12542997.205999997</v>
      </c>
      <c r="V7" s="4">
        <f t="shared" si="4"/>
        <v>80.332879380552399</v>
      </c>
      <c r="W7" s="4">
        <f t="shared" si="5"/>
        <v>83.433333333333337</v>
      </c>
      <c r="X7" s="7">
        <f t="shared" si="6"/>
        <v>81.883106356942875</v>
      </c>
      <c r="Y7" s="7">
        <f t="shared" si="7"/>
        <v>1.5718788774670787</v>
      </c>
      <c r="Z7" s="4">
        <f t="shared" si="8"/>
        <v>0.23756204313327306</v>
      </c>
      <c r="AA7" s="4">
        <f t="shared" si="16"/>
        <v>202.67084880239466</v>
      </c>
      <c r="AB7" s="4">
        <f t="shared" si="9"/>
        <v>8.5872459898841225</v>
      </c>
      <c r="AC7" s="4">
        <f t="shared" si="10"/>
        <v>6.3164710856443236</v>
      </c>
      <c r="AD7" s="4">
        <f t="shared" si="11"/>
        <v>5.0380790025812532</v>
      </c>
      <c r="AE7" s="4">
        <f t="shared" si="17"/>
        <v>1.7044683073616864</v>
      </c>
      <c r="AF7" s="4">
        <f t="shared" si="12"/>
        <v>0.22794653963351585</v>
      </c>
      <c r="AG7" s="8">
        <f t="shared" si="13"/>
        <v>9.1388260305010349E-2</v>
      </c>
      <c r="AH7" s="8">
        <f t="shared" si="14"/>
        <v>1.8932195484044744E-2</v>
      </c>
      <c r="AI7" s="8">
        <f t="shared" si="15"/>
        <v>1.718507752296802E-2</v>
      </c>
      <c r="AL7" s="8">
        <v>0.13869999999999999</v>
      </c>
      <c r="AM7" s="8">
        <v>0.32390000000000002</v>
      </c>
      <c r="AN7" s="4">
        <v>0</v>
      </c>
      <c r="AO7" s="4">
        <v>13</v>
      </c>
      <c r="AP7" s="4">
        <v>-15</v>
      </c>
      <c r="AQ7" s="4">
        <v>1</v>
      </c>
      <c r="AR7" s="4">
        <v>0</v>
      </c>
      <c r="AS7" s="4">
        <v>0</v>
      </c>
      <c r="AX7"/>
      <c r="AY7"/>
    </row>
    <row r="8" spans="1:51">
      <c r="A8" s="53" t="s">
        <v>310</v>
      </c>
      <c r="B8" t="s">
        <v>275</v>
      </c>
      <c r="C8" t="s">
        <v>281</v>
      </c>
      <c r="E8" s="57" t="s">
        <v>23</v>
      </c>
      <c r="F8" s="57">
        <v>3</v>
      </c>
      <c r="G8" s="57">
        <v>9</v>
      </c>
      <c r="H8">
        <v>3.37</v>
      </c>
      <c r="I8">
        <v>320.10000000000002</v>
      </c>
      <c r="J8">
        <v>195.4</v>
      </c>
      <c r="K8">
        <v>233.9</v>
      </c>
      <c r="L8">
        <v>61.3</v>
      </c>
      <c r="M8">
        <v>77.2</v>
      </c>
      <c r="N8">
        <v>78</v>
      </c>
      <c r="O8">
        <v>70.099999999999994</v>
      </c>
      <c r="P8">
        <v>70.099999999999994</v>
      </c>
      <c r="Q8">
        <v>73.599999999999994</v>
      </c>
      <c r="R8" s="4">
        <f t="shared" si="0"/>
        <v>126.4285114419001</v>
      </c>
      <c r="S8" s="4">
        <f t="shared" si="1"/>
        <v>130.77777777777777</v>
      </c>
      <c r="T8" s="7">
        <f t="shared" si="2"/>
        <v>128.60314460983892</v>
      </c>
      <c r="U8">
        <f t="shared" si="3"/>
        <v>11509658.489000002</v>
      </c>
      <c r="V8" s="4">
        <f t="shared" si="4"/>
        <v>75.773996332362202</v>
      </c>
      <c r="W8" s="4">
        <f t="shared" si="5"/>
        <v>79.006666666666661</v>
      </c>
      <c r="X8" s="7">
        <f t="shared" si="6"/>
        <v>77.390331499514431</v>
      </c>
      <c r="Y8" s="7">
        <f t="shared" si="7"/>
        <v>1.6617469148668242</v>
      </c>
      <c r="Z8" s="4">
        <f t="shared" si="8"/>
        <v>0.24938351454731197</v>
      </c>
      <c r="AA8" s="4">
        <f t="shared" si="16"/>
        <v>193.38040872168978</v>
      </c>
      <c r="AB8" s="4">
        <f t="shared" si="9"/>
        <v>8.2934004236084036</v>
      </c>
      <c r="AC8" s="4">
        <f t="shared" si="10"/>
        <v>6.1774728253040987</v>
      </c>
      <c r="AD8" s="4">
        <f t="shared" si="11"/>
        <v>4.7921279260056373</v>
      </c>
      <c r="AE8" s="4">
        <f t="shared" si="17"/>
        <v>1.7306300148212377</v>
      </c>
      <c r="AF8" s="4">
        <f t="shared" si="12"/>
        <v>0.24771099977179034</v>
      </c>
      <c r="AG8" s="8">
        <f t="shared" si="13"/>
        <v>9.9350770618358716E-2</v>
      </c>
      <c r="AH8" s="8">
        <f t="shared" si="14"/>
        <v>2.0885492229250506E-2</v>
      </c>
      <c r="AI8" s="8">
        <f t="shared" si="15"/>
        <v>1.6909642252810539E-2</v>
      </c>
      <c r="AL8" s="8">
        <v>0.14119999999999999</v>
      </c>
      <c r="AM8" s="8">
        <v>0.35520000000000002</v>
      </c>
      <c r="AN8" s="4">
        <v>0</v>
      </c>
      <c r="AO8" s="4">
        <v>-3</v>
      </c>
      <c r="AP8" s="4">
        <v>4</v>
      </c>
      <c r="AQ8" s="4">
        <v>1</v>
      </c>
      <c r="AR8" s="4">
        <v>0</v>
      </c>
      <c r="AS8" s="4">
        <v>0</v>
      </c>
      <c r="AX8"/>
      <c r="AY8"/>
    </row>
    <row r="9" spans="1:51">
      <c r="A9" s="53" t="s">
        <v>310</v>
      </c>
      <c r="B9" t="s">
        <v>275</v>
      </c>
      <c r="C9" t="s">
        <v>281</v>
      </c>
      <c r="E9" s="57" t="s">
        <v>23</v>
      </c>
      <c r="F9" s="57">
        <v>3</v>
      </c>
      <c r="G9" s="57">
        <v>9</v>
      </c>
      <c r="H9">
        <v>3.355</v>
      </c>
      <c r="I9">
        <v>320.5</v>
      </c>
      <c r="J9">
        <v>196.5</v>
      </c>
      <c r="K9">
        <v>233.5</v>
      </c>
      <c r="L9">
        <v>64</v>
      </c>
      <c r="M9">
        <v>77</v>
      </c>
      <c r="N9">
        <v>78.7</v>
      </c>
      <c r="O9">
        <v>68.099999999999994</v>
      </c>
      <c r="P9">
        <v>71.599999999999994</v>
      </c>
      <c r="Q9">
        <v>76.8</v>
      </c>
      <c r="R9" s="4">
        <f t="shared" si="0"/>
        <v>127.37993029799208</v>
      </c>
      <c r="S9" s="4">
        <f t="shared" si="1"/>
        <v>131.5</v>
      </c>
      <c r="T9" s="7">
        <f t="shared" si="2"/>
        <v>129.43996514899604</v>
      </c>
      <c r="U9">
        <f t="shared" si="3"/>
        <v>11473731.936000001</v>
      </c>
      <c r="V9" s="4">
        <f t="shared" si="4"/>
        <v>76.481544898128519</v>
      </c>
      <c r="W9" s="4">
        <f t="shared" si="5"/>
        <v>79.539999999999992</v>
      </c>
      <c r="X9" s="7">
        <f t="shared" si="6"/>
        <v>78.010772449064262</v>
      </c>
      <c r="Y9" s="7">
        <f t="shared" si="7"/>
        <v>1.6592575754010326</v>
      </c>
      <c r="Z9" s="4">
        <f t="shared" si="8"/>
        <v>0.24907041991996989</v>
      </c>
      <c r="AA9" s="4">
        <f t="shared" si="16"/>
        <v>194.88189660246786</v>
      </c>
      <c r="AB9" s="4">
        <f t="shared" si="9"/>
        <v>8.3417026144560182</v>
      </c>
      <c r="AC9" s="4">
        <f t="shared" si="10"/>
        <v>6.21137759831515</v>
      </c>
      <c r="AD9" s="4">
        <f t="shared" si="11"/>
        <v>4.822042423017276</v>
      </c>
      <c r="AE9" s="4">
        <f t="shared" si="17"/>
        <v>1.7299106649576923</v>
      </c>
      <c r="AF9" s="4">
        <f t="shared" si="12"/>
        <v>0.23229199413138524</v>
      </c>
      <c r="AG9" s="8">
        <f t="shared" si="13"/>
        <v>9.3277340906737671E-2</v>
      </c>
      <c r="AH9" s="8">
        <f t="shared" si="14"/>
        <v>1.9602774116026327E-2</v>
      </c>
      <c r="AI9" s="8">
        <f t="shared" si="15"/>
        <v>1.5914983047412696E-2</v>
      </c>
      <c r="AJ9" s="7">
        <v>24.3</v>
      </c>
      <c r="AK9" s="7">
        <v>17.899999999999999</v>
      </c>
      <c r="AL9" s="8">
        <v>0.14369999999999999</v>
      </c>
      <c r="AM9" s="8">
        <v>0.34620000000000001</v>
      </c>
      <c r="AN9" s="4">
        <v>0</v>
      </c>
      <c r="AO9" s="4">
        <v>29</v>
      </c>
      <c r="AP9" s="4">
        <v>-28</v>
      </c>
      <c r="AQ9" s="4">
        <v>1</v>
      </c>
      <c r="AR9" s="4">
        <v>0</v>
      </c>
      <c r="AS9" s="4">
        <v>0</v>
      </c>
      <c r="AX9"/>
      <c r="AY9"/>
    </row>
    <row r="10" spans="1:51">
      <c r="A10" s="53" t="s">
        <v>310</v>
      </c>
      <c r="B10" t="s">
        <v>276</v>
      </c>
      <c r="C10" t="s">
        <v>281</v>
      </c>
      <c r="E10" s="57" t="s">
        <v>23</v>
      </c>
      <c r="F10" s="57">
        <v>3</v>
      </c>
      <c r="G10" s="57">
        <v>9</v>
      </c>
      <c r="H10">
        <v>3.3530000000000002</v>
      </c>
      <c r="I10">
        <v>320.89999999999998</v>
      </c>
      <c r="J10">
        <v>197.1</v>
      </c>
      <c r="K10">
        <v>234.7</v>
      </c>
      <c r="L10">
        <v>63.6</v>
      </c>
      <c r="M10">
        <v>77.5</v>
      </c>
      <c r="N10">
        <v>78.099999999999994</v>
      </c>
      <c r="O10">
        <v>69.599999999999994</v>
      </c>
      <c r="P10">
        <v>71.2</v>
      </c>
      <c r="Q10">
        <v>75.099999999999994</v>
      </c>
      <c r="R10" s="4">
        <f t="shared" si="0"/>
        <v>127.3942803572085</v>
      </c>
      <c r="S10" s="4">
        <f t="shared" si="1"/>
        <v>131.61111111111111</v>
      </c>
      <c r="T10" s="7">
        <f t="shared" si="2"/>
        <v>129.5026957341598</v>
      </c>
      <c r="U10">
        <f t="shared" si="3"/>
        <v>11642960.751999998</v>
      </c>
      <c r="V10" s="4">
        <f t="shared" si="4"/>
        <v>76.599757620329839</v>
      </c>
      <c r="W10" s="4">
        <f t="shared" si="5"/>
        <v>79.626666666666679</v>
      </c>
      <c r="X10" s="7">
        <f t="shared" si="6"/>
        <v>78.113212143498259</v>
      </c>
      <c r="Y10" s="7">
        <f t="shared" si="7"/>
        <v>1.6578846545992276</v>
      </c>
      <c r="Z10" s="4">
        <f t="shared" si="8"/>
        <v>0.24889740699905022</v>
      </c>
      <c r="AA10" s="4">
        <f t="shared" si="16"/>
        <v>195.1107761967634</v>
      </c>
      <c r="AB10" s="4">
        <f t="shared" si="9"/>
        <v>8.3477513354633857</v>
      </c>
      <c r="AC10" s="4">
        <f t="shared" si="10"/>
        <v>6.2147351844717074</v>
      </c>
      <c r="AD10" s="4">
        <f t="shared" si="11"/>
        <v>4.8266462693277106</v>
      </c>
      <c r="AE10" s="4">
        <f t="shared" si="17"/>
        <v>1.7295138010240223</v>
      </c>
      <c r="AF10" s="4">
        <f t="shared" si="12"/>
        <v>0.23068017321308165</v>
      </c>
      <c r="AG10" s="8">
        <f t="shared" si="13"/>
        <v>9.2575669825180465E-2</v>
      </c>
      <c r="AH10" s="8">
        <f t="shared" si="14"/>
        <v>1.9375141306289145E-2</v>
      </c>
      <c r="AI10" s="8">
        <f t="shared" si="15"/>
        <v>1.6280860911802284E-2</v>
      </c>
      <c r="AL10" s="8">
        <v>0.1444</v>
      </c>
      <c r="AM10" s="8">
        <v>0.3448</v>
      </c>
      <c r="AN10" s="4">
        <v>0</v>
      </c>
      <c r="AO10" s="4">
        <v>25</v>
      </c>
      <c r="AP10" s="4">
        <v>31</v>
      </c>
      <c r="AQ10" s="4">
        <v>1</v>
      </c>
      <c r="AR10" s="4">
        <v>0</v>
      </c>
      <c r="AS10" s="4">
        <v>0</v>
      </c>
      <c r="AX10"/>
      <c r="AY10"/>
    </row>
    <row r="11" spans="1:51">
      <c r="A11" s="53" t="s">
        <v>310</v>
      </c>
      <c r="B11" t="s">
        <v>277</v>
      </c>
      <c r="C11" t="s">
        <v>281</v>
      </c>
      <c r="E11" s="57" t="s">
        <v>23</v>
      </c>
      <c r="F11" s="57">
        <v>3</v>
      </c>
      <c r="G11" s="57">
        <v>9</v>
      </c>
      <c r="H11">
        <v>3.347</v>
      </c>
      <c r="I11">
        <v>320.2</v>
      </c>
      <c r="J11">
        <v>195.9</v>
      </c>
      <c r="K11">
        <v>233.8</v>
      </c>
      <c r="L11">
        <v>63.5</v>
      </c>
      <c r="M11">
        <v>76.900000000000006</v>
      </c>
      <c r="N11">
        <v>78.099999999999994</v>
      </c>
      <c r="O11">
        <v>67.900000000000006</v>
      </c>
      <c r="P11">
        <v>70.5</v>
      </c>
      <c r="Q11">
        <v>78.5</v>
      </c>
      <c r="R11" s="4">
        <f t="shared" si="0"/>
        <v>127.56362014699498</v>
      </c>
      <c r="S11" s="4">
        <f t="shared" si="1"/>
        <v>131.52222222222224</v>
      </c>
      <c r="T11" s="7">
        <f t="shared" si="2"/>
        <v>129.54292118460862</v>
      </c>
      <c r="U11">
        <f t="shared" si="3"/>
        <v>11392427.550999999</v>
      </c>
      <c r="V11" s="4">
        <f t="shared" si="4"/>
        <v>76.032400349386123</v>
      </c>
      <c r="W11" s="4">
        <f t="shared" si="5"/>
        <v>79.233333333333334</v>
      </c>
      <c r="X11" s="7">
        <f t="shared" si="6"/>
        <v>77.632866841359728</v>
      </c>
      <c r="Y11" s="7">
        <f t="shared" si="7"/>
        <v>1.6686607934925992</v>
      </c>
      <c r="Z11" s="4">
        <f t="shared" si="8"/>
        <v>0.2502490175669364</v>
      </c>
      <c r="AA11" s="4">
        <f t="shared" si="16"/>
        <v>194.1208309986296</v>
      </c>
      <c r="AB11" s="4">
        <f t="shared" si="9"/>
        <v>8.3444914696218273</v>
      </c>
      <c r="AC11" s="4">
        <f t="shared" si="10"/>
        <v>6.2212690971975828</v>
      </c>
      <c r="AD11" s="4">
        <f t="shared" si="11"/>
        <v>4.8160940117624751</v>
      </c>
      <c r="AE11" s="4">
        <f t="shared" si="17"/>
        <v>1.7326263667698041</v>
      </c>
      <c r="AF11" s="4">
        <f t="shared" si="12"/>
        <v>0.24153033157321424</v>
      </c>
      <c r="AG11" s="8">
        <f t="shared" si="13"/>
        <v>9.7142237013580407E-2</v>
      </c>
      <c r="AH11" s="8">
        <f t="shared" si="14"/>
        <v>2.0615836527641155E-2</v>
      </c>
      <c r="AI11" s="8">
        <f t="shared" si="15"/>
        <v>1.5279113821997072E-2</v>
      </c>
      <c r="AJ11" s="7">
        <v>24.4</v>
      </c>
      <c r="AK11" s="7">
        <v>18.600000000000001</v>
      </c>
      <c r="AL11" s="8">
        <v>0.14099999999999999</v>
      </c>
      <c r="AM11" s="8">
        <v>0.3548</v>
      </c>
      <c r="AN11" s="4">
        <v>0</v>
      </c>
      <c r="AO11" s="4">
        <v>13</v>
      </c>
      <c r="AP11" s="4">
        <v>15</v>
      </c>
      <c r="AQ11" s="4">
        <v>1</v>
      </c>
      <c r="AR11" s="4">
        <v>0</v>
      </c>
      <c r="AS11" s="4">
        <v>0</v>
      </c>
      <c r="AX11"/>
      <c r="AY11"/>
    </row>
    <row r="12" spans="1:51">
      <c r="A12" s="53" t="s">
        <v>310</v>
      </c>
      <c r="B12" t="s">
        <v>278</v>
      </c>
      <c r="C12" t="s">
        <v>281</v>
      </c>
      <c r="E12" s="57" t="s">
        <v>23</v>
      </c>
      <c r="F12" s="57">
        <v>3</v>
      </c>
      <c r="G12" s="57">
        <v>9</v>
      </c>
      <c r="H12">
        <v>3.3159999999999998</v>
      </c>
      <c r="I12">
        <v>324</v>
      </c>
      <c r="J12">
        <v>196</v>
      </c>
      <c r="K12">
        <v>232</v>
      </c>
      <c r="L12">
        <v>63.9</v>
      </c>
      <c r="M12">
        <v>77.900000000000006</v>
      </c>
      <c r="N12">
        <v>78.8</v>
      </c>
      <c r="O12">
        <v>72</v>
      </c>
      <c r="P12">
        <v>72</v>
      </c>
      <c r="Q12">
        <v>69</v>
      </c>
      <c r="R12" s="4">
        <f t="shared" si="0"/>
        <v>125.78708656671438</v>
      </c>
      <c r="S12" s="4">
        <f t="shared" si="1"/>
        <v>130.88888888888889</v>
      </c>
      <c r="T12" s="7">
        <f t="shared" si="2"/>
        <v>128.33798772780165</v>
      </c>
      <c r="U12">
        <f t="shared" si="3"/>
        <v>11687004</v>
      </c>
      <c r="V12" s="4">
        <f t="shared" si="4"/>
        <v>77.16002064939228</v>
      </c>
      <c r="W12" s="4">
        <f t="shared" si="5"/>
        <v>80.053333333333342</v>
      </c>
      <c r="X12" s="7">
        <f t="shared" si="6"/>
        <v>78.606676991362804</v>
      </c>
      <c r="Y12" s="7">
        <f t="shared" si="7"/>
        <v>1.6326601332085728</v>
      </c>
      <c r="Z12" s="4">
        <f t="shared" si="8"/>
        <v>0.24567565533191854</v>
      </c>
      <c r="AA12" s="4">
        <f t="shared" si="16"/>
        <v>195.83684774936057</v>
      </c>
      <c r="AB12" s="4">
        <f t="shared" si="9"/>
        <v>8.3850866088288516</v>
      </c>
      <c r="AC12" s="4">
        <f t="shared" si="10"/>
        <v>6.2211454008771199</v>
      </c>
      <c r="AD12" s="4">
        <f t="shared" si="11"/>
        <v>4.8688058601704176</v>
      </c>
      <c r="AE12" s="4">
        <f t="shared" si="17"/>
        <v>1.7222059884177343</v>
      </c>
      <c r="AF12" s="4">
        <f t="shared" si="12"/>
        <v>0.22804684249740248</v>
      </c>
      <c r="AG12" s="8">
        <f t="shared" si="13"/>
        <v>9.141216840835005E-2</v>
      </c>
      <c r="AH12" s="8">
        <f t="shared" si="14"/>
        <v>1.8403733592878981E-2</v>
      </c>
      <c r="AI12" s="8">
        <f t="shared" si="15"/>
        <v>1.9876431025999761E-2</v>
      </c>
      <c r="AJ12" s="7">
        <v>25</v>
      </c>
      <c r="AK12" s="7">
        <v>18.100000000000001</v>
      </c>
      <c r="AL12" s="8">
        <v>0.15</v>
      </c>
      <c r="AM12" s="8">
        <v>0.32500000000000001</v>
      </c>
      <c r="AN12" s="4">
        <v>0</v>
      </c>
      <c r="AO12" s="4">
        <v>-3</v>
      </c>
      <c r="AP12" s="4">
        <v>4</v>
      </c>
      <c r="AQ12" s="4">
        <v>1</v>
      </c>
      <c r="AR12" s="4">
        <v>0</v>
      </c>
      <c r="AS12" s="4">
        <v>0</v>
      </c>
      <c r="AX12"/>
      <c r="AY12"/>
    </row>
    <row r="13" spans="1:51">
      <c r="A13" s="53" t="s">
        <v>310</v>
      </c>
      <c r="B13" t="s">
        <v>278</v>
      </c>
      <c r="C13" t="s">
        <v>281</v>
      </c>
      <c r="E13" s="57" t="s">
        <v>23</v>
      </c>
      <c r="F13" s="57">
        <v>3</v>
      </c>
      <c r="G13" s="57">
        <v>9</v>
      </c>
      <c r="H13">
        <v>3.3239999999999998</v>
      </c>
      <c r="I13">
        <v>324</v>
      </c>
      <c r="J13">
        <v>198</v>
      </c>
      <c r="K13">
        <v>249</v>
      </c>
      <c r="L13">
        <v>66.7</v>
      </c>
      <c r="M13">
        <v>81</v>
      </c>
      <c r="N13">
        <v>79.3</v>
      </c>
      <c r="O13">
        <v>59</v>
      </c>
      <c r="P13">
        <v>79</v>
      </c>
      <c r="Q13">
        <v>78</v>
      </c>
      <c r="R13" s="4">
        <f t="shared" si="0"/>
        <v>128.89695194152955</v>
      </c>
      <c r="S13" s="4">
        <f t="shared" si="1"/>
        <v>133.66666666666666</v>
      </c>
      <c r="T13" s="7">
        <f t="shared" si="2"/>
        <v>131.28180930409809</v>
      </c>
      <c r="U13">
        <f t="shared" si="3"/>
        <v>12627261</v>
      </c>
      <c r="V13" s="4">
        <f t="shared" si="4"/>
        <v>79.338984026089392</v>
      </c>
      <c r="W13" s="4">
        <f t="shared" si="5"/>
        <v>82.4</v>
      </c>
      <c r="X13" s="7">
        <f t="shared" si="6"/>
        <v>80.869492013044692</v>
      </c>
      <c r="Y13" s="7">
        <f t="shared" si="7"/>
        <v>1.6233786813316649</v>
      </c>
      <c r="Z13" s="4">
        <f t="shared" si="8"/>
        <v>0.24446929530117734</v>
      </c>
      <c r="AA13" s="4">
        <f t="shared" si="16"/>
        <v>201.27919947367582</v>
      </c>
      <c r="AB13" s="4">
        <f t="shared" si="9"/>
        <v>8.4813768992982244</v>
      </c>
      <c r="AC13" s="4">
        <f t="shared" si="10"/>
        <v>6.2845150292490697</v>
      </c>
      <c r="AD13" s="4">
        <f t="shared" si="11"/>
        <v>4.9324404422475396</v>
      </c>
      <c r="AE13" s="4">
        <f t="shared" si="17"/>
        <v>1.7195092365744935</v>
      </c>
      <c r="AF13" s="4">
        <f t="shared" si="12"/>
        <v>0.22991152700809714</v>
      </c>
      <c r="AG13" s="8">
        <f t="shared" si="13"/>
        <v>9.2117393233942704E-2</v>
      </c>
      <c r="AH13" s="8">
        <f t="shared" si="14"/>
        <v>1.8925653529620633E-2</v>
      </c>
      <c r="AI13" s="8">
        <f t="shared" si="15"/>
        <v>1.8165939174743743E-2</v>
      </c>
      <c r="AL13" s="8">
        <v>0.11459999999999999</v>
      </c>
      <c r="AM13" s="8">
        <v>0.34639999999999999</v>
      </c>
      <c r="AN13" s="4">
        <v>0</v>
      </c>
      <c r="AO13" s="4">
        <v>1</v>
      </c>
      <c r="AP13" s="4">
        <v>0</v>
      </c>
      <c r="AQ13" s="4">
        <v>1</v>
      </c>
      <c r="AR13" s="4">
        <v>0</v>
      </c>
      <c r="AS13" s="4">
        <v>0</v>
      </c>
      <c r="AX13"/>
      <c r="AY13"/>
    </row>
    <row r="14" spans="1:51">
      <c r="A14" s="53" t="s">
        <v>310</v>
      </c>
      <c r="B14" t="s">
        <v>279</v>
      </c>
      <c r="C14" t="s">
        <v>281</v>
      </c>
      <c r="E14" s="57" t="s">
        <v>23</v>
      </c>
      <c r="F14" s="57">
        <v>3</v>
      </c>
      <c r="G14" s="57">
        <v>9</v>
      </c>
      <c r="H14">
        <v>3.33</v>
      </c>
      <c r="I14">
        <v>325.5</v>
      </c>
      <c r="J14">
        <v>198.8</v>
      </c>
      <c r="K14">
        <v>236.9</v>
      </c>
      <c r="L14">
        <v>64.400000000000006</v>
      </c>
      <c r="M14">
        <v>78.3</v>
      </c>
      <c r="N14">
        <v>78.8</v>
      </c>
      <c r="O14">
        <v>70.599999999999994</v>
      </c>
      <c r="P14">
        <v>72.5</v>
      </c>
      <c r="Q14">
        <v>75.8</v>
      </c>
      <c r="R14" s="4">
        <f t="shared" si="0"/>
        <v>128.80572397513049</v>
      </c>
      <c r="S14" s="4">
        <f t="shared" si="1"/>
        <v>133.22222222222223</v>
      </c>
      <c r="T14" s="7">
        <f t="shared" si="2"/>
        <v>131.01397309867636</v>
      </c>
      <c r="U14">
        <f t="shared" si="3"/>
        <v>12009678.256000001</v>
      </c>
      <c r="V14" s="4">
        <f t="shared" si="4"/>
        <v>77.38458138164836</v>
      </c>
      <c r="W14" s="4">
        <f t="shared" si="5"/>
        <v>80.453333333333333</v>
      </c>
      <c r="X14" s="7">
        <f t="shared" si="6"/>
        <v>78.918957357490854</v>
      </c>
      <c r="Y14" s="7">
        <f t="shared" si="7"/>
        <v>1.6601077546577689</v>
      </c>
      <c r="Z14" s="4">
        <f t="shared" si="8"/>
        <v>0.24917743844445542</v>
      </c>
      <c r="AA14" s="4">
        <f t="shared" si="16"/>
        <v>197.16756199307528</v>
      </c>
      <c r="AB14" s="4">
        <f t="shared" si="9"/>
        <v>8.4227500016437293</v>
      </c>
      <c r="AC14" s="4">
        <f t="shared" si="10"/>
        <v>6.2724425437837192</v>
      </c>
      <c r="AD14" s="4">
        <f t="shared" si="11"/>
        <v>4.8682015769523241</v>
      </c>
      <c r="AE14" s="4">
        <f t="shared" si="17"/>
        <v>1.730156376744918</v>
      </c>
      <c r="AF14" s="4">
        <f t="shared" si="12"/>
        <v>0.23256734764893761</v>
      </c>
      <c r="AG14" s="8">
        <f t="shared" si="13"/>
        <v>9.3266566532035688E-2</v>
      </c>
      <c r="AH14" s="8">
        <f t="shared" si="14"/>
        <v>1.9442425840625305E-2</v>
      </c>
      <c r="AI14" s="8">
        <f t="shared" si="15"/>
        <v>1.6855065695035996E-2</v>
      </c>
      <c r="AJ14" s="7">
        <v>24.5</v>
      </c>
      <c r="AK14" s="7">
        <v>18.3</v>
      </c>
      <c r="AL14" s="8">
        <v>0.1452</v>
      </c>
      <c r="AM14" s="8">
        <v>0.34300000000000003</v>
      </c>
      <c r="AN14" s="4">
        <v>0</v>
      </c>
      <c r="AO14" s="4">
        <v>25</v>
      </c>
      <c r="AP14" s="4">
        <v>-31</v>
      </c>
      <c r="AQ14" s="4">
        <v>1</v>
      </c>
      <c r="AR14" s="4">
        <v>0</v>
      </c>
      <c r="AS14" s="4">
        <v>0</v>
      </c>
      <c r="AX14"/>
      <c r="AY14"/>
    </row>
    <row r="15" spans="1:51">
      <c r="A15" s="53" t="s">
        <v>310</v>
      </c>
      <c r="B15" t="s">
        <v>279</v>
      </c>
      <c r="C15" t="s">
        <v>281</v>
      </c>
      <c r="E15" s="57" t="s">
        <v>23</v>
      </c>
      <c r="F15" s="57">
        <v>3</v>
      </c>
      <c r="G15" s="57">
        <v>9</v>
      </c>
      <c r="H15">
        <v>3.2989999999999999</v>
      </c>
      <c r="I15">
        <v>319</v>
      </c>
      <c r="J15">
        <v>192</v>
      </c>
      <c r="K15">
        <v>238</v>
      </c>
      <c r="L15">
        <v>63.8</v>
      </c>
      <c r="M15">
        <v>78.3</v>
      </c>
      <c r="N15">
        <v>79.7</v>
      </c>
      <c r="O15">
        <v>59</v>
      </c>
      <c r="P15">
        <v>76</v>
      </c>
      <c r="Q15">
        <v>72</v>
      </c>
      <c r="R15" s="4">
        <f t="shared" si="0"/>
        <v>124.23024917493511</v>
      </c>
      <c r="S15" s="4">
        <f t="shared" si="1"/>
        <v>129.22222222222223</v>
      </c>
      <c r="T15" s="7">
        <f t="shared" si="2"/>
        <v>126.72623569857868</v>
      </c>
      <c r="U15">
        <f t="shared" si="3"/>
        <v>11631554</v>
      </c>
      <c r="V15" s="4">
        <f t="shared" si="4"/>
        <v>77.416083928550876</v>
      </c>
      <c r="W15" s="4">
        <f t="shared" si="5"/>
        <v>80.493333333333339</v>
      </c>
      <c r="X15" s="7">
        <f t="shared" si="6"/>
        <v>78.954708630942108</v>
      </c>
      <c r="Y15" s="7">
        <f t="shared" si="7"/>
        <v>1.6050497544223101</v>
      </c>
      <c r="Z15" s="4">
        <f t="shared" si="8"/>
        <v>0.24205305279519082</v>
      </c>
      <c r="AA15" s="4">
        <f t="shared" si="16"/>
        <v>196.13187377523292</v>
      </c>
      <c r="AB15" s="4">
        <f t="shared" si="9"/>
        <v>8.3859461191192963</v>
      </c>
      <c r="AC15" s="4">
        <f t="shared" si="10"/>
        <v>6.1978649605559548</v>
      </c>
      <c r="AD15" s="4">
        <f t="shared" si="11"/>
        <v>4.8921285431408643</v>
      </c>
      <c r="AE15" s="4">
        <f t="shared" si="17"/>
        <v>1.7141712539170766</v>
      </c>
      <c r="AF15" s="4">
        <f t="shared" si="12"/>
        <v>0.23893065398187296</v>
      </c>
      <c r="AG15" s="8">
        <f t="shared" si="13"/>
        <v>9.5651658810883486E-2</v>
      </c>
      <c r="AH15" s="8">
        <f t="shared" si="14"/>
        <v>1.9487434366748452E-2</v>
      </c>
      <c r="AI15" s="8">
        <f t="shared" si="15"/>
        <v>1.969589414444789E-2</v>
      </c>
      <c r="AJ15" s="7">
        <v>25.2</v>
      </c>
      <c r="AK15" s="7">
        <v>17.3</v>
      </c>
      <c r="AL15" s="8">
        <v>0.1222</v>
      </c>
      <c r="AM15" s="8">
        <v>0.34</v>
      </c>
      <c r="AN15" s="4">
        <v>0</v>
      </c>
      <c r="AO15" s="4">
        <v>1</v>
      </c>
      <c r="AP15" s="4">
        <v>0</v>
      </c>
      <c r="AQ15" s="4">
        <v>1</v>
      </c>
      <c r="AR15" s="4">
        <v>0</v>
      </c>
      <c r="AS15" s="4">
        <v>0</v>
      </c>
      <c r="AX15"/>
      <c r="AY15"/>
    </row>
    <row r="16" spans="1:51">
      <c r="A16" s="53" t="s">
        <v>310</v>
      </c>
      <c r="B16" t="s">
        <v>280</v>
      </c>
      <c r="C16" t="s">
        <v>281</v>
      </c>
      <c r="E16" s="57" t="s">
        <v>23</v>
      </c>
      <c r="F16" s="57">
        <v>3</v>
      </c>
      <c r="G16" s="57">
        <v>9</v>
      </c>
      <c r="H16">
        <v>3.3109999999999999</v>
      </c>
      <c r="I16">
        <v>323.7</v>
      </c>
      <c r="J16">
        <v>197.6</v>
      </c>
      <c r="K16">
        <v>235.1</v>
      </c>
      <c r="L16">
        <v>64.599999999999994</v>
      </c>
      <c r="M16">
        <v>78.099999999999994</v>
      </c>
      <c r="N16">
        <v>79</v>
      </c>
      <c r="O16">
        <v>66.400000000000006</v>
      </c>
      <c r="P16">
        <v>71.599999999999994</v>
      </c>
      <c r="Q16">
        <v>75.599999999999994</v>
      </c>
      <c r="R16" s="4">
        <f t="shared" si="0"/>
        <v>127.24386709966451</v>
      </c>
      <c r="S16" s="4">
        <f t="shared" si="1"/>
        <v>131.51111111111109</v>
      </c>
      <c r="T16" s="7">
        <f t="shared" si="2"/>
        <v>129.37748910538781</v>
      </c>
      <c r="U16">
        <f t="shared" si="3"/>
        <v>11856953.816</v>
      </c>
      <c r="V16" s="4">
        <f t="shared" si="4"/>
        <v>77.408640658257923</v>
      </c>
      <c r="W16" s="4">
        <f t="shared" si="5"/>
        <v>80.526666666666657</v>
      </c>
      <c r="X16" s="7">
        <f t="shared" si="6"/>
        <v>78.967653662462283</v>
      </c>
      <c r="Y16" s="7">
        <f t="shared" si="7"/>
        <v>1.6383605578354434</v>
      </c>
      <c r="Z16" s="4">
        <f t="shared" si="8"/>
        <v>0.24641094023798443</v>
      </c>
      <c r="AA16" s="4">
        <f t="shared" si="16"/>
        <v>196.85229489963422</v>
      </c>
      <c r="AB16" s="4">
        <f t="shared" si="9"/>
        <v>8.4187393265252446</v>
      </c>
      <c r="AC16" s="4">
        <f t="shared" si="10"/>
        <v>6.2510038844727243</v>
      </c>
      <c r="AD16" s="4">
        <f t="shared" si="11"/>
        <v>4.8836555686511351</v>
      </c>
      <c r="AE16" s="4">
        <f t="shared" si="17"/>
        <v>1.7238601715825956</v>
      </c>
      <c r="AF16" s="4">
        <f t="shared" si="12"/>
        <v>0.2349363355100742</v>
      </c>
      <c r="AG16" s="8">
        <f t="shared" si="13"/>
        <v>9.4262197455447644E-2</v>
      </c>
      <c r="AH16" s="8">
        <f t="shared" si="14"/>
        <v>1.9742425308319024E-2</v>
      </c>
      <c r="AI16" s="8">
        <f t="shared" si="15"/>
        <v>1.6491447008878737E-2</v>
      </c>
      <c r="AL16" s="8">
        <v>0.14019999999999999</v>
      </c>
      <c r="AM16" s="8">
        <v>0.34289999999999998</v>
      </c>
      <c r="AN16" s="4">
        <v>0</v>
      </c>
      <c r="AO16" s="4">
        <v>4</v>
      </c>
      <c r="AP16" s="4">
        <v>-3</v>
      </c>
      <c r="AQ16" s="4">
        <v>1</v>
      </c>
      <c r="AR16" s="4">
        <v>0</v>
      </c>
      <c r="AS16" s="4">
        <v>0</v>
      </c>
      <c r="AX16"/>
      <c r="AY16"/>
    </row>
    <row r="17" spans="1:51">
      <c r="A17" s="53" t="s">
        <v>302</v>
      </c>
      <c r="B17" s="34" t="s">
        <v>301</v>
      </c>
      <c r="C17" s="34" t="s">
        <v>281</v>
      </c>
      <c r="D17" s="34"/>
      <c r="E17" s="57" t="s">
        <v>23</v>
      </c>
      <c r="F17" s="57">
        <v>3</v>
      </c>
      <c r="G17" s="57">
        <v>9</v>
      </c>
      <c r="H17">
        <v>4.4000000000000004</v>
      </c>
      <c r="I17">
        <v>267</v>
      </c>
      <c r="J17">
        <v>173.6</v>
      </c>
      <c r="K17">
        <v>239.2</v>
      </c>
      <c r="L17">
        <v>32.4</v>
      </c>
      <c r="M17">
        <v>46.7</v>
      </c>
      <c r="N17">
        <v>57.3</v>
      </c>
      <c r="O17">
        <v>95.2</v>
      </c>
      <c r="P17">
        <v>98.7</v>
      </c>
      <c r="Q17">
        <v>97.9</v>
      </c>
      <c r="R17" s="4">
        <f t="shared" si="0"/>
        <v>135.54381084347688</v>
      </c>
      <c r="S17" s="4">
        <f t="shared" si="1"/>
        <v>140.37777777777779</v>
      </c>
      <c r="T17" s="7">
        <f t="shared" si="2"/>
        <v>137.96079431062734</v>
      </c>
      <c r="U17">
        <f t="shared" si="3"/>
        <v>6508916.8099999987</v>
      </c>
      <c r="V17" s="4">
        <f t="shared" si="4"/>
        <v>48.678868365771457</v>
      </c>
      <c r="W17" s="4">
        <f t="shared" si="5"/>
        <v>53.146666666666654</v>
      </c>
      <c r="X17" s="7">
        <f t="shared" si="6"/>
        <v>50.912767516219056</v>
      </c>
      <c r="Y17" s="7">
        <f t="shared" si="7"/>
        <v>2.7097484784475285</v>
      </c>
      <c r="Z17" s="4">
        <f t="shared" si="8"/>
        <v>0.33569288276630604</v>
      </c>
      <c r="AA17" s="4">
        <f t="shared" si="16"/>
        <v>136.00764242669874</v>
      </c>
      <c r="AB17" s="4">
        <f t="shared" si="9"/>
        <v>6.8397980487905672</v>
      </c>
      <c r="AC17" s="4">
        <f t="shared" si="10"/>
        <v>5.599529085529249</v>
      </c>
      <c r="AD17" s="4">
        <f t="shared" si="11"/>
        <v>3.4016295398548944</v>
      </c>
      <c r="AE17" s="4">
        <f t="shared" si="17"/>
        <v>2.0107416074127631</v>
      </c>
      <c r="AF17" s="4">
        <f t="shared" si="12"/>
        <v>0.49456881845317735</v>
      </c>
      <c r="AG17" s="8">
        <f t="shared" si="13"/>
        <v>0.19945240906996473</v>
      </c>
      <c r="AH17" s="8">
        <f t="shared" si="14"/>
        <v>4.3876993128215927E-2</v>
      </c>
      <c r="AI17" s="8">
        <f t="shared" si="15"/>
        <v>1.7519350183708496E-2</v>
      </c>
      <c r="AL17" s="8">
        <v>0.1595</v>
      </c>
      <c r="AM17" s="8">
        <v>0.56279999999999997</v>
      </c>
      <c r="AN17" s="4">
        <v>0</v>
      </c>
      <c r="AO17" s="4">
        <v>25</v>
      </c>
      <c r="AP17" s="4">
        <v>-31</v>
      </c>
      <c r="AQ17" s="4">
        <v>1</v>
      </c>
      <c r="AR17" s="4">
        <v>0</v>
      </c>
      <c r="AS17" s="4">
        <v>0</v>
      </c>
      <c r="AX17"/>
      <c r="AY17"/>
    </row>
    <row r="18" spans="1:51">
      <c r="A18" s="53" t="s">
        <v>302</v>
      </c>
      <c r="B18" s="34" t="s">
        <v>301</v>
      </c>
      <c r="C18" s="34" t="s">
        <v>281</v>
      </c>
      <c r="D18" s="34"/>
      <c r="E18" s="57" t="s">
        <v>23</v>
      </c>
      <c r="F18" s="57">
        <v>3</v>
      </c>
      <c r="G18" s="57">
        <v>9</v>
      </c>
      <c r="H18">
        <v>4.3929999999999998</v>
      </c>
      <c r="I18">
        <v>266</v>
      </c>
      <c r="J18">
        <v>168</v>
      </c>
      <c r="K18">
        <v>232</v>
      </c>
      <c r="L18">
        <v>32.299999999999997</v>
      </c>
      <c r="M18">
        <v>46.5</v>
      </c>
      <c r="N18">
        <v>57</v>
      </c>
      <c r="O18">
        <v>94</v>
      </c>
      <c r="P18">
        <v>92</v>
      </c>
      <c r="Q18">
        <v>92</v>
      </c>
      <c r="R18" s="4">
        <f t="shared" si="0"/>
        <v>130.83340327318507</v>
      </c>
      <c r="S18" s="4">
        <f t="shared" si="1"/>
        <v>135.77777777777777</v>
      </c>
      <c r="T18" s="7">
        <f t="shared" si="2"/>
        <v>133.30559052548142</v>
      </c>
      <c r="U18">
        <f t="shared" si="3"/>
        <v>6235520</v>
      </c>
      <c r="V18" s="4">
        <f t="shared" si="4"/>
        <v>48.412940056520299</v>
      </c>
      <c r="W18" s="4">
        <f t="shared" si="5"/>
        <v>53.026666666666671</v>
      </c>
      <c r="X18" s="7">
        <f t="shared" si="6"/>
        <v>50.719803361593485</v>
      </c>
      <c r="Y18" s="7">
        <f t="shared" si="7"/>
        <v>2.6282749870916162</v>
      </c>
      <c r="Z18" s="4">
        <f t="shared" si="8"/>
        <v>0.3311728135852019</v>
      </c>
      <c r="AA18" s="4">
        <f t="shared" si="16"/>
        <v>135.03364669068117</v>
      </c>
      <c r="AB18" s="4">
        <f t="shared" si="9"/>
        <v>6.7630709961037407</v>
      </c>
      <c r="AC18" s="4">
        <f t="shared" si="10"/>
        <v>5.5086297078123039</v>
      </c>
      <c r="AD18" s="4">
        <f t="shared" si="11"/>
        <v>3.3978811089281118</v>
      </c>
      <c r="AE18" s="4">
        <f t="shared" si="17"/>
        <v>1.990378938902075</v>
      </c>
      <c r="AF18" s="4">
        <f t="shared" si="12"/>
        <v>0.51428863243632339</v>
      </c>
      <c r="AG18" s="8">
        <f t="shared" si="13"/>
        <v>0.20689688714938331</v>
      </c>
      <c r="AH18" s="8">
        <f t="shared" si="14"/>
        <v>4.5482497016540294E-2</v>
      </c>
      <c r="AI18" s="8">
        <f t="shared" si="15"/>
        <v>1.854526312475838E-2</v>
      </c>
      <c r="AL18" s="8">
        <v>0.15570000000000001</v>
      </c>
      <c r="AM18" s="8">
        <v>0.55269999999999997</v>
      </c>
      <c r="AN18" s="4">
        <v>0</v>
      </c>
      <c r="AO18" s="4">
        <v>23</v>
      </c>
      <c r="AP18" s="4">
        <v>33</v>
      </c>
      <c r="AQ18" s="4">
        <v>1</v>
      </c>
      <c r="AR18" s="4">
        <v>0</v>
      </c>
      <c r="AS18" s="4">
        <v>0</v>
      </c>
      <c r="AX18"/>
      <c r="AY18"/>
    </row>
    <row r="19" spans="1:51" ht="13.5" customHeight="1">
      <c r="A19" s="53" t="s">
        <v>302</v>
      </c>
      <c r="B19" s="34" t="s">
        <v>301</v>
      </c>
      <c r="C19" s="34" t="s">
        <v>281</v>
      </c>
      <c r="D19" s="34"/>
      <c r="E19" s="57" t="s">
        <v>23</v>
      </c>
      <c r="F19" s="57">
        <v>3</v>
      </c>
      <c r="G19" s="57">
        <v>9</v>
      </c>
      <c r="H19">
        <v>4.38</v>
      </c>
      <c r="I19">
        <v>265.89999999999998</v>
      </c>
      <c r="J19">
        <v>160.30000000000001</v>
      </c>
      <c r="K19">
        <v>222.4</v>
      </c>
      <c r="L19">
        <v>31.6</v>
      </c>
      <c r="M19">
        <v>46.7</v>
      </c>
      <c r="N19">
        <v>57.2</v>
      </c>
      <c r="O19">
        <v>92</v>
      </c>
      <c r="P19">
        <v>81</v>
      </c>
      <c r="Q19">
        <v>88</v>
      </c>
      <c r="R19" s="4">
        <f t="shared" si="0"/>
        <v>125.20938748581415</v>
      </c>
      <c r="S19" s="4">
        <f t="shared" si="1"/>
        <v>130.06666666666666</v>
      </c>
      <c r="T19" s="7">
        <f t="shared" si="2"/>
        <v>127.63802707624041</v>
      </c>
      <c r="U19">
        <f t="shared" si="3"/>
        <v>5797826.9479999999</v>
      </c>
      <c r="V19" s="4">
        <f t="shared" si="4"/>
        <v>47.726605661032067</v>
      </c>
      <c r="W19" s="4">
        <f t="shared" si="5"/>
        <v>52.940000000000005</v>
      </c>
      <c r="X19" s="7">
        <f t="shared" si="6"/>
        <v>50.333302830516033</v>
      </c>
      <c r="Y19" s="7">
        <f t="shared" si="7"/>
        <v>2.5358563793444553</v>
      </c>
      <c r="Z19" s="4">
        <f t="shared" si="8"/>
        <v>0.3257347718100681</v>
      </c>
      <c r="AA19" s="4">
        <f t="shared" si="16"/>
        <v>133.45721948492246</v>
      </c>
      <c r="AB19" s="4">
        <f t="shared" si="9"/>
        <v>6.6680780044381107</v>
      </c>
      <c r="AC19" s="4">
        <f t="shared" si="10"/>
        <v>5.3982499082759228</v>
      </c>
      <c r="AD19" s="4">
        <f t="shared" si="11"/>
        <v>3.3899294462868617</v>
      </c>
      <c r="AE19" s="4">
        <f t="shared" si="17"/>
        <v>1.9670256004124065</v>
      </c>
      <c r="AF19" s="4">
        <f t="shared" si="12"/>
        <v>0.58496600575421631</v>
      </c>
      <c r="AG19" s="8">
        <f t="shared" si="13"/>
        <v>0.23491716842692789</v>
      </c>
      <c r="AH19" s="8">
        <f t="shared" si="14"/>
        <v>5.1788716871239822E-2</v>
      </c>
      <c r="AI19" s="8">
        <f t="shared" si="15"/>
        <v>1.9027555079455978E-2</v>
      </c>
      <c r="AL19" s="8">
        <v>0.13619999999999999</v>
      </c>
      <c r="AM19" s="8">
        <v>0.55489999999999995</v>
      </c>
      <c r="AN19" s="4">
        <v>0</v>
      </c>
      <c r="AO19" s="4">
        <v>4</v>
      </c>
      <c r="AP19" s="4">
        <v>9</v>
      </c>
      <c r="AQ19" s="4">
        <v>1</v>
      </c>
      <c r="AR19" s="4">
        <v>0</v>
      </c>
      <c r="AS19" s="4">
        <v>0</v>
      </c>
      <c r="AX19"/>
      <c r="AY19"/>
    </row>
    <row r="20" spans="1:51" s="20" customFormat="1" ht="14.25" customHeight="1">
      <c r="A20" s="53" t="s">
        <v>266</v>
      </c>
      <c r="B20" t="s">
        <v>265</v>
      </c>
      <c r="C20" t="s">
        <v>281</v>
      </c>
      <c r="D20"/>
      <c r="E20" s="57" t="s">
        <v>23</v>
      </c>
      <c r="F20" s="57">
        <v>3</v>
      </c>
      <c r="G20" s="57">
        <v>9</v>
      </c>
      <c r="H20">
        <v>3.1160000000000001</v>
      </c>
      <c r="I20">
        <v>215.9</v>
      </c>
      <c r="J20">
        <v>149.6</v>
      </c>
      <c r="K20">
        <v>183.5</v>
      </c>
      <c r="L20">
        <v>50.6</v>
      </c>
      <c r="M20">
        <v>56.5</v>
      </c>
      <c r="N20">
        <v>59.2</v>
      </c>
      <c r="O20">
        <v>59.4</v>
      </c>
      <c r="P20">
        <v>71</v>
      </c>
      <c r="Q20">
        <v>77.400000000000006</v>
      </c>
      <c r="R20" s="4">
        <f t="shared" si="0"/>
        <v>105.09261308991924</v>
      </c>
      <c r="S20" s="4">
        <f t="shared" si="1"/>
        <v>107.17777777777778</v>
      </c>
      <c r="T20" s="7">
        <f t="shared" si="2"/>
        <v>106.13519543384851</v>
      </c>
      <c r="U20">
        <f t="shared" si="3"/>
        <v>3884661.216</v>
      </c>
      <c r="V20" s="4">
        <f t="shared" si="4"/>
        <v>54.541607151253316</v>
      </c>
      <c r="W20" s="4">
        <f t="shared" si="5"/>
        <v>56.006666666666668</v>
      </c>
      <c r="X20" s="7">
        <f t="shared" si="6"/>
        <v>55.274136908959989</v>
      </c>
      <c r="Y20" s="7">
        <f t="shared" si="7"/>
        <v>1.9201601575192375</v>
      </c>
      <c r="Z20" s="4">
        <f t="shared" si="8"/>
        <v>0.27812227901717457</v>
      </c>
      <c r="AA20" s="4">
        <f t="shared" si="16"/>
        <v>141.29421167357452</v>
      </c>
      <c r="AB20" s="4">
        <f t="shared" si="9"/>
        <v>7.5969143761005578</v>
      </c>
      <c r="AC20" s="4">
        <f t="shared" si="10"/>
        <v>5.8362110357218535</v>
      </c>
      <c r="AD20" s="4">
        <f t="shared" si="11"/>
        <v>4.2117468570940169</v>
      </c>
      <c r="AE20" s="4">
        <f t="shared" si="17"/>
        <v>1.8037442975246163</v>
      </c>
      <c r="AF20" s="4">
        <f t="shared" si="12"/>
        <v>0.15414780641835257</v>
      </c>
      <c r="AG20" s="8">
        <f t="shared" si="13"/>
        <v>6.2442593604085335E-2</v>
      </c>
      <c r="AH20" s="8">
        <f t="shared" si="14"/>
        <v>1.3252667498240608E-2</v>
      </c>
      <c r="AI20" s="8">
        <f t="shared" si="15"/>
        <v>9.8231537584446693E-3</v>
      </c>
      <c r="AJ20" s="7"/>
      <c r="AK20" s="7"/>
      <c r="AL20" s="8">
        <v>0.15629999999999999</v>
      </c>
      <c r="AM20" s="8">
        <v>0.43419999999999997</v>
      </c>
      <c r="AN20" s="4">
        <v>0</v>
      </c>
      <c r="AO20" s="4">
        <v>1</v>
      </c>
      <c r="AP20" s="4">
        <v>0</v>
      </c>
      <c r="AQ20" s="4">
        <v>1</v>
      </c>
      <c r="AR20" s="4">
        <v>0</v>
      </c>
      <c r="AS20" s="4">
        <v>0</v>
      </c>
    </row>
    <row r="21" spans="1:51">
      <c r="A21" s="53" t="s">
        <v>313</v>
      </c>
      <c r="B21" t="s">
        <v>312</v>
      </c>
      <c r="C21" t="s">
        <v>281</v>
      </c>
      <c r="E21" s="57" t="s">
        <v>23</v>
      </c>
      <c r="F21" s="57">
        <v>3</v>
      </c>
      <c r="G21" s="57">
        <v>9</v>
      </c>
      <c r="H21">
        <v>4.1289999999999996</v>
      </c>
      <c r="I21">
        <v>258.39999999999998</v>
      </c>
      <c r="J21">
        <v>165.6</v>
      </c>
      <c r="K21">
        <v>206.8</v>
      </c>
      <c r="L21">
        <v>45.3</v>
      </c>
      <c r="M21">
        <v>55.6</v>
      </c>
      <c r="N21">
        <v>57.8</v>
      </c>
      <c r="O21">
        <v>87.1</v>
      </c>
      <c r="P21">
        <v>95.2</v>
      </c>
      <c r="Q21">
        <v>91.7</v>
      </c>
      <c r="R21" s="4">
        <f t="shared" si="0"/>
        <v>126.63835418714589</v>
      </c>
      <c r="S21" s="4">
        <f t="shared" si="1"/>
        <v>130.97777777777776</v>
      </c>
      <c r="T21" s="7">
        <f t="shared" si="2"/>
        <v>128.80806598246181</v>
      </c>
      <c r="U21">
        <f t="shared" si="3"/>
        <v>5127359.0120000001</v>
      </c>
      <c r="V21" s="4">
        <f t="shared" si="4"/>
        <v>53.63865570994151</v>
      </c>
      <c r="W21" s="4">
        <f t="shared" si="5"/>
        <v>55.526666666666657</v>
      </c>
      <c r="X21" s="7">
        <f t="shared" si="6"/>
        <v>54.582661188304087</v>
      </c>
      <c r="Y21" s="7">
        <f t="shared" si="7"/>
        <v>2.3598714899240321</v>
      </c>
      <c r="Z21" s="4">
        <f t="shared" si="8"/>
        <v>0.31434757739841629</v>
      </c>
      <c r="AA21" s="4">
        <f t="shared" si="16"/>
        <v>143.48117700161208</v>
      </c>
      <c r="AB21" s="4">
        <f t="shared" si="9"/>
        <v>6.9872552485695305</v>
      </c>
      <c r="AC21" s="4">
        <f t="shared" si="10"/>
        <v>5.5853332217930349</v>
      </c>
      <c r="AD21" s="4">
        <f t="shared" si="11"/>
        <v>3.635841241397666</v>
      </c>
      <c r="AE21" s="4">
        <f t="shared" si="17"/>
        <v>1.921771272357188</v>
      </c>
      <c r="AF21" s="4">
        <f t="shared" si="12"/>
        <v>0.21025976703393123</v>
      </c>
      <c r="AG21" s="8">
        <f t="shared" si="13"/>
        <v>8.4372275189091531E-2</v>
      </c>
      <c r="AH21" s="8">
        <f t="shared" si="14"/>
        <v>1.7294969827613568E-2</v>
      </c>
      <c r="AI21" s="8">
        <f t="shared" si="15"/>
        <v>1.684453359940484E-2</v>
      </c>
      <c r="AL21" s="8">
        <v>0.2089</v>
      </c>
      <c r="AM21" s="8">
        <v>0.4375</v>
      </c>
      <c r="AN21" s="4">
        <v>0</v>
      </c>
      <c r="AO21" s="4">
        <v>37</v>
      </c>
      <c r="AP21" s="4">
        <v>15</v>
      </c>
      <c r="AQ21" s="4">
        <v>1</v>
      </c>
      <c r="AR21" s="4">
        <v>0</v>
      </c>
      <c r="AS21" s="4">
        <v>0</v>
      </c>
      <c r="AX21"/>
      <c r="AY21"/>
    </row>
    <row r="22" spans="1:51">
      <c r="A22" s="53" t="s">
        <v>285</v>
      </c>
      <c r="B22" t="s">
        <v>284</v>
      </c>
      <c r="C22" t="s">
        <v>281</v>
      </c>
      <c r="E22" s="57" t="s">
        <v>23</v>
      </c>
      <c r="F22" s="57">
        <v>3</v>
      </c>
      <c r="G22" s="57">
        <v>4</v>
      </c>
      <c r="H22" s="8">
        <v>3.72</v>
      </c>
      <c r="I22">
        <v>528</v>
      </c>
      <c r="J22">
        <v>439</v>
      </c>
      <c r="K22">
        <v>466</v>
      </c>
      <c r="L22">
        <v>144.4</v>
      </c>
      <c r="M22">
        <v>145.80000000000001</v>
      </c>
      <c r="N22">
        <v>151.80000000000001</v>
      </c>
      <c r="O22">
        <v>125</v>
      </c>
      <c r="P22">
        <v>111</v>
      </c>
      <c r="Q22">
        <v>128</v>
      </c>
      <c r="R22" s="4">
        <f t="shared" si="0"/>
        <v>239.24796883783583</v>
      </c>
      <c r="S22" s="4">
        <f t="shared" si="1"/>
        <v>240.11111111111111</v>
      </c>
      <c r="T22" s="7">
        <f t="shared" si="2"/>
        <v>239.67953997447347</v>
      </c>
      <c r="U22">
        <f t="shared" si="3"/>
        <v>90226151</v>
      </c>
      <c r="V22" s="4">
        <f t="shared" si="4"/>
        <v>157.58390988347909</v>
      </c>
      <c r="W22" s="4">
        <f t="shared" si="5"/>
        <v>159.66666666666666</v>
      </c>
      <c r="X22" s="7">
        <f t="shared" si="6"/>
        <v>158.62528827507288</v>
      </c>
      <c r="Y22" s="7">
        <f t="shared" si="7"/>
        <v>1.5109793815399977</v>
      </c>
      <c r="Z22" s="4">
        <f t="shared" si="8"/>
        <v>0.22889630052008808</v>
      </c>
      <c r="AA22" s="4">
        <f t="shared" si="16"/>
        <v>389.86805986033914</v>
      </c>
      <c r="AB22" s="4">
        <f t="shared" si="9"/>
        <v>11.012943561926669</v>
      </c>
      <c r="AC22" s="4">
        <f t="shared" si="10"/>
        <v>8.0268290042896613</v>
      </c>
      <c r="AD22" s="4">
        <f t="shared" si="11"/>
        <v>6.5300234705211606</v>
      </c>
      <c r="AE22" s="4">
        <f t="shared" si="17"/>
        <v>1.6865090319572353</v>
      </c>
      <c r="AF22" s="4">
        <f t="shared" si="12"/>
        <v>6.9691786770059494E-2</v>
      </c>
      <c r="AG22" s="8">
        <f t="shared" si="13"/>
        <v>2.9580124634279756E-2</v>
      </c>
      <c r="AH22" s="8">
        <f t="shared" si="14"/>
        <v>6.5650212706811414E-3</v>
      </c>
      <c r="AI22" s="8">
        <f t="shared" si="15"/>
        <v>1.8006173438233687E-3</v>
      </c>
      <c r="AL22" s="8">
        <v>0.15110000000000001</v>
      </c>
      <c r="AM22" s="8">
        <v>0.29289999999999999</v>
      </c>
      <c r="AN22" s="4">
        <v>0</v>
      </c>
      <c r="AO22" s="4">
        <v>11</v>
      </c>
      <c r="AP22" s="4">
        <v>38</v>
      </c>
      <c r="AQ22" s="4">
        <v>1</v>
      </c>
      <c r="AR22" s="4">
        <v>0</v>
      </c>
      <c r="AS22" s="4">
        <v>0</v>
      </c>
      <c r="AX22"/>
      <c r="AY22"/>
    </row>
    <row r="23" spans="1:51">
      <c r="A23" s="53" t="s">
        <v>656</v>
      </c>
      <c r="B23" t="s">
        <v>19</v>
      </c>
      <c r="C23" t="s">
        <v>281</v>
      </c>
      <c r="E23" s="57" t="s">
        <v>23</v>
      </c>
      <c r="F23" s="57">
        <v>3</v>
      </c>
      <c r="G23" s="57">
        <v>9</v>
      </c>
      <c r="H23">
        <v>4.9329999999999998</v>
      </c>
      <c r="I23">
        <v>340</v>
      </c>
      <c r="J23">
        <v>238</v>
      </c>
      <c r="K23">
        <v>253</v>
      </c>
      <c r="L23">
        <v>71</v>
      </c>
      <c r="M23">
        <v>87</v>
      </c>
      <c r="N23">
        <v>78</v>
      </c>
      <c r="O23">
        <v>109</v>
      </c>
      <c r="P23">
        <v>110</v>
      </c>
      <c r="Q23">
        <v>113</v>
      </c>
      <c r="R23" s="4">
        <f t="shared" si="0"/>
        <v>162.9111588954278</v>
      </c>
      <c r="S23" s="4">
        <f t="shared" si="1"/>
        <v>166.11111111111111</v>
      </c>
      <c r="T23" s="7">
        <f t="shared" si="2"/>
        <v>164.51113500326946</v>
      </c>
      <c r="U23">
        <f t="shared" si="3"/>
        <v>12955347</v>
      </c>
      <c r="V23" s="4">
        <f t="shared" si="4"/>
        <v>78.491765857548202</v>
      </c>
      <c r="W23" s="4">
        <f t="shared" si="5"/>
        <v>80.466666666666669</v>
      </c>
      <c r="X23" s="7">
        <f t="shared" si="6"/>
        <v>79.479216262107428</v>
      </c>
      <c r="Y23" s="7">
        <f t="shared" si="7"/>
        <v>2.0698635786838011</v>
      </c>
      <c r="Z23" s="4">
        <f t="shared" si="8"/>
        <v>0.29194380722621571</v>
      </c>
      <c r="AA23" s="4">
        <f t="shared" si="16"/>
        <v>205.36536250604567</v>
      </c>
      <c r="AB23" s="4">
        <f t="shared" si="9"/>
        <v>7.4048244932575482</v>
      </c>
      <c r="AC23" s="4">
        <f t="shared" si="10"/>
        <v>5.7748683974405726</v>
      </c>
      <c r="AD23" s="4">
        <f t="shared" si="11"/>
        <v>4.013943270169845</v>
      </c>
      <c r="AE23" s="4">
        <f t="shared" si="17"/>
        <v>1.8447755722626897</v>
      </c>
      <c r="AF23" s="4">
        <f t="shared" si="12"/>
        <v>0.14544537086282805</v>
      </c>
      <c r="AG23" s="8">
        <f t="shared" si="13"/>
        <v>5.8871158398615335E-2</v>
      </c>
      <c r="AH23" s="8">
        <f t="shared" si="14"/>
        <v>1.2424007822407414E-2</v>
      </c>
      <c r="AI23" s="8">
        <f t="shared" si="15"/>
        <v>9.7256401994300131E-3</v>
      </c>
      <c r="AL23" s="8">
        <v>0.20080000000000001</v>
      </c>
      <c r="AM23" s="8">
        <v>0.38279999999999997</v>
      </c>
      <c r="AN23" s="4">
        <v>0</v>
      </c>
      <c r="AO23" s="4">
        <v>0</v>
      </c>
      <c r="AP23" s="4">
        <v>1</v>
      </c>
      <c r="AQ23" s="4">
        <v>1</v>
      </c>
      <c r="AR23" s="4">
        <v>0</v>
      </c>
      <c r="AS23" s="4">
        <v>0</v>
      </c>
      <c r="AX23"/>
      <c r="AY23"/>
    </row>
    <row r="24" spans="1:51">
      <c r="B24" t="s">
        <v>659</v>
      </c>
      <c r="E24" s="57" t="s">
        <v>23</v>
      </c>
      <c r="F24" s="57">
        <v>3</v>
      </c>
      <c r="G24" s="57">
        <v>11</v>
      </c>
      <c r="H24">
        <v>4.7060000000000004</v>
      </c>
      <c r="I24">
        <v>307.8</v>
      </c>
      <c r="J24">
        <v>194.7</v>
      </c>
      <c r="K24">
        <v>234.2</v>
      </c>
      <c r="L24">
        <v>46.7</v>
      </c>
      <c r="M24">
        <v>63.9</v>
      </c>
      <c r="N24">
        <v>64.8</v>
      </c>
      <c r="O24">
        <v>101.6</v>
      </c>
      <c r="P24">
        <v>105</v>
      </c>
      <c r="Q24">
        <v>103.2</v>
      </c>
      <c r="R24" s="4">
        <f t="shared" si="0"/>
        <v>145.77477012667862</v>
      </c>
      <c r="S24" s="4">
        <f t="shared" si="1"/>
        <v>150.70000000000002</v>
      </c>
      <c r="T24" s="7">
        <f t="shared" si="2"/>
        <v>148.23738506333933</v>
      </c>
      <c r="U24">
        <f t="shared" si="3"/>
        <v>8394912.4479999989</v>
      </c>
      <c r="V24" s="4">
        <f t="shared" si="4"/>
        <v>60.523063007337683</v>
      </c>
      <c r="W24" s="4">
        <f t="shared" si="5"/>
        <v>63.539999999999992</v>
      </c>
      <c r="X24" s="7">
        <f t="shared" si="6"/>
        <v>62.031531503668838</v>
      </c>
      <c r="Y24" s="7">
        <f t="shared" si="7"/>
        <v>2.3897102243005537</v>
      </c>
      <c r="Z24" s="4">
        <f t="shared" si="8"/>
        <v>0.31638193094698014</v>
      </c>
      <c r="AA24" s="4">
        <f t="shared" si="16"/>
        <v>163.31437444079603</v>
      </c>
      <c r="AB24" s="4">
        <f t="shared" si="9"/>
        <v>7.0053421078641529</v>
      </c>
      <c r="AC24" s="4">
        <f t="shared" si="10"/>
        <v>5.6124555084685293</v>
      </c>
      <c r="AD24" s="4">
        <f t="shared" si="11"/>
        <v>3.6306157756304742</v>
      </c>
      <c r="AE24" s="4">
        <f t="shared" si="17"/>
        <v>1.9295189964428667</v>
      </c>
      <c r="AF24" s="4">
        <f t="shared" si="12"/>
        <v>0.28302519704716733</v>
      </c>
      <c r="AG24" s="8">
        <f t="shared" si="13"/>
        <v>0.11373594930274609</v>
      </c>
      <c r="AH24" s="8">
        <f t="shared" si="14"/>
        <v>2.4317769685275891E-2</v>
      </c>
      <c r="AI24" s="8">
        <f t="shared" si="15"/>
        <v>1.6612644209883128E-2</v>
      </c>
      <c r="AL24" s="8">
        <v>0.184</v>
      </c>
      <c r="AM24" s="8">
        <v>0.45579999999999998</v>
      </c>
      <c r="AN24" s="4">
        <v>0</v>
      </c>
      <c r="AO24" s="4">
        <v>25</v>
      </c>
      <c r="AP24" s="4">
        <v>-31</v>
      </c>
      <c r="AQ24" s="4">
        <v>1</v>
      </c>
      <c r="AR24" s="4">
        <v>0</v>
      </c>
      <c r="AS24" s="4">
        <v>0</v>
      </c>
      <c r="AX24"/>
      <c r="AY24"/>
    </row>
    <row r="25" spans="1:51">
      <c r="A25" s="53" t="s">
        <v>18</v>
      </c>
      <c r="B25" t="s">
        <v>18</v>
      </c>
      <c r="C25" t="s">
        <v>281</v>
      </c>
      <c r="E25" s="57" t="s">
        <v>23</v>
      </c>
      <c r="F25" s="57">
        <v>3</v>
      </c>
      <c r="G25" s="57">
        <v>11</v>
      </c>
      <c r="H25">
        <v>4.0289999999999999</v>
      </c>
      <c r="I25">
        <v>312</v>
      </c>
      <c r="J25">
        <v>187</v>
      </c>
      <c r="K25">
        <v>217</v>
      </c>
      <c r="L25">
        <v>57.2</v>
      </c>
      <c r="M25">
        <v>66.099999999999994</v>
      </c>
      <c r="N25">
        <v>71</v>
      </c>
      <c r="O25">
        <v>60</v>
      </c>
      <c r="P25">
        <v>65</v>
      </c>
      <c r="Q25">
        <v>66</v>
      </c>
      <c r="R25" s="4">
        <f t="shared" si="0"/>
        <v>117.47352428564876</v>
      </c>
      <c r="S25" s="4">
        <f t="shared" si="1"/>
        <v>122</v>
      </c>
      <c r="T25" s="7">
        <f t="shared" si="2"/>
        <v>119.73676214282438</v>
      </c>
      <c r="U25">
        <f t="shared" si="3"/>
        <v>10245101</v>
      </c>
      <c r="V25" s="4">
        <f t="shared" si="4"/>
        <v>70.25353569895789</v>
      </c>
      <c r="W25" s="4">
        <f t="shared" si="5"/>
        <v>73.86</v>
      </c>
      <c r="X25" s="7">
        <f t="shared" si="6"/>
        <v>72.056767849478945</v>
      </c>
      <c r="Y25" s="7">
        <f t="shared" si="7"/>
        <v>1.6617004303182912</v>
      </c>
      <c r="Z25" s="4">
        <f t="shared" si="8"/>
        <v>0.24937767515030856</v>
      </c>
      <c r="AA25" s="4">
        <f t="shared" si="16"/>
        <v>180.05223418925502</v>
      </c>
      <c r="AB25" s="4">
        <f t="shared" si="9"/>
        <v>7.3187955689439859</v>
      </c>
      <c r="AC25" s="4">
        <f t="shared" si="10"/>
        <v>5.4514887640950382</v>
      </c>
      <c r="AD25" s="4">
        <f t="shared" si="11"/>
        <v>4.2290104192594224</v>
      </c>
      <c r="AE25" s="4">
        <f t="shared" si="17"/>
        <v>1.730616584819302</v>
      </c>
      <c r="AF25" s="4">
        <f t="shared" si="12"/>
        <v>0.29520681187207654</v>
      </c>
      <c r="AG25" s="8">
        <f t="shared" si="13"/>
        <v>0.11815182657207525</v>
      </c>
      <c r="AH25" s="8">
        <f t="shared" si="14"/>
        <v>2.5025160083336908E-2</v>
      </c>
      <c r="AI25" s="8">
        <f t="shared" si="15"/>
        <v>1.8901779342220586E-2</v>
      </c>
      <c r="AL25" s="8">
        <v>0.12790000000000001</v>
      </c>
      <c r="AM25" s="8">
        <v>0.35930000000000001</v>
      </c>
      <c r="AN25" s="4">
        <v>0</v>
      </c>
      <c r="AO25" s="4">
        <v>-15</v>
      </c>
      <c r="AP25" s="4">
        <v>13</v>
      </c>
      <c r="AQ25" s="4">
        <v>1</v>
      </c>
      <c r="AR25" s="4">
        <v>0</v>
      </c>
      <c r="AS25" s="4">
        <v>0</v>
      </c>
      <c r="AX25"/>
      <c r="AY25"/>
    </row>
    <row r="26" spans="1:51">
      <c r="A26" s="53" t="s">
        <v>306</v>
      </c>
      <c r="B26" t="s">
        <v>309</v>
      </c>
      <c r="C26" t="s">
        <v>326</v>
      </c>
      <c r="E26" s="57" t="s">
        <v>23</v>
      </c>
      <c r="F26" s="57">
        <v>3</v>
      </c>
      <c r="G26" s="57">
        <v>9</v>
      </c>
      <c r="H26">
        <v>3.4740000000000002</v>
      </c>
      <c r="I26">
        <v>360</v>
      </c>
      <c r="J26">
        <v>383</v>
      </c>
      <c r="K26">
        <v>273</v>
      </c>
      <c r="L26">
        <v>112</v>
      </c>
      <c r="M26">
        <v>118</v>
      </c>
      <c r="N26">
        <v>98</v>
      </c>
      <c r="O26">
        <v>75</v>
      </c>
      <c r="P26">
        <v>110</v>
      </c>
      <c r="Q26">
        <v>105</v>
      </c>
      <c r="R26" s="4">
        <f t="shared" si="0"/>
        <v>175.57498393480233</v>
      </c>
      <c r="S26" s="4">
        <f t="shared" si="1"/>
        <v>177.33333333333334</v>
      </c>
      <c r="T26" s="7">
        <f t="shared" si="2"/>
        <v>176.45415863406782</v>
      </c>
      <c r="U26">
        <f t="shared" si="3"/>
        <v>29234815</v>
      </c>
      <c r="V26" s="4">
        <f t="shared" si="4"/>
        <v>110.73590190803428</v>
      </c>
      <c r="W26" s="4">
        <f t="shared" si="5"/>
        <v>114</v>
      </c>
      <c r="X26" s="7">
        <f t="shared" si="6"/>
        <v>112.36795095401715</v>
      </c>
      <c r="Y26" s="7">
        <f t="shared" si="7"/>
        <v>1.5703246088938281</v>
      </c>
      <c r="Z26" s="4">
        <f t="shared" si="8"/>
        <v>0.23734777193478826</v>
      </c>
      <c r="AA26" s="4">
        <f t="shared" si="16"/>
        <v>278.07646749966142</v>
      </c>
      <c r="AB26" s="4">
        <f t="shared" si="9"/>
        <v>9.6912333482897264</v>
      </c>
      <c r="AC26" s="4">
        <f t="shared" si="10"/>
        <v>7.1269061855212881</v>
      </c>
      <c r="AD26" s="4">
        <f t="shared" si="11"/>
        <v>5.6873024383565154</v>
      </c>
      <c r="AE26" s="4">
        <f t="shared" si="17"/>
        <v>1.7040123069470954</v>
      </c>
      <c r="AF26" s="4">
        <f t="shared" si="12"/>
        <v>0.15739691221918761</v>
      </c>
      <c r="AG26" s="8">
        <f t="shared" si="13"/>
        <v>6.5718441048620457E-2</v>
      </c>
      <c r="AH26" s="8">
        <f t="shared" si="14"/>
        <v>1.4524150633045916E-2</v>
      </c>
      <c r="AI26" s="8">
        <f t="shared" si="15"/>
        <v>4.9824538343057421E-3</v>
      </c>
      <c r="AJ26" s="7">
        <v>16.899999999999999</v>
      </c>
      <c r="AK26" s="7">
        <v>17.7</v>
      </c>
      <c r="AL26" s="8">
        <v>9.5420000000000005E-2</v>
      </c>
      <c r="AM26" s="8">
        <v>0.36620000000000003</v>
      </c>
      <c r="AN26" s="4">
        <v>1</v>
      </c>
      <c r="AO26" s="4">
        <v>0</v>
      </c>
      <c r="AP26" s="4">
        <v>0</v>
      </c>
      <c r="AQ26" s="4">
        <v>0</v>
      </c>
      <c r="AR26" s="4">
        <v>1</v>
      </c>
      <c r="AS26" s="4">
        <v>0</v>
      </c>
      <c r="AX26"/>
      <c r="AY26"/>
    </row>
    <row r="27" spans="1:51">
      <c r="A27" s="53" t="s">
        <v>306</v>
      </c>
      <c r="B27" t="s">
        <v>309</v>
      </c>
      <c r="C27" t="s">
        <v>326</v>
      </c>
      <c r="E27" s="57" t="s">
        <v>23</v>
      </c>
      <c r="F27" s="57">
        <v>3</v>
      </c>
      <c r="G27" s="57">
        <v>9</v>
      </c>
      <c r="H27">
        <v>3.4889999999999999</v>
      </c>
      <c r="I27">
        <v>371</v>
      </c>
      <c r="J27">
        <v>368</v>
      </c>
      <c r="K27">
        <v>272</v>
      </c>
      <c r="L27">
        <v>111</v>
      </c>
      <c r="M27">
        <v>123</v>
      </c>
      <c r="N27">
        <v>103</v>
      </c>
      <c r="O27">
        <v>66</v>
      </c>
      <c r="P27">
        <v>95</v>
      </c>
      <c r="Q27">
        <v>105</v>
      </c>
      <c r="R27" s="4">
        <f t="shared" si="0"/>
        <v>169.88158478713598</v>
      </c>
      <c r="S27" s="4">
        <f t="shared" si="1"/>
        <v>171.44444444444446</v>
      </c>
      <c r="T27" s="7">
        <f t="shared" si="2"/>
        <v>170.66301461579022</v>
      </c>
      <c r="U27">
        <f t="shared" si="3"/>
        <v>29856009</v>
      </c>
      <c r="V27" s="4">
        <f t="shared" si="4"/>
        <v>113.89641521414828</v>
      </c>
      <c r="W27" s="4">
        <f t="shared" si="5"/>
        <v>117.06666666666666</v>
      </c>
      <c r="X27" s="7">
        <f t="shared" si="6"/>
        <v>115.48154094040747</v>
      </c>
      <c r="Y27" s="7">
        <f t="shared" si="7"/>
        <v>1.4778380442971255</v>
      </c>
      <c r="Z27" s="4">
        <f t="shared" si="8"/>
        <v>0.22393556668604936</v>
      </c>
      <c r="AA27" s="4">
        <f t="shared" si="16"/>
        <v>282.68393050535161</v>
      </c>
      <c r="AB27" s="4">
        <f t="shared" si="9"/>
        <v>9.6460489528205393</v>
      </c>
      <c r="AC27" s="4">
        <f t="shared" si="10"/>
        <v>6.9938968319865733</v>
      </c>
      <c r="AD27" s="4">
        <f t="shared" si="11"/>
        <v>5.7531513649306847</v>
      </c>
      <c r="AE27" s="4">
        <f t="shared" si="17"/>
        <v>1.6766548176743055</v>
      </c>
      <c r="AF27" s="4">
        <f t="shared" si="12"/>
        <v>0.14837227413917908</v>
      </c>
      <c r="AG27" s="8">
        <f t="shared" si="13"/>
        <v>6.2068682501593933E-2</v>
      </c>
      <c r="AH27" s="8">
        <f t="shared" si="14"/>
        <v>1.3726225969544115E-2</v>
      </c>
      <c r="AI27" s="8">
        <f t="shared" si="15"/>
        <v>4.5787883825529211E-3</v>
      </c>
      <c r="AJ27" s="7">
        <v>15.4</v>
      </c>
      <c r="AK27" s="7">
        <v>16.899999999999999</v>
      </c>
      <c r="AL27" s="8">
        <v>8.6809999999999998E-2</v>
      </c>
      <c r="AM27" s="8">
        <v>0.35570000000000002</v>
      </c>
      <c r="AN27" s="4">
        <v>0</v>
      </c>
      <c r="AO27" s="4">
        <v>1</v>
      </c>
      <c r="AP27" s="4">
        <v>0</v>
      </c>
      <c r="AQ27" s="4">
        <v>1</v>
      </c>
      <c r="AR27" s="4">
        <v>0</v>
      </c>
      <c r="AS27" s="4">
        <v>0</v>
      </c>
      <c r="AX27"/>
      <c r="AY27"/>
    </row>
    <row r="28" spans="1:51">
      <c r="A28" s="53" t="s">
        <v>306</v>
      </c>
      <c r="B28" t="s">
        <v>305</v>
      </c>
      <c r="C28" t="s">
        <v>326</v>
      </c>
      <c r="E28" s="57" t="s">
        <v>23</v>
      </c>
      <c r="F28" s="57">
        <v>3</v>
      </c>
      <c r="G28" s="57">
        <v>9</v>
      </c>
      <c r="H28">
        <v>3.57</v>
      </c>
      <c r="I28">
        <v>348</v>
      </c>
      <c r="J28">
        <v>372</v>
      </c>
      <c r="K28">
        <v>254</v>
      </c>
      <c r="L28">
        <v>106</v>
      </c>
      <c r="M28">
        <v>115</v>
      </c>
      <c r="N28">
        <v>97</v>
      </c>
      <c r="O28">
        <v>78</v>
      </c>
      <c r="P28">
        <v>102</v>
      </c>
      <c r="Q28">
        <v>105</v>
      </c>
      <c r="R28" s="4">
        <f t="shared" si="0"/>
        <v>168.73251835697565</v>
      </c>
      <c r="S28" s="4">
        <f t="shared" si="1"/>
        <v>171.55555555555554</v>
      </c>
      <c r="T28" s="7">
        <f t="shared" si="2"/>
        <v>170.14403695626561</v>
      </c>
      <c r="U28">
        <f t="shared" si="3"/>
        <v>25300260</v>
      </c>
      <c r="V28" s="4">
        <f t="shared" si="4"/>
        <v>106.37553925165582</v>
      </c>
      <c r="W28" s="4">
        <f t="shared" si="5"/>
        <v>109.53333333333333</v>
      </c>
      <c r="X28" s="7">
        <f t="shared" si="6"/>
        <v>107.95443629249458</v>
      </c>
      <c r="Y28" s="7">
        <f t="shared" si="7"/>
        <v>1.5760726728753685</v>
      </c>
      <c r="Z28" s="4">
        <f t="shared" si="8"/>
        <v>0.23813845857079124</v>
      </c>
      <c r="AA28" s="4">
        <f t="shared" si="16"/>
        <v>267.32507869413581</v>
      </c>
      <c r="AB28" s="4">
        <f t="shared" si="9"/>
        <v>9.3796860982376664</v>
      </c>
      <c r="AC28" s="4">
        <f t="shared" si="10"/>
        <v>6.9035783551283405</v>
      </c>
      <c r="AD28" s="4">
        <f t="shared" si="11"/>
        <v>5.4990306324894487</v>
      </c>
      <c r="AE28" s="4">
        <f t="shared" si="17"/>
        <v>1.7056980993741835</v>
      </c>
      <c r="AF28" s="4">
        <f t="shared" si="12"/>
        <v>0.16515754402685623</v>
      </c>
      <c r="AG28" s="8">
        <f t="shared" si="13"/>
        <v>6.7483885761336987E-2</v>
      </c>
      <c r="AH28" s="8">
        <f t="shared" si="14"/>
        <v>1.4625587378001299E-2</v>
      </c>
      <c r="AI28" s="8">
        <f t="shared" si="15"/>
        <v>8.2960215623235148E-3</v>
      </c>
      <c r="AJ28" s="7">
        <v>19</v>
      </c>
      <c r="AK28" s="7">
        <v>17.5</v>
      </c>
      <c r="AL28" s="8">
        <v>0.1091</v>
      </c>
      <c r="AM28" s="8">
        <v>0.36649999999999999</v>
      </c>
      <c r="AN28" s="4">
        <v>1</v>
      </c>
      <c r="AO28" s="4">
        <v>0</v>
      </c>
      <c r="AP28" s="4">
        <v>0</v>
      </c>
      <c r="AQ28" s="4">
        <v>0</v>
      </c>
      <c r="AR28" s="4">
        <v>1</v>
      </c>
      <c r="AS28" s="4">
        <v>0</v>
      </c>
      <c r="AX28"/>
      <c r="AY28"/>
    </row>
    <row r="29" spans="1:51">
      <c r="A29" s="53" t="s">
        <v>270</v>
      </c>
      <c r="B29" t="s">
        <v>311</v>
      </c>
      <c r="C29" t="s">
        <v>323</v>
      </c>
      <c r="E29" s="57" t="s">
        <v>23</v>
      </c>
      <c r="F29" s="57">
        <v>3</v>
      </c>
      <c r="G29" s="57">
        <v>9</v>
      </c>
      <c r="H29">
        <v>3.198</v>
      </c>
      <c r="I29">
        <v>225</v>
      </c>
      <c r="J29">
        <v>178</v>
      </c>
      <c r="K29">
        <v>214</v>
      </c>
      <c r="L29">
        <v>78</v>
      </c>
      <c r="M29">
        <v>76</v>
      </c>
      <c r="N29">
        <v>82</v>
      </c>
      <c r="O29">
        <v>72</v>
      </c>
      <c r="P29">
        <v>54</v>
      </c>
      <c r="Q29">
        <v>53</v>
      </c>
      <c r="R29" s="4">
        <f t="shared" si="0"/>
        <v>107.34337724550898</v>
      </c>
      <c r="S29" s="4">
        <f t="shared" si="1"/>
        <v>108.33333333333333</v>
      </c>
      <c r="T29" s="7">
        <f t="shared" si="2"/>
        <v>107.83835528942114</v>
      </c>
      <c r="U29">
        <f t="shared" si="3"/>
        <v>6722379</v>
      </c>
      <c r="V29" s="4">
        <f t="shared" si="4"/>
        <v>75.425069606835081</v>
      </c>
      <c r="W29" s="4">
        <f t="shared" si="5"/>
        <v>76.400000000000006</v>
      </c>
      <c r="X29" s="7">
        <f t="shared" si="6"/>
        <v>75.912534803417543</v>
      </c>
      <c r="Y29" s="7">
        <f t="shared" si="7"/>
        <v>1.4205605907993777</v>
      </c>
      <c r="Z29" s="4">
        <f t="shared" si="8"/>
        <v>0.21492004555107475</v>
      </c>
      <c r="AA29" s="4">
        <f t="shared" si="16"/>
        <v>184.45532048253119</v>
      </c>
      <c r="AB29" s="4">
        <f t="shared" si="9"/>
        <v>8.0852065815362906</v>
      </c>
      <c r="AC29" s="4">
        <f t="shared" si="10"/>
        <v>5.8069407934648227</v>
      </c>
      <c r="AD29" s="4">
        <f t="shared" si="11"/>
        <v>4.8721148452683165</v>
      </c>
      <c r="AE29" s="4">
        <f t="shared" si="17"/>
        <v>1.6594860421626665</v>
      </c>
      <c r="AF29" s="4">
        <f t="shared" si="12"/>
        <v>7.385139854479128E-2</v>
      </c>
      <c r="AG29" s="8">
        <f t="shared" si="13"/>
        <v>3.0149383399136493E-2</v>
      </c>
      <c r="AH29" s="8">
        <f t="shared" si="14"/>
        <v>6.4214058698579659E-3</v>
      </c>
      <c r="AI29" s="8">
        <f t="shared" si="15"/>
        <v>4.5899999363281617E-3</v>
      </c>
      <c r="AJ29" s="7">
        <v>12</v>
      </c>
      <c r="AK29" s="7">
        <v>11</v>
      </c>
      <c r="AL29" s="8">
        <v>0.14560000000000001</v>
      </c>
      <c r="AM29" s="8">
        <v>0.35560000000000003</v>
      </c>
      <c r="AN29" s="4">
        <v>6</v>
      </c>
      <c r="AO29" s="4">
        <v>31</v>
      </c>
      <c r="AP29" s="4">
        <v>-25</v>
      </c>
      <c r="AQ29" s="4">
        <v>-3</v>
      </c>
      <c r="AR29" s="4">
        <v>13</v>
      </c>
      <c r="AS29" s="4">
        <v>15</v>
      </c>
      <c r="AX29"/>
      <c r="AY29"/>
    </row>
    <row r="30" spans="1:51">
      <c r="A30" s="53" t="s">
        <v>270</v>
      </c>
      <c r="B30" t="s">
        <v>311</v>
      </c>
      <c r="C30" t="s">
        <v>323</v>
      </c>
      <c r="E30" s="57" t="s">
        <v>23</v>
      </c>
      <c r="F30" s="57">
        <v>3</v>
      </c>
      <c r="G30" s="57">
        <v>9</v>
      </c>
      <c r="H30">
        <v>3.194</v>
      </c>
      <c r="I30">
        <v>233</v>
      </c>
      <c r="J30">
        <v>171</v>
      </c>
      <c r="K30">
        <v>216</v>
      </c>
      <c r="L30">
        <v>83</v>
      </c>
      <c r="M30">
        <v>79</v>
      </c>
      <c r="N30">
        <v>87</v>
      </c>
      <c r="O30">
        <v>73</v>
      </c>
      <c r="P30">
        <v>56</v>
      </c>
      <c r="Q30">
        <v>50</v>
      </c>
      <c r="R30" s="4">
        <f t="shared" si="0"/>
        <v>106.67512256840108</v>
      </c>
      <c r="S30" s="4">
        <f t="shared" si="1"/>
        <v>108.66666666666667</v>
      </c>
      <c r="T30" s="7">
        <f t="shared" si="2"/>
        <v>107.67089461753388</v>
      </c>
      <c r="U30">
        <f t="shared" si="3"/>
        <v>6745068</v>
      </c>
      <c r="V30" s="4">
        <f t="shared" si="4"/>
        <v>77.653285685692381</v>
      </c>
      <c r="W30" s="4">
        <f t="shared" si="5"/>
        <v>79.2</v>
      </c>
      <c r="X30" s="7">
        <f t="shared" si="6"/>
        <v>78.426642842846192</v>
      </c>
      <c r="Y30" s="7">
        <f t="shared" si="7"/>
        <v>1.3728866965947815</v>
      </c>
      <c r="Z30" s="4">
        <f t="shared" si="8"/>
        <v>0.20695455965250531</v>
      </c>
      <c r="AA30" s="4">
        <f t="shared" si="16"/>
        <v>189.31478835482343</v>
      </c>
      <c r="AB30" s="4">
        <f t="shared" si="9"/>
        <v>8.151657209443874</v>
      </c>
      <c r="AC30" s="4">
        <f t="shared" si="10"/>
        <v>5.8060624777713103</v>
      </c>
      <c r="AD30" s="4">
        <f t="shared" si="11"/>
        <v>4.9552361521294577</v>
      </c>
      <c r="AE30" s="4">
        <f t="shared" si="17"/>
        <v>1.6450592785453404</v>
      </c>
      <c r="AF30" s="4">
        <f t="shared" si="12"/>
        <v>0.11826028710175951</v>
      </c>
      <c r="AG30" s="8">
        <f t="shared" si="13"/>
        <v>4.7822752675425378E-2</v>
      </c>
      <c r="AH30" s="8">
        <f t="shared" si="14"/>
        <v>9.8608984028997447E-3</v>
      </c>
      <c r="AI30" s="8">
        <f t="shared" si="15"/>
        <v>9.2482936328332297E-3</v>
      </c>
      <c r="AL30" s="8">
        <v>9.8570000000000005E-2</v>
      </c>
      <c r="AM30" s="8">
        <v>0.37659999999999999</v>
      </c>
      <c r="AN30" s="4">
        <v>0</v>
      </c>
      <c r="AO30" s="4">
        <v>10</v>
      </c>
      <c r="AP30" s="4">
        <v>9</v>
      </c>
      <c r="AQ30" s="4">
        <v>0</v>
      </c>
      <c r="AR30" s="4">
        <v>-9</v>
      </c>
      <c r="AS30" s="4">
        <v>10</v>
      </c>
      <c r="AX30"/>
      <c r="AY30"/>
    </row>
    <row r="31" spans="1:51">
      <c r="A31" s="53" t="s">
        <v>270</v>
      </c>
      <c r="B31" t="s">
        <v>269</v>
      </c>
      <c r="C31" t="s">
        <v>323</v>
      </c>
      <c r="E31" s="57" t="s">
        <v>23</v>
      </c>
      <c r="F31" s="57">
        <v>3</v>
      </c>
      <c r="G31" s="57">
        <v>9</v>
      </c>
      <c r="H31">
        <v>3.335</v>
      </c>
      <c r="I31">
        <v>229.9</v>
      </c>
      <c r="J31">
        <v>165.4</v>
      </c>
      <c r="K31">
        <v>205.7</v>
      </c>
      <c r="L31">
        <v>83.06</v>
      </c>
      <c r="M31">
        <v>76.400000000000006</v>
      </c>
      <c r="N31">
        <v>78.5</v>
      </c>
      <c r="O31">
        <v>70.099999999999994</v>
      </c>
      <c r="P31">
        <v>47.3</v>
      </c>
      <c r="Q31">
        <v>49.6</v>
      </c>
      <c r="R31" s="4">
        <f t="shared" si="0"/>
        <v>102.19127386712724</v>
      </c>
      <c r="S31" s="4">
        <f t="shared" si="1"/>
        <v>103.88888888888889</v>
      </c>
      <c r="T31" s="7">
        <f t="shared" si="2"/>
        <v>103.04008137800807</v>
      </c>
      <c r="U31">
        <f t="shared" si="3"/>
        <v>6204307.1309999991</v>
      </c>
      <c r="V31" s="4">
        <f t="shared" si="4"/>
        <v>74.945736464114177</v>
      </c>
      <c r="W31" s="4">
        <f t="shared" si="5"/>
        <v>76.525333333333336</v>
      </c>
      <c r="X31" s="7">
        <f t="shared" si="6"/>
        <v>75.735534898723756</v>
      </c>
      <c r="Y31" s="7">
        <f t="shared" si="7"/>
        <v>1.3605249044031567</v>
      </c>
      <c r="Z31" s="4">
        <f t="shared" si="8"/>
        <v>0.2048159114731159</v>
      </c>
      <c r="AA31" s="4">
        <f t="shared" si="16"/>
        <v>182.49475501981962</v>
      </c>
      <c r="AB31" s="4">
        <f t="shared" si="9"/>
        <v>7.8214864666262836</v>
      </c>
      <c r="AC31" s="4">
        <f t="shared" si="10"/>
        <v>5.5584688651947802</v>
      </c>
      <c r="AD31" s="4">
        <f t="shared" si="11"/>
        <v>4.7654281881808664</v>
      </c>
      <c r="AE31" s="4">
        <f t="shared" si="17"/>
        <v>1.6412977297664459</v>
      </c>
      <c r="AF31" s="4">
        <f t="shared" si="12"/>
        <v>0.12199483668046973</v>
      </c>
      <c r="AG31" s="8">
        <f t="shared" si="13"/>
        <v>4.9463365424630992E-2</v>
      </c>
      <c r="AH31" s="8">
        <f t="shared" si="14"/>
        <v>1.0428373360876451E-2</v>
      </c>
      <c r="AI31" s="8">
        <f t="shared" si="15"/>
        <v>8.2376440267639996E-3</v>
      </c>
      <c r="AJ31" s="7">
        <v>16.399999999999999</v>
      </c>
      <c r="AK31" s="7">
        <v>12.9</v>
      </c>
      <c r="AL31" s="8">
        <v>9.2460000000000001E-2</v>
      </c>
      <c r="AM31" s="8">
        <v>0.38250000000000001</v>
      </c>
      <c r="AN31" s="4">
        <v>0</v>
      </c>
      <c r="AO31" s="4">
        <v>29</v>
      </c>
      <c r="AP31" s="4">
        <v>27</v>
      </c>
      <c r="AQ31" s="4">
        <v>0</v>
      </c>
      <c r="AR31" s="4">
        <v>27</v>
      </c>
      <c r="AS31" s="4">
        <v>-29</v>
      </c>
      <c r="AX31"/>
      <c r="AY31"/>
    </row>
    <row r="32" spans="1:51">
      <c r="A32" s="53" t="s">
        <v>270</v>
      </c>
      <c r="B32" t="s">
        <v>271</v>
      </c>
      <c r="C32" t="s">
        <v>323</v>
      </c>
      <c r="E32" s="57" t="s">
        <v>23</v>
      </c>
      <c r="F32" s="57">
        <v>3</v>
      </c>
      <c r="G32" s="57">
        <v>9</v>
      </c>
      <c r="H32">
        <v>3.3730000000000002</v>
      </c>
      <c r="I32">
        <v>231</v>
      </c>
      <c r="J32">
        <v>170</v>
      </c>
      <c r="K32">
        <v>216</v>
      </c>
      <c r="L32">
        <v>81</v>
      </c>
      <c r="M32">
        <v>44</v>
      </c>
      <c r="N32">
        <v>67</v>
      </c>
      <c r="O32">
        <v>76</v>
      </c>
      <c r="P32">
        <v>59</v>
      </c>
      <c r="Q32">
        <v>70</v>
      </c>
      <c r="R32" s="4">
        <f t="shared" si="0"/>
        <v>112.91812747171893</v>
      </c>
      <c r="S32" s="4">
        <f t="shared" si="1"/>
        <v>114.11111111111111</v>
      </c>
      <c r="T32" s="7">
        <f t="shared" si="2"/>
        <v>113.51461929141502</v>
      </c>
      <c r="U32">
        <f t="shared" si="3"/>
        <v>6138794</v>
      </c>
      <c r="V32" s="4">
        <f t="shared" si="4"/>
        <v>62.115425501012076</v>
      </c>
      <c r="W32" s="4">
        <f t="shared" si="5"/>
        <v>65.86666666666666</v>
      </c>
      <c r="X32" s="7">
        <f t="shared" si="6"/>
        <v>63.991046083839365</v>
      </c>
      <c r="Y32" s="7">
        <f t="shared" si="7"/>
        <v>1.7739141057749108</v>
      </c>
      <c r="Z32" s="4">
        <f t="shared" si="8"/>
        <v>0.2627236409353082</v>
      </c>
      <c r="AA32" s="4">
        <f t="shared" si="16"/>
        <v>161.60601339648946</v>
      </c>
      <c r="AB32" s="4">
        <f t="shared" si="9"/>
        <v>7.6778452356218105</v>
      </c>
      <c r="AC32" s="4">
        <f t="shared" si="10"/>
        <v>5.8011985249554892</v>
      </c>
      <c r="AD32" s="4">
        <f t="shared" si="11"/>
        <v>4.3556345521819306</v>
      </c>
      <c r="AE32" s="4">
        <f t="shared" si="17"/>
        <v>1.7627386190550898</v>
      </c>
      <c r="AF32" s="4">
        <f t="shared" si="12"/>
        <v>0.31252232653819068</v>
      </c>
      <c r="AG32" s="8">
        <f t="shared" si="13"/>
        <v>0.13153938468638635</v>
      </c>
      <c r="AH32" s="8">
        <f t="shared" si="14"/>
        <v>2.931067231452825E-2</v>
      </c>
      <c r="AI32" s="8">
        <f t="shared" si="15"/>
        <v>5.2547576992244107E-3</v>
      </c>
      <c r="AJ32" s="7">
        <v>15.4</v>
      </c>
      <c r="AK32" s="7">
        <v>15.1</v>
      </c>
      <c r="AL32" s="8">
        <v>7.2599999999999998E-2</v>
      </c>
      <c r="AM32" s="8">
        <v>0.45540000000000003</v>
      </c>
      <c r="AN32" s="4">
        <v>-9</v>
      </c>
      <c r="AO32" s="4">
        <v>14</v>
      </c>
      <c r="AP32" s="4">
        <v>-11</v>
      </c>
      <c r="AQ32" s="4">
        <v>17</v>
      </c>
      <c r="AR32" s="4">
        <v>28</v>
      </c>
      <c r="AS32" s="4">
        <v>23</v>
      </c>
      <c r="AX32"/>
      <c r="AY32"/>
    </row>
    <row r="33" spans="1:51">
      <c r="A33" s="53" t="s">
        <v>270</v>
      </c>
      <c r="B33" t="s">
        <v>271</v>
      </c>
      <c r="C33" t="s">
        <v>323</v>
      </c>
      <c r="E33" s="57" t="s">
        <v>23</v>
      </c>
      <c r="F33" s="57">
        <v>3</v>
      </c>
      <c r="G33" s="57">
        <v>9</v>
      </c>
      <c r="H33">
        <v>3.3540000000000001</v>
      </c>
      <c r="I33">
        <v>228.6</v>
      </c>
      <c r="J33">
        <v>160.5</v>
      </c>
      <c r="K33">
        <v>210.4</v>
      </c>
      <c r="L33">
        <v>81.75</v>
      </c>
      <c r="M33">
        <v>75.48</v>
      </c>
      <c r="N33">
        <v>77.599999999999994</v>
      </c>
      <c r="O33">
        <v>71</v>
      </c>
      <c r="P33">
        <v>54.8</v>
      </c>
      <c r="Q33">
        <v>46</v>
      </c>
      <c r="R33" s="4">
        <f t="shared" si="0"/>
        <v>102.12529597507648</v>
      </c>
      <c r="S33" s="4">
        <f t="shared" si="1"/>
        <v>104.78888888888889</v>
      </c>
      <c r="T33" s="7">
        <f t="shared" si="2"/>
        <v>103.45709243198269</v>
      </c>
      <c r="U33">
        <f t="shared" si="3"/>
        <v>6051260.7999999989</v>
      </c>
      <c r="V33" s="4">
        <f t="shared" si="4"/>
        <v>73.892520121690225</v>
      </c>
      <c r="W33" s="4">
        <f t="shared" si="5"/>
        <v>75.479333333333344</v>
      </c>
      <c r="X33" s="7">
        <f t="shared" si="6"/>
        <v>74.685926727511784</v>
      </c>
      <c r="Y33" s="7">
        <f t="shared" si="7"/>
        <v>1.385228743420982</v>
      </c>
      <c r="Z33" s="4">
        <f t="shared" si="8"/>
        <v>0.20905909843867704</v>
      </c>
      <c r="AA33" s="4">
        <f t="shared" si="16"/>
        <v>180.59939847044495</v>
      </c>
      <c r="AB33" s="4">
        <f t="shared" si="9"/>
        <v>7.7804996074111967</v>
      </c>
      <c r="AC33" s="4">
        <f t="shared" si="10"/>
        <v>5.5539070259974261</v>
      </c>
      <c r="AD33" s="4">
        <f t="shared" si="11"/>
        <v>4.7188683140798338</v>
      </c>
      <c r="AE33" s="4">
        <f t="shared" si="17"/>
        <v>1.6488062581013925</v>
      </c>
      <c r="AF33" s="4">
        <f t="shared" si="12"/>
        <v>0.13345467840384018</v>
      </c>
      <c r="AG33" s="8">
        <f t="shared" si="13"/>
        <v>5.4038485752826305E-2</v>
      </c>
      <c r="AH33" s="8">
        <f t="shared" si="14"/>
        <v>1.0623241092210949E-2</v>
      </c>
      <c r="AI33" s="8">
        <f t="shared" si="15"/>
        <v>1.2872935297130902E-2</v>
      </c>
      <c r="AJ33" s="7">
        <v>17.600000000000001</v>
      </c>
      <c r="AK33" s="7">
        <v>14.3</v>
      </c>
      <c r="AL33" s="8">
        <v>7.6039999999999996E-2</v>
      </c>
      <c r="AM33" s="8">
        <v>0.39229999999999998</v>
      </c>
      <c r="AN33" s="4">
        <v>0</v>
      </c>
      <c r="AO33" s="4">
        <v>-29</v>
      </c>
      <c r="AP33" s="4">
        <v>27</v>
      </c>
      <c r="AQ33" s="4">
        <v>0</v>
      </c>
      <c r="AR33" s="4">
        <v>27</v>
      </c>
      <c r="AS33" s="4">
        <v>29</v>
      </c>
      <c r="AX33"/>
      <c r="AY33"/>
    </row>
    <row r="34" spans="1:51">
      <c r="A34" s="53" t="s">
        <v>270</v>
      </c>
      <c r="B34" t="s">
        <v>272</v>
      </c>
      <c r="C34" t="s">
        <v>323</v>
      </c>
      <c r="E34" s="57" t="s">
        <v>23</v>
      </c>
      <c r="F34" s="57">
        <v>3</v>
      </c>
      <c r="G34" s="57">
        <v>9</v>
      </c>
      <c r="H34">
        <v>3.2719999999999998</v>
      </c>
      <c r="I34">
        <v>229</v>
      </c>
      <c r="J34">
        <v>167</v>
      </c>
      <c r="K34">
        <v>194</v>
      </c>
      <c r="L34">
        <v>80</v>
      </c>
      <c r="M34">
        <v>76</v>
      </c>
      <c r="N34">
        <v>77</v>
      </c>
      <c r="O34">
        <v>74</v>
      </c>
      <c r="P34">
        <v>50</v>
      </c>
      <c r="Q34">
        <v>47</v>
      </c>
      <c r="R34" s="4">
        <f t="shared" ref="R34:R71" si="18">U34/(I34*(J34+K34-2*Q34)+J34*(K34-2*P34)-2*K34*O34+O34*(2*Q34-O34)+P34*(2*O34-P34)+Q34*(2*P34-Q34) )</f>
        <v>101.42521052631579</v>
      </c>
      <c r="S34" s="4">
        <f t="shared" ref="S34:S71" si="19">(I34+J34+K34+2*(O34+P34+Q34))/9</f>
        <v>103.55555555555556</v>
      </c>
      <c r="T34" s="7">
        <f t="shared" ref="T34:T71" si="20">0.5*(R34+S34)</f>
        <v>102.49038304093568</v>
      </c>
      <c r="U34">
        <f t="shared" ref="U34:U71" si="21">P34*(O34*Q34-P34*J34)+Q34*(O34*P34-Q34*I34)+K34*(I34*J34-O34*O34)</f>
        <v>5781237</v>
      </c>
      <c r="V34" s="4">
        <f t="shared" ref="V34:V71" si="22">15/(4*(I34*(J34+K34+Q34)+J34*(K34+P34)+K34*O34-O34*(O34+Q34)-P34*(P34+O34)-Q34*(Q34+P34))/U34 +3*(1/L34 + 1/M34 +1/N34))</f>
        <v>73.14699897195085</v>
      </c>
      <c r="W34" s="4">
        <f t="shared" ref="W34:W71" si="23">(I34+J34+K34-(O34+P34+Q34)+3*(L34+M34+N34))/15</f>
        <v>74.533333333333331</v>
      </c>
      <c r="X34" s="7">
        <f t="shared" ref="X34:X71" si="24">0.5*(V34+W34)</f>
        <v>73.840166152642098</v>
      </c>
      <c r="Y34" s="7">
        <f t="shared" ref="Y34:Y71" si="25">T34/X34</f>
        <v>1.3880031476238552</v>
      </c>
      <c r="Z34" s="4">
        <f t="shared" ref="Z34:Z71" si="26">(3*T34-2*X34)/(2*(3*T34+X34))</f>
        <v>0.209528029219503</v>
      </c>
      <c r="AA34" s="4">
        <f t="shared" si="16"/>
        <v>178.62350128769168</v>
      </c>
      <c r="AB34" s="4">
        <f t="shared" ref="AB34:AB71" si="27">SQRT((T34+4/3*X34)/H34)</f>
        <v>7.8366564272122989</v>
      </c>
      <c r="AC34" s="4">
        <f t="shared" ref="AC34:AC71" si="28">SQRT(T34/H34)</f>
        <v>5.5967371476202521</v>
      </c>
      <c r="AD34" s="4">
        <f t="shared" ref="AD34:AD71" si="29">SQRT(X34/H34)</f>
        <v>4.7505039673661491</v>
      </c>
      <c r="AE34" s="4">
        <f t="shared" si="17"/>
        <v>1.649647380792995</v>
      </c>
      <c r="AF34" s="4">
        <f t="shared" ref="AF34:AF71" si="30">5*W34/V34 + S34/R34 - 6</f>
        <v>0.11576768202970733</v>
      </c>
      <c r="AG34" s="8">
        <f t="shared" ref="AG34:AG65" si="31">SQRT((LN(S34/R34))^2+5*(LN(W34/V34))^2)</f>
        <v>4.6847090818187095E-2</v>
      </c>
      <c r="AH34" s="8">
        <f t="shared" ref="AH34:AH71" si="32">(W34-V34)/(W34+V34)</f>
        <v>9.3874000670357109E-3</v>
      </c>
      <c r="AI34" s="8">
        <f t="shared" ref="AI34:AI65" si="33">(S34-R34)/(S34+R34)</f>
        <v>1.0392902075450737E-2</v>
      </c>
      <c r="AJ34" s="7">
        <v>15.8</v>
      </c>
      <c r="AK34" s="7">
        <v>12.8</v>
      </c>
      <c r="AL34" s="8">
        <v>8.7760000000000005E-2</v>
      </c>
      <c r="AM34" s="8">
        <v>0.3977</v>
      </c>
      <c r="AN34" s="4">
        <v>0</v>
      </c>
      <c r="AO34" s="4">
        <v>29</v>
      </c>
      <c r="AP34" s="4">
        <v>27</v>
      </c>
      <c r="AQ34" s="4">
        <v>0</v>
      </c>
      <c r="AR34" s="4">
        <v>27</v>
      </c>
      <c r="AS34" s="4">
        <v>-29</v>
      </c>
      <c r="AX34"/>
      <c r="AY34"/>
    </row>
    <row r="35" spans="1:51">
      <c r="A35" s="53" t="s">
        <v>270</v>
      </c>
      <c r="B35" s="11" t="s">
        <v>456</v>
      </c>
      <c r="C35" t="s">
        <v>323</v>
      </c>
      <c r="E35" s="57" t="s">
        <v>23</v>
      </c>
      <c r="F35" s="57">
        <v>3</v>
      </c>
      <c r="G35" s="57">
        <v>9</v>
      </c>
      <c r="H35">
        <v>3.3039999999999998</v>
      </c>
      <c r="I35">
        <v>236.9</v>
      </c>
      <c r="J35">
        <v>180.5</v>
      </c>
      <c r="K35">
        <v>230.4</v>
      </c>
      <c r="L35">
        <v>84.3</v>
      </c>
      <c r="M35">
        <v>79.400000000000006</v>
      </c>
      <c r="N35">
        <v>80.099999999999994</v>
      </c>
      <c r="O35">
        <v>79.900000000000006</v>
      </c>
      <c r="P35">
        <v>63.2</v>
      </c>
      <c r="Q35">
        <v>46.8</v>
      </c>
      <c r="R35" s="4">
        <f t="shared" si="18"/>
        <v>111.89177979845837</v>
      </c>
      <c r="S35" s="4">
        <f t="shared" si="19"/>
        <v>114.17777777777776</v>
      </c>
      <c r="T35" s="7">
        <f t="shared" si="20"/>
        <v>113.03477878811807</v>
      </c>
      <c r="U35">
        <f t="shared" si="21"/>
        <v>7613953.648</v>
      </c>
      <c r="V35" s="4">
        <f t="shared" si="22"/>
        <v>77.911905799517697</v>
      </c>
      <c r="W35" s="4">
        <f t="shared" si="23"/>
        <v>79.286666666666662</v>
      </c>
      <c r="X35" s="7">
        <f t="shared" si="24"/>
        <v>78.599286233092187</v>
      </c>
      <c r="Y35" s="7">
        <f t="shared" si="25"/>
        <v>1.4381145708232617</v>
      </c>
      <c r="Z35" s="4">
        <f t="shared" si="26"/>
        <v>0.21774501591224879</v>
      </c>
      <c r="AA35" s="4">
        <f t="shared" si="16"/>
        <v>191.42777812921648</v>
      </c>
      <c r="AB35" s="4">
        <f t="shared" si="27"/>
        <v>8.1197496930854882</v>
      </c>
      <c r="AC35" s="4">
        <f t="shared" si="28"/>
        <v>5.8490593081787638</v>
      </c>
      <c r="AD35" s="4">
        <f t="shared" si="29"/>
        <v>4.8774101955676166</v>
      </c>
      <c r="AE35" s="4">
        <f t="shared" si="17"/>
        <v>1.6647666215288541</v>
      </c>
      <c r="AF35" s="4">
        <f t="shared" si="30"/>
        <v>0.10865577663274095</v>
      </c>
      <c r="AG35" s="8">
        <f t="shared" si="31"/>
        <v>4.403115267111752E-2</v>
      </c>
      <c r="AH35" s="8">
        <f t="shared" si="32"/>
        <v>8.7453775538877416E-3</v>
      </c>
      <c r="AI35" s="8">
        <f t="shared" si="33"/>
        <v>1.0111923090522685E-2</v>
      </c>
      <c r="AJ35" s="7">
        <v>13.6</v>
      </c>
      <c r="AK35" s="7">
        <v>13.1</v>
      </c>
      <c r="AL35" s="8">
        <v>9.2090000000000005E-2</v>
      </c>
      <c r="AM35" s="8">
        <v>0.39219999999999999</v>
      </c>
      <c r="AN35" s="4">
        <v>0</v>
      </c>
      <c r="AO35" s="4">
        <v>-15</v>
      </c>
      <c r="AP35" s="4">
        <v>13</v>
      </c>
      <c r="AQ35" s="4">
        <v>0</v>
      </c>
      <c r="AR35" s="4">
        <v>13</v>
      </c>
      <c r="AS35" s="4">
        <v>15</v>
      </c>
      <c r="AX35"/>
      <c r="AY35"/>
    </row>
    <row r="36" spans="1:51">
      <c r="A36" s="53" t="s">
        <v>303</v>
      </c>
      <c r="B36" s="34" t="s">
        <v>304</v>
      </c>
      <c r="C36" s="34" t="s">
        <v>323</v>
      </c>
      <c r="D36" s="34"/>
      <c r="E36" s="57" t="s">
        <v>23</v>
      </c>
      <c r="F36" s="57">
        <v>3</v>
      </c>
      <c r="G36" s="57">
        <v>9</v>
      </c>
      <c r="H36">
        <v>4.0019999999999998</v>
      </c>
      <c r="I36">
        <v>198</v>
      </c>
      <c r="J36">
        <v>136</v>
      </c>
      <c r="K36">
        <v>175</v>
      </c>
      <c r="L36">
        <v>59</v>
      </c>
      <c r="M36">
        <v>58</v>
      </c>
      <c r="N36">
        <v>49</v>
      </c>
      <c r="O36">
        <v>84</v>
      </c>
      <c r="P36">
        <v>72</v>
      </c>
      <c r="Q36">
        <v>55</v>
      </c>
      <c r="R36" s="4">
        <f t="shared" si="18"/>
        <v>99.245097011012064</v>
      </c>
      <c r="S36" s="4">
        <f t="shared" si="19"/>
        <v>103.44444444444444</v>
      </c>
      <c r="T36" s="7">
        <f t="shared" si="20"/>
        <v>101.34477072772825</v>
      </c>
      <c r="U36">
        <f t="shared" si="21"/>
        <v>2838906</v>
      </c>
      <c r="V36" s="4">
        <f t="shared" si="22"/>
        <v>51.400299299190308</v>
      </c>
      <c r="W36" s="4">
        <f t="shared" si="23"/>
        <v>53.06666666666667</v>
      </c>
      <c r="X36" s="7">
        <f t="shared" si="24"/>
        <v>52.233482982928493</v>
      </c>
      <c r="Y36" s="7">
        <f t="shared" si="25"/>
        <v>1.9402261717996256</v>
      </c>
      <c r="Z36" s="4">
        <f t="shared" si="26"/>
        <v>0.28008053060799054</v>
      </c>
      <c r="AA36" s="4">
        <f t="shared" si="16"/>
        <v>133.72612922458109</v>
      </c>
      <c r="AB36" s="4">
        <f t="shared" si="27"/>
        <v>6.5365121189286501</v>
      </c>
      <c r="AC36" s="4">
        <f t="shared" si="28"/>
        <v>5.0322490912586817</v>
      </c>
      <c r="AD36" s="4">
        <f t="shared" si="29"/>
        <v>3.6127337050107173</v>
      </c>
      <c r="AE36" s="4">
        <f t="shared" si="17"/>
        <v>1.8092980697311758</v>
      </c>
      <c r="AF36" s="4">
        <f t="shared" si="30"/>
        <v>0.20440994471184659</v>
      </c>
      <c r="AG36" s="8">
        <f t="shared" si="31"/>
        <v>8.2505128186210183E-2</v>
      </c>
      <c r="AH36" s="8">
        <f t="shared" si="32"/>
        <v>1.5951141607969944E-2</v>
      </c>
      <c r="AI36" s="8">
        <f t="shared" si="33"/>
        <v>2.0718125875060195E-2</v>
      </c>
      <c r="AL36" s="8">
        <v>9.5449999999999993E-2</v>
      </c>
      <c r="AM36" s="8">
        <v>0.51700000000000002</v>
      </c>
      <c r="AN36" s="4">
        <v>0</v>
      </c>
      <c r="AO36" s="4">
        <v>10</v>
      </c>
      <c r="AP36" s="4">
        <v>9</v>
      </c>
      <c r="AQ36" s="4">
        <v>0</v>
      </c>
      <c r="AR36" s="4">
        <v>-9</v>
      </c>
      <c r="AS36" s="4">
        <v>10</v>
      </c>
      <c r="AX36"/>
      <c r="AY36"/>
    </row>
    <row r="37" spans="1:51">
      <c r="A37" s="53" t="s">
        <v>274</v>
      </c>
      <c r="B37" t="s">
        <v>273</v>
      </c>
      <c r="C37" t="s">
        <v>323</v>
      </c>
      <c r="E37" s="57" t="s">
        <v>23</v>
      </c>
      <c r="F37" s="57">
        <v>3</v>
      </c>
      <c r="G37" s="57">
        <v>9</v>
      </c>
      <c r="H37">
        <v>3.052</v>
      </c>
      <c r="I37">
        <v>213</v>
      </c>
      <c r="J37">
        <v>152</v>
      </c>
      <c r="K37">
        <v>246</v>
      </c>
      <c r="L37">
        <v>81</v>
      </c>
      <c r="M37">
        <v>44</v>
      </c>
      <c r="N37">
        <v>67</v>
      </c>
      <c r="O37">
        <v>76</v>
      </c>
      <c r="P37">
        <v>59</v>
      </c>
      <c r="Q37">
        <v>70</v>
      </c>
      <c r="R37" s="4">
        <f t="shared" si="18"/>
        <v>110.36188373514163</v>
      </c>
      <c r="S37" s="4">
        <f t="shared" si="19"/>
        <v>113.44444444444444</v>
      </c>
      <c r="T37" s="7">
        <f t="shared" si="20"/>
        <v>111.90316408979304</v>
      </c>
      <c r="U37">
        <f t="shared" si="21"/>
        <v>5598548</v>
      </c>
      <c r="V37" s="4">
        <f t="shared" si="22"/>
        <v>60.575046742719842</v>
      </c>
      <c r="W37" s="4">
        <f t="shared" si="23"/>
        <v>65.466666666666669</v>
      </c>
      <c r="X37" s="7">
        <f t="shared" si="24"/>
        <v>63.020856704693259</v>
      </c>
      <c r="Y37" s="7">
        <f t="shared" si="25"/>
        <v>1.7756528543265493</v>
      </c>
      <c r="Z37" s="4">
        <f t="shared" si="26"/>
        <v>0.26291926285453926</v>
      </c>
      <c r="AA37" s="4">
        <f t="shared" si="16"/>
        <v>159.18050778790555</v>
      </c>
      <c r="AB37" s="4">
        <f t="shared" si="27"/>
        <v>8.0123383929655194</v>
      </c>
      <c r="AC37" s="4">
        <f t="shared" si="28"/>
        <v>6.0552059447514166</v>
      </c>
      <c r="AD37" s="4">
        <f t="shared" si="29"/>
        <v>4.5441209950360344</v>
      </c>
      <c r="AE37" s="4">
        <f t="shared" si="17"/>
        <v>1.7632317453074293</v>
      </c>
      <c r="AF37" s="4">
        <f t="shared" si="30"/>
        <v>0.43169665105202348</v>
      </c>
      <c r="AG37" s="8">
        <f t="shared" si="31"/>
        <v>0.175820345566332</v>
      </c>
      <c r="AH37" s="8">
        <f t="shared" si="32"/>
        <v>3.8809532111474303E-2</v>
      </c>
      <c r="AI37" s="8">
        <f t="shared" si="33"/>
        <v>1.3773340255282285E-2</v>
      </c>
      <c r="AL37" s="8">
        <v>4.5679999999999998E-2</v>
      </c>
      <c r="AM37" s="8">
        <v>0.45989999999999998</v>
      </c>
      <c r="AN37" s="4">
        <v>-9</v>
      </c>
      <c r="AO37" s="4">
        <v>14</v>
      </c>
      <c r="AP37" s="4">
        <v>11</v>
      </c>
      <c r="AQ37" s="4">
        <v>17</v>
      </c>
      <c r="AR37" s="4">
        <v>28</v>
      </c>
      <c r="AS37" s="4">
        <v>-22</v>
      </c>
      <c r="AX37"/>
      <c r="AY37"/>
    </row>
    <row r="38" spans="1:51">
      <c r="A38" s="53" t="s">
        <v>657</v>
      </c>
      <c r="B38" t="s">
        <v>311</v>
      </c>
      <c r="C38" t="s">
        <v>328</v>
      </c>
      <c r="E38" s="57" t="s">
        <v>23</v>
      </c>
      <c r="F38" s="57">
        <v>3</v>
      </c>
      <c r="G38" s="57">
        <v>9</v>
      </c>
      <c r="H38">
        <v>4.1079999999999997</v>
      </c>
      <c r="I38">
        <v>482</v>
      </c>
      <c r="J38">
        <v>537</v>
      </c>
      <c r="K38">
        <v>485</v>
      </c>
      <c r="L38">
        <v>204</v>
      </c>
      <c r="M38">
        <v>186</v>
      </c>
      <c r="N38">
        <v>147</v>
      </c>
      <c r="O38">
        <v>144</v>
      </c>
      <c r="P38">
        <v>147</v>
      </c>
      <c r="Q38">
        <v>146</v>
      </c>
      <c r="R38" s="4">
        <f t="shared" si="18"/>
        <v>263.69403584623433</v>
      </c>
      <c r="S38" s="4">
        <f t="shared" si="19"/>
        <v>264.22222222222223</v>
      </c>
      <c r="T38" s="7">
        <f t="shared" si="20"/>
        <v>263.95812903422825</v>
      </c>
      <c r="U38">
        <f t="shared" si="21"/>
        <v>99780241</v>
      </c>
      <c r="V38" s="4">
        <f t="shared" si="22"/>
        <v>176.23648423104495</v>
      </c>
      <c r="W38" s="4">
        <f t="shared" si="23"/>
        <v>178.53333333333333</v>
      </c>
      <c r="X38" s="7">
        <f t="shared" si="24"/>
        <v>177.38490878218914</v>
      </c>
      <c r="Y38" s="7">
        <f t="shared" si="25"/>
        <v>1.4880529062274532</v>
      </c>
      <c r="Z38" s="4">
        <f t="shared" si="26"/>
        <v>0.22548381604081341</v>
      </c>
      <c r="AA38" s="4">
        <f t="shared" si="16"/>
        <v>434.76466984489753</v>
      </c>
      <c r="AB38" s="4">
        <f t="shared" si="27"/>
        <v>11.037593333153538</v>
      </c>
      <c r="AC38" s="4">
        <f t="shared" si="28"/>
        <v>8.0159002321752979</v>
      </c>
      <c r="AD38" s="4">
        <f t="shared" si="29"/>
        <v>6.5711762677556873</v>
      </c>
      <c r="AE38" s="4">
        <f t="shared" si="17"/>
        <v>1.6796982584859661</v>
      </c>
      <c r="AF38" s="4">
        <f t="shared" si="30"/>
        <v>6.7166864272516946E-2</v>
      </c>
      <c r="AG38" s="8">
        <f t="shared" si="31"/>
        <v>2.9022950071968482E-2</v>
      </c>
      <c r="AH38" s="8">
        <f t="shared" si="32"/>
        <v>6.4741953474426531E-3</v>
      </c>
      <c r="AI38" s="8">
        <f t="shared" si="33"/>
        <v>1.0005116681203038E-3</v>
      </c>
      <c r="AJ38" s="7">
        <v>13.7</v>
      </c>
      <c r="AK38" s="7">
        <v>33</v>
      </c>
      <c r="AL38" s="8">
        <v>0.13500000000000001</v>
      </c>
      <c r="AM38" s="8">
        <v>0.31669999999999998</v>
      </c>
      <c r="AN38" s="4">
        <v>19</v>
      </c>
      <c r="AO38" s="4">
        <v>-22</v>
      </c>
      <c r="AP38" s="4">
        <v>28</v>
      </c>
      <c r="AQ38" s="4">
        <v>-17</v>
      </c>
      <c r="AR38" s="4">
        <v>22</v>
      </c>
      <c r="AS38" s="4">
        <v>29</v>
      </c>
      <c r="AX38"/>
      <c r="AY38"/>
    </row>
    <row r="39" spans="1:51">
      <c r="A39" s="53" t="s">
        <v>657</v>
      </c>
      <c r="B39" t="s">
        <v>311</v>
      </c>
      <c r="C39" t="s">
        <v>328</v>
      </c>
      <c r="E39" s="57" t="s">
        <v>23</v>
      </c>
      <c r="F39" s="57">
        <v>3</v>
      </c>
      <c r="G39" s="57">
        <v>9</v>
      </c>
      <c r="H39">
        <v>4.1059999999999999</v>
      </c>
      <c r="I39" s="6">
        <v>481</v>
      </c>
      <c r="J39" s="6">
        <v>528</v>
      </c>
      <c r="K39" s="6">
        <v>456</v>
      </c>
      <c r="L39" s="6">
        <v>200</v>
      </c>
      <c r="M39" s="6">
        <v>182</v>
      </c>
      <c r="N39" s="6">
        <v>147</v>
      </c>
      <c r="O39" s="6">
        <v>125</v>
      </c>
      <c r="P39" s="6">
        <v>139</v>
      </c>
      <c r="Q39" s="6">
        <v>146</v>
      </c>
      <c r="R39" s="4">
        <f t="shared" si="18"/>
        <v>253.25837377718423</v>
      </c>
      <c r="S39" s="4">
        <f t="shared" si="19"/>
        <v>253.88888888888889</v>
      </c>
      <c r="T39" s="7">
        <f t="shared" si="20"/>
        <v>253.57363133303656</v>
      </c>
      <c r="U39">
        <f t="shared" si="21"/>
        <v>93303424</v>
      </c>
      <c r="V39" s="4">
        <f t="shared" si="22"/>
        <v>173.82044464306452</v>
      </c>
      <c r="W39" s="4">
        <f t="shared" si="23"/>
        <v>176.13333333333333</v>
      </c>
      <c r="X39" s="7">
        <f t="shared" si="24"/>
        <v>174.97688898819894</v>
      </c>
      <c r="Y39" s="7">
        <f t="shared" si="25"/>
        <v>1.4491835624654321</v>
      </c>
      <c r="Z39" s="4">
        <f t="shared" si="26"/>
        <v>0.21949774996329305</v>
      </c>
      <c r="AA39" s="4">
        <f t="shared" si="16"/>
        <v>426.76784483337104</v>
      </c>
      <c r="AB39" s="4">
        <f t="shared" si="27"/>
        <v>10.889295364141475</v>
      </c>
      <c r="AC39" s="4">
        <f t="shared" si="28"/>
        <v>7.8585527468157439</v>
      </c>
      <c r="AD39" s="4">
        <f t="shared" si="29"/>
        <v>6.5280109290480519</v>
      </c>
      <c r="AE39" s="4">
        <f t="shared" si="17"/>
        <v>1.6680877961902261</v>
      </c>
      <c r="AF39" s="4">
        <f t="shared" si="30"/>
        <v>6.9020585916332422E-2</v>
      </c>
      <c r="AG39" s="8">
        <f t="shared" si="31"/>
        <v>2.9661746432318354E-2</v>
      </c>
      <c r="AH39" s="8">
        <f t="shared" si="32"/>
        <v>6.6091262213057063E-3</v>
      </c>
      <c r="AI39" s="8">
        <f t="shared" si="33"/>
        <v>1.2432584342268469E-3</v>
      </c>
      <c r="AX39"/>
      <c r="AY39"/>
    </row>
    <row r="40" spans="1:51">
      <c r="A40" s="53" t="s">
        <v>657</v>
      </c>
      <c r="B40" t="s">
        <v>978</v>
      </c>
      <c r="C40" t="s">
        <v>328</v>
      </c>
      <c r="E40" s="57" t="s">
        <v>23</v>
      </c>
      <c r="F40" s="57">
        <v>3</v>
      </c>
      <c r="G40" s="57">
        <v>9</v>
      </c>
      <c r="H40" s="8">
        <v>4.18</v>
      </c>
      <c r="I40" s="6">
        <v>461.3</v>
      </c>
      <c r="J40" s="6">
        <v>509.7</v>
      </c>
      <c r="K40" s="6">
        <v>425.7</v>
      </c>
      <c r="L40" s="6">
        <v>188.8</v>
      </c>
      <c r="M40" s="6">
        <v>166.5</v>
      </c>
      <c r="N40" s="6">
        <v>127.2</v>
      </c>
      <c r="O40" s="6">
        <v>141.69999999999999</v>
      </c>
      <c r="P40" s="19">
        <v>130</v>
      </c>
      <c r="Q40" s="81">
        <v>161</v>
      </c>
      <c r="R40" s="4">
        <f t="shared" si="18"/>
        <v>249.52637896277037</v>
      </c>
      <c r="S40" s="4">
        <f t="shared" si="19"/>
        <v>251.34444444444443</v>
      </c>
      <c r="T40" s="7">
        <f t="shared" si="20"/>
        <v>250.4354117036074</v>
      </c>
      <c r="U40">
        <f t="shared" si="21"/>
        <v>76905237.703999996</v>
      </c>
      <c r="V40" s="4">
        <f t="shared" si="22"/>
        <v>157.62369163644291</v>
      </c>
      <c r="W40" s="4">
        <f t="shared" si="23"/>
        <v>160.76666666666668</v>
      </c>
      <c r="X40" s="7">
        <f t="shared" si="24"/>
        <v>159.19517915155478</v>
      </c>
      <c r="Y40" s="7">
        <f t="shared" si="25"/>
        <v>1.5731343941338283</v>
      </c>
      <c r="Z40" s="4">
        <f t="shared" si="26"/>
        <v>0.23773487334911503</v>
      </c>
      <c r="AA40" s="4">
        <f t="shared" si="16"/>
        <v>394.08284980987867</v>
      </c>
      <c r="AB40" s="4">
        <f t="shared" si="27"/>
        <v>10.521061703619788</v>
      </c>
      <c r="AC40" s="4">
        <f t="shared" si="28"/>
        <v>7.7403344836979304</v>
      </c>
      <c r="AD40" s="4">
        <f t="shared" si="29"/>
        <v>6.1713022198632199</v>
      </c>
      <c r="AE40" s="4">
        <f t="shared" si="17"/>
        <v>1.704836569137101</v>
      </c>
      <c r="AF40" s="4">
        <f t="shared" si="30"/>
        <v>0.10698475260996698</v>
      </c>
      <c r="AG40" s="8">
        <f t="shared" si="31"/>
        <v>4.4740812401574404E-2</v>
      </c>
      <c r="AH40" s="8">
        <f t="shared" si="32"/>
        <v>9.8714516575644385E-3</v>
      </c>
      <c r="AI40" s="8">
        <f t="shared" si="33"/>
        <v>3.6298091178610268E-3</v>
      </c>
      <c r="AX40"/>
      <c r="AY40"/>
    </row>
    <row r="41" spans="1:51">
      <c r="A41" s="53" t="s">
        <v>322</v>
      </c>
      <c r="B41" t="s">
        <v>455</v>
      </c>
      <c r="C41" t="s">
        <v>331</v>
      </c>
      <c r="E41" s="57" t="s">
        <v>23</v>
      </c>
      <c r="F41" s="57">
        <v>3</v>
      </c>
      <c r="G41" s="57">
        <v>9</v>
      </c>
      <c r="I41">
        <v>279.8</v>
      </c>
      <c r="J41">
        <v>249.2</v>
      </c>
      <c r="K41">
        <v>209.4</v>
      </c>
      <c r="L41">
        <v>51.8</v>
      </c>
      <c r="M41">
        <v>81.400000000000006</v>
      </c>
      <c r="N41">
        <v>66.3</v>
      </c>
      <c r="O41">
        <v>94.7</v>
      </c>
      <c r="P41">
        <v>88.7</v>
      </c>
      <c r="Q41">
        <v>27.5</v>
      </c>
      <c r="R41" s="4">
        <f t="shared" si="18"/>
        <v>121.63667707246405</v>
      </c>
      <c r="S41" s="4">
        <f t="shared" si="19"/>
        <v>128.91111111111113</v>
      </c>
      <c r="T41" s="7">
        <f t="shared" si="20"/>
        <v>125.27389409178758</v>
      </c>
      <c r="U41">
        <f t="shared" si="21"/>
        <v>11012506.710000001</v>
      </c>
      <c r="V41" s="4">
        <f t="shared" si="22"/>
        <v>70.643468130945919</v>
      </c>
      <c r="W41" s="4">
        <f t="shared" si="23"/>
        <v>75.066666666666663</v>
      </c>
      <c r="X41" s="7">
        <f t="shared" si="24"/>
        <v>72.855067398806284</v>
      </c>
      <c r="Y41" s="7">
        <f t="shared" si="25"/>
        <v>1.7194945878787311</v>
      </c>
      <c r="Z41" s="4">
        <f t="shared" si="26"/>
        <v>0.2564335544964812</v>
      </c>
      <c r="AA41" s="4">
        <f t="shared" si="16"/>
        <v>183.07510258992579</v>
      </c>
      <c r="AB41" s="4" t="e">
        <f t="shared" si="27"/>
        <v>#DIV/0!</v>
      </c>
      <c r="AC41" s="4" t="e">
        <f t="shared" si="28"/>
        <v>#DIV/0!</v>
      </c>
      <c r="AD41" s="4" t="e">
        <f t="shared" si="29"/>
        <v>#DIV/0!</v>
      </c>
      <c r="AE41" s="4" t="e">
        <f t="shared" si="17"/>
        <v>#DIV/0!</v>
      </c>
      <c r="AF41" s="4">
        <f t="shared" si="30"/>
        <v>0.3728695439058427</v>
      </c>
      <c r="AG41" s="8">
        <f t="shared" si="31"/>
        <v>0.14769922716691147</v>
      </c>
      <c r="AH41" s="8">
        <f t="shared" si="32"/>
        <v>3.0356148814661702E-2</v>
      </c>
      <c r="AI41" s="8">
        <f t="shared" si="33"/>
        <v>2.9034117967615541E-2</v>
      </c>
      <c r="AL41" s="5">
        <v>-1.391E-2</v>
      </c>
      <c r="AM41" s="4">
        <v>0.4229</v>
      </c>
      <c r="AN41" s="4">
        <v>0</v>
      </c>
      <c r="AO41" s="4">
        <v>1</v>
      </c>
      <c r="AP41" s="4">
        <v>0</v>
      </c>
      <c r="AQ41" s="4">
        <v>0</v>
      </c>
      <c r="AR41" s="4">
        <v>0</v>
      </c>
      <c r="AS41" s="4">
        <v>1</v>
      </c>
      <c r="AX41"/>
      <c r="AY41"/>
    </row>
    <row r="42" spans="1:51">
      <c r="A42" s="53" t="s">
        <v>268</v>
      </c>
      <c r="B42" t="s">
        <v>267</v>
      </c>
      <c r="E42" s="57" t="s">
        <v>23</v>
      </c>
      <c r="F42" s="57">
        <v>3</v>
      </c>
      <c r="G42" s="57">
        <v>9</v>
      </c>
      <c r="H42">
        <v>3.79</v>
      </c>
      <c r="I42">
        <v>343</v>
      </c>
      <c r="J42">
        <v>185</v>
      </c>
      <c r="K42">
        <v>147</v>
      </c>
      <c r="L42">
        <v>46</v>
      </c>
      <c r="M42">
        <v>70</v>
      </c>
      <c r="N42">
        <v>92</v>
      </c>
      <c r="O42">
        <v>67</v>
      </c>
      <c r="P42">
        <v>61</v>
      </c>
      <c r="Q42">
        <v>128</v>
      </c>
      <c r="R42" s="4">
        <f t="shared" si="18"/>
        <v>124.5721756939619</v>
      </c>
      <c r="S42" s="4">
        <f t="shared" si="19"/>
        <v>131.88888888888889</v>
      </c>
      <c r="T42" s="7">
        <f t="shared" si="20"/>
        <v>128.23053229142539</v>
      </c>
      <c r="U42">
        <f t="shared" si="21"/>
        <v>3406177</v>
      </c>
      <c r="V42" s="4">
        <f t="shared" si="22"/>
        <v>45.481672820803013</v>
      </c>
      <c r="W42" s="4">
        <f t="shared" si="23"/>
        <v>69.533333333333331</v>
      </c>
      <c r="X42" s="7">
        <f t="shared" si="24"/>
        <v>57.507503077068172</v>
      </c>
      <c r="Y42" s="7">
        <f t="shared" si="25"/>
        <v>2.2298052502745316</v>
      </c>
      <c r="Z42" s="4">
        <f t="shared" si="26"/>
        <v>0.3049266617116731</v>
      </c>
      <c r="AA42" s="4">
        <f t="shared" si="16"/>
        <v>150.0861480274647</v>
      </c>
      <c r="AB42" s="4">
        <f t="shared" si="27"/>
        <v>7.3529058937278915</v>
      </c>
      <c r="AC42" s="4">
        <f t="shared" si="28"/>
        <v>5.8166926627902233</v>
      </c>
      <c r="AD42" s="4">
        <f t="shared" si="29"/>
        <v>3.8953156048638164</v>
      </c>
      <c r="AE42" s="4">
        <f t="shared" si="17"/>
        <v>1.8876277661678598</v>
      </c>
      <c r="AF42" s="4">
        <f t="shared" si="30"/>
        <v>2.7028393800056669</v>
      </c>
      <c r="AG42" s="8">
        <f t="shared" si="31"/>
        <v>0.95091807622600399</v>
      </c>
      <c r="AH42" s="8">
        <f t="shared" si="32"/>
        <v>0.20911758662428534</v>
      </c>
      <c r="AI42" s="8">
        <f t="shared" si="33"/>
        <v>2.8529528280747257E-2</v>
      </c>
      <c r="AJ42" s="12"/>
      <c r="AK42" s="12"/>
      <c r="AL42" s="9">
        <v>-0.20080000000000001</v>
      </c>
      <c r="AM42" s="8">
        <v>0.94510000000000005</v>
      </c>
      <c r="AN42" s="5">
        <v>-32</v>
      </c>
      <c r="AO42" s="5">
        <v>25</v>
      </c>
      <c r="AP42" s="5">
        <v>0</v>
      </c>
      <c r="AQ42" s="5">
        <v>25</v>
      </c>
      <c r="AR42" s="5">
        <v>32</v>
      </c>
      <c r="AS42" s="5">
        <v>0</v>
      </c>
      <c r="AX42"/>
      <c r="AY42"/>
    </row>
    <row r="43" spans="1:51">
      <c r="A43" s="53" t="s">
        <v>296</v>
      </c>
      <c r="B43" t="s">
        <v>295</v>
      </c>
      <c r="E43" s="57" t="s">
        <v>23</v>
      </c>
      <c r="F43" s="57">
        <v>3</v>
      </c>
      <c r="G43" s="57">
        <v>9</v>
      </c>
      <c r="I43">
        <v>226</v>
      </c>
      <c r="J43">
        <v>214</v>
      </c>
      <c r="K43">
        <v>259</v>
      </c>
      <c r="L43">
        <v>65</v>
      </c>
      <c r="M43">
        <v>60</v>
      </c>
      <c r="N43">
        <v>17</v>
      </c>
      <c r="O43">
        <v>69</v>
      </c>
      <c r="P43">
        <v>65</v>
      </c>
      <c r="Q43">
        <v>82</v>
      </c>
      <c r="R43" s="4">
        <f t="shared" si="18"/>
        <v>124.84653079262745</v>
      </c>
      <c r="S43" s="4">
        <f t="shared" si="19"/>
        <v>125.66666666666667</v>
      </c>
      <c r="T43" s="7">
        <f t="shared" si="20"/>
        <v>125.25659872964707</v>
      </c>
      <c r="U43">
        <f t="shared" si="21"/>
        <v>9604943</v>
      </c>
      <c r="V43" s="4">
        <f t="shared" si="22"/>
        <v>43.079759529654851</v>
      </c>
      <c r="W43" s="4">
        <f t="shared" si="23"/>
        <v>60.6</v>
      </c>
      <c r="X43" s="7">
        <f t="shared" si="24"/>
        <v>51.83987976482743</v>
      </c>
      <c r="Y43" s="7">
        <f t="shared" si="25"/>
        <v>2.4162208573375543</v>
      </c>
      <c r="Z43" s="4">
        <f t="shared" si="26"/>
        <v>0.31815233840581242</v>
      </c>
      <c r="AA43" s="4">
        <f t="shared" si="16"/>
        <v>136.66571746936688</v>
      </c>
      <c r="AB43" s="4" t="e">
        <f t="shared" si="27"/>
        <v>#DIV/0!</v>
      </c>
      <c r="AC43" s="4" t="e">
        <f t="shared" si="28"/>
        <v>#DIV/0!</v>
      </c>
      <c r="AD43" s="4" t="e">
        <f t="shared" si="29"/>
        <v>#DIV/0!</v>
      </c>
      <c r="AE43" s="4" t="e">
        <f t="shared" si="17"/>
        <v>#DIV/0!</v>
      </c>
      <c r="AF43" s="4">
        <f t="shared" si="30"/>
        <v>2.0400345965795914</v>
      </c>
      <c r="AG43" s="8">
        <f t="shared" si="31"/>
        <v>0.76306755760198985</v>
      </c>
      <c r="AH43" s="8">
        <f t="shared" si="32"/>
        <v>0.16898419276651533</v>
      </c>
      <c r="AI43" s="8">
        <f t="shared" si="33"/>
        <v>3.27382302552139E-3</v>
      </c>
      <c r="AL43" s="5">
        <v>-8.7889999999999996E-2</v>
      </c>
      <c r="AM43" s="4">
        <v>0.80500000000000005</v>
      </c>
      <c r="AN43" s="4">
        <v>-18</v>
      </c>
      <c r="AO43" s="4">
        <v>19</v>
      </c>
      <c r="AP43" s="4">
        <v>-30</v>
      </c>
      <c r="AQ43" s="4">
        <v>22</v>
      </c>
      <c r="AR43" s="4">
        <v>-21</v>
      </c>
      <c r="AS43" s="4">
        <v>-26</v>
      </c>
      <c r="AX43"/>
      <c r="AY43"/>
    </row>
    <row r="44" spans="1:51">
      <c r="A44" s="53" t="s">
        <v>308</v>
      </c>
      <c r="B44" t="s">
        <v>307</v>
      </c>
      <c r="C44" t="s">
        <v>327</v>
      </c>
      <c r="E44" s="57" t="s">
        <v>23</v>
      </c>
      <c r="F44" s="57">
        <v>3</v>
      </c>
      <c r="G44" s="57">
        <v>9</v>
      </c>
      <c r="H44">
        <v>3.327</v>
      </c>
      <c r="I44">
        <v>280</v>
      </c>
      <c r="J44">
        <v>307</v>
      </c>
      <c r="K44">
        <v>293</v>
      </c>
      <c r="L44">
        <v>90</v>
      </c>
      <c r="M44">
        <v>99.2</v>
      </c>
      <c r="N44">
        <v>89.6</v>
      </c>
      <c r="O44">
        <v>66</v>
      </c>
      <c r="P44">
        <v>106</v>
      </c>
      <c r="Q44">
        <v>82</v>
      </c>
      <c r="R44" s="4">
        <f t="shared" si="18"/>
        <v>153.91630447504974</v>
      </c>
      <c r="S44" s="4">
        <f t="shared" si="19"/>
        <v>154.22222222222223</v>
      </c>
      <c r="T44" s="7">
        <f t="shared" si="20"/>
        <v>154.06926334863599</v>
      </c>
      <c r="U44">
        <f t="shared" si="21"/>
        <v>19725144</v>
      </c>
      <c r="V44" s="4">
        <f t="shared" si="22"/>
        <v>96.315075695369202</v>
      </c>
      <c r="W44" s="4">
        <f t="shared" si="23"/>
        <v>97.493333333333325</v>
      </c>
      <c r="X44" s="7">
        <f t="shared" si="24"/>
        <v>96.904204514351264</v>
      </c>
      <c r="Y44" s="7">
        <f t="shared" si="25"/>
        <v>1.5899130911891313</v>
      </c>
      <c r="Z44" s="4">
        <f t="shared" si="26"/>
        <v>0.2400229145757293</v>
      </c>
      <c r="AA44" s="4">
        <f t="shared" si="16"/>
        <v>240.32686823305681</v>
      </c>
      <c r="AB44" s="4">
        <f t="shared" si="27"/>
        <v>9.2273633751228612</v>
      </c>
      <c r="AC44" s="4">
        <f t="shared" si="28"/>
        <v>6.8050544200133736</v>
      </c>
      <c r="AD44" s="4">
        <f t="shared" si="29"/>
        <v>5.3969066971656465</v>
      </c>
      <c r="AE44" s="4">
        <f t="shared" si="17"/>
        <v>1.7097503983103688</v>
      </c>
      <c r="AF44" s="4">
        <f t="shared" si="30"/>
        <v>6.3154392480111454E-2</v>
      </c>
      <c r="AG44" s="8">
        <f t="shared" si="31"/>
        <v>2.7261079210254446E-2</v>
      </c>
      <c r="AH44" s="8">
        <f t="shared" si="32"/>
        <v>6.0794969829695358E-3</v>
      </c>
      <c r="AI44" s="8">
        <f t="shared" si="33"/>
        <v>9.9279291833907161E-4</v>
      </c>
      <c r="AJ44" s="7">
        <v>6.9</v>
      </c>
      <c r="AK44" s="7">
        <v>11.71</v>
      </c>
      <c r="AL44" s="8">
        <v>0.12790000000000001</v>
      </c>
      <c r="AM44" s="8">
        <v>0.33250000000000002</v>
      </c>
      <c r="AN44" s="4">
        <v>1</v>
      </c>
      <c r="AO44" s="4">
        <v>0</v>
      </c>
      <c r="AP44" s="4">
        <v>0</v>
      </c>
      <c r="AQ44" s="4">
        <v>0</v>
      </c>
      <c r="AR44" s="4">
        <v>1</v>
      </c>
      <c r="AS44" s="4">
        <v>0</v>
      </c>
      <c r="AX44"/>
      <c r="AY44"/>
    </row>
    <row r="45" spans="1:51">
      <c r="A45" s="53" t="s">
        <v>308</v>
      </c>
      <c r="B45" t="s">
        <v>615</v>
      </c>
      <c r="C45" t="s">
        <v>327</v>
      </c>
      <c r="E45" s="57" t="s">
        <v>23</v>
      </c>
      <c r="F45" s="57">
        <v>3</v>
      </c>
      <c r="G45" s="57">
        <v>9</v>
      </c>
      <c r="H45">
        <v>3.339</v>
      </c>
      <c r="I45">
        <v>280</v>
      </c>
      <c r="J45">
        <v>309</v>
      </c>
      <c r="K45">
        <v>289</v>
      </c>
      <c r="L45">
        <v>90</v>
      </c>
      <c r="M45">
        <v>100</v>
      </c>
      <c r="N45">
        <v>91</v>
      </c>
      <c r="O45">
        <v>67</v>
      </c>
      <c r="P45">
        <v>94</v>
      </c>
      <c r="Q45">
        <v>75</v>
      </c>
      <c r="R45" s="4">
        <f t="shared" si="18"/>
        <v>149.91515557880621</v>
      </c>
      <c r="S45" s="4">
        <f t="shared" si="19"/>
        <v>150</v>
      </c>
      <c r="T45" s="7">
        <f t="shared" si="20"/>
        <v>149.9575777894031</v>
      </c>
      <c r="U45">
        <f t="shared" si="21"/>
        <v>20346335</v>
      </c>
      <c r="V45" s="4">
        <f t="shared" si="22"/>
        <v>97.986389779944602</v>
      </c>
      <c r="W45" s="4">
        <f t="shared" si="23"/>
        <v>99</v>
      </c>
      <c r="X45" s="7">
        <f t="shared" si="24"/>
        <v>98.493194889972301</v>
      </c>
      <c r="Y45" s="7">
        <f t="shared" si="25"/>
        <v>1.5225171440211902</v>
      </c>
      <c r="Z45" s="4">
        <f t="shared" si="26"/>
        <v>0.23058174346419347</v>
      </c>
      <c r="AA45" s="4">
        <f t="shared" si="16"/>
        <v>242.40785497412142</v>
      </c>
      <c r="AB45" s="4">
        <f t="shared" si="27"/>
        <v>9.178308178149587</v>
      </c>
      <c r="AC45" s="4">
        <f t="shared" si="28"/>
        <v>6.7015613676755139</v>
      </c>
      <c r="AD45" s="4">
        <f t="shared" si="29"/>
        <v>5.4311888372873787</v>
      </c>
      <c r="AE45" s="4">
        <f t="shared" si="17"/>
        <v>1.6899261751196477</v>
      </c>
      <c r="AF45" s="4">
        <f t="shared" si="30"/>
        <v>5.2287939877563971E-2</v>
      </c>
      <c r="AG45" s="8">
        <f t="shared" si="31"/>
        <v>2.3018913372613983E-2</v>
      </c>
      <c r="AH45" s="8">
        <f t="shared" si="32"/>
        <v>5.1455850385791202E-3</v>
      </c>
      <c r="AI45" s="8">
        <f t="shared" si="33"/>
        <v>2.8289474411538775E-4</v>
      </c>
      <c r="AJ45" s="7">
        <v>6.9</v>
      </c>
      <c r="AK45" s="7">
        <v>11.6</v>
      </c>
      <c r="AX45"/>
      <c r="AY45"/>
    </row>
    <row r="46" spans="1:51">
      <c r="A46" s="53" t="s">
        <v>926</v>
      </c>
      <c r="B46" t="s">
        <v>920</v>
      </c>
      <c r="D46" t="s">
        <v>922</v>
      </c>
      <c r="E46" s="57" t="s">
        <v>23</v>
      </c>
      <c r="F46" s="57">
        <v>3</v>
      </c>
      <c r="G46" s="57">
        <v>9</v>
      </c>
      <c r="H46">
        <v>3.5569999999999999</v>
      </c>
      <c r="I46" s="6">
        <v>278.8</v>
      </c>
      <c r="J46" s="6">
        <v>344.8</v>
      </c>
      <c r="K46" s="6">
        <v>292.3</v>
      </c>
      <c r="L46" s="6">
        <v>108.6</v>
      </c>
      <c r="M46" s="6">
        <v>132.9</v>
      </c>
      <c r="N46" s="6">
        <v>130.30000000000001</v>
      </c>
      <c r="O46" s="6">
        <v>120.4</v>
      </c>
      <c r="P46" s="6">
        <v>80.599999999999994</v>
      </c>
      <c r="Q46" s="6">
        <v>80.3</v>
      </c>
      <c r="R46" s="4">
        <f t="shared" si="18"/>
        <v>162.09388145058938</v>
      </c>
      <c r="S46" s="4">
        <f t="shared" si="19"/>
        <v>164.27777777777777</v>
      </c>
      <c r="T46" s="7">
        <f t="shared" si="20"/>
        <v>163.18582961418358</v>
      </c>
      <c r="U46">
        <f t="shared" si="21"/>
        <v>21382470.108000003</v>
      </c>
      <c r="V46" s="4">
        <f t="shared" si="22"/>
        <v>114.2374456933551</v>
      </c>
      <c r="W46" s="4">
        <f t="shared" si="23"/>
        <v>116.66666666666669</v>
      </c>
      <c r="X46" s="7">
        <f t="shared" si="24"/>
        <v>115.45205618001089</v>
      </c>
      <c r="Y46" s="7">
        <f t="shared" si="25"/>
        <v>1.4134510463784811</v>
      </c>
      <c r="Z46" s="4">
        <f t="shared" si="26"/>
        <v>0.21375974859444855</v>
      </c>
      <c r="AA46" s="4">
        <f t="shared" si="16"/>
        <v>280.2621173675243</v>
      </c>
      <c r="AB46" s="4">
        <f t="shared" si="27"/>
        <v>9.442156358869072</v>
      </c>
      <c r="AC46" s="4">
        <f t="shared" si="28"/>
        <v>6.773284055362339</v>
      </c>
      <c r="AD46" s="4">
        <f t="shared" si="29"/>
        <v>5.6971663884802846</v>
      </c>
      <c r="AE46" s="4">
        <f t="shared" si="17"/>
        <v>1.6573425655886032</v>
      </c>
      <c r="AF46" s="4">
        <f t="shared" si="30"/>
        <v>0.11979635695645108</v>
      </c>
      <c r="AG46" s="8">
        <f t="shared" si="31"/>
        <v>4.891705333838748E-2</v>
      </c>
      <c r="AH46" s="8">
        <f t="shared" si="32"/>
        <v>1.0520475137852836E-2</v>
      </c>
      <c r="AI46" s="8">
        <f t="shared" si="33"/>
        <v>6.6914398521971162E-3</v>
      </c>
      <c r="AJ46" s="7">
        <v>12</v>
      </c>
      <c r="AK46" s="7">
        <v>13.7</v>
      </c>
      <c r="AX46"/>
      <c r="AY46"/>
    </row>
    <row r="47" spans="1:51">
      <c r="A47" s="78" t="s">
        <v>925</v>
      </c>
      <c r="B47" t="s">
        <v>921</v>
      </c>
      <c r="D47" t="s">
        <v>922</v>
      </c>
      <c r="E47" s="57" t="s">
        <v>23</v>
      </c>
      <c r="F47" s="57">
        <v>3</v>
      </c>
      <c r="G47" s="57">
        <v>9</v>
      </c>
      <c r="H47">
        <v>3.39</v>
      </c>
      <c r="I47" s="6">
        <v>285.60000000000002</v>
      </c>
      <c r="J47" s="6">
        <v>357.3</v>
      </c>
      <c r="K47" s="6">
        <v>289.2</v>
      </c>
      <c r="L47" s="6">
        <v>105.4</v>
      </c>
      <c r="M47" s="6">
        <v>114.6</v>
      </c>
      <c r="N47" s="19">
        <v>122.5</v>
      </c>
      <c r="O47" s="6">
        <v>122</v>
      </c>
      <c r="P47" s="6">
        <v>76.900000000000006</v>
      </c>
      <c r="Q47" s="6">
        <v>87.9</v>
      </c>
      <c r="R47" s="4">
        <f t="shared" si="18"/>
        <v>163.96046632076101</v>
      </c>
      <c r="S47" s="4">
        <f t="shared" si="19"/>
        <v>167.30000000000004</v>
      </c>
      <c r="T47" s="7">
        <f t="shared" si="20"/>
        <v>165.63023316038053</v>
      </c>
      <c r="U47">
        <f t="shared" si="21"/>
        <v>22536651.386999998</v>
      </c>
      <c r="V47" s="4">
        <f t="shared" si="22"/>
        <v>110.28906101471279</v>
      </c>
      <c r="W47" s="4">
        <f t="shared" si="23"/>
        <v>111.52000000000001</v>
      </c>
      <c r="X47" s="7">
        <f t="shared" si="24"/>
        <v>110.9045305073564</v>
      </c>
      <c r="Y47" s="7">
        <f t="shared" si="25"/>
        <v>1.4934487563553063</v>
      </c>
      <c r="Z47" s="4">
        <f t="shared" si="26"/>
        <v>0.22629466709670826</v>
      </c>
      <c r="AA47" s="4">
        <f t="shared" si="16"/>
        <v>272.00326863607069</v>
      </c>
      <c r="AB47" s="4">
        <f t="shared" si="27"/>
        <v>9.6165868951184308</v>
      </c>
      <c r="AC47" s="4">
        <f t="shared" si="28"/>
        <v>6.9898838229629634</v>
      </c>
      <c r="AD47" s="4">
        <f t="shared" si="29"/>
        <v>5.7197203375368932</v>
      </c>
      <c r="AE47" s="4">
        <f t="shared" si="17"/>
        <v>1.6813036875260341</v>
      </c>
      <c r="AF47" s="4">
        <f t="shared" si="30"/>
        <v>7.6173045929577299E-2</v>
      </c>
      <c r="AG47" s="8">
        <f t="shared" si="31"/>
        <v>3.197684547878811E-2</v>
      </c>
      <c r="AH47" s="8">
        <f t="shared" si="32"/>
        <v>5.5495432858154291E-3</v>
      </c>
      <c r="AI47" s="8">
        <f t="shared" si="33"/>
        <v>1.0081292574180402E-2</v>
      </c>
      <c r="AJ47" s="7">
        <v>11.3</v>
      </c>
      <c r="AK47" s="7">
        <v>8.4</v>
      </c>
      <c r="AX47"/>
      <c r="AY47"/>
    </row>
    <row r="48" spans="1:51">
      <c r="A48" s="53" t="s">
        <v>283</v>
      </c>
      <c r="B48" t="s">
        <v>282</v>
      </c>
      <c r="E48" s="57" t="s">
        <v>23</v>
      </c>
      <c r="F48" s="57">
        <v>3</v>
      </c>
      <c r="G48" s="57">
        <v>9</v>
      </c>
      <c r="H48">
        <v>3.5630000000000002</v>
      </c>
      <c r="I48">
        <v>281</v>
      </c>
      <c r="J48">
        <v>349</v>
      </c>
      <c r="K48">
        <v>294</v>
      </c>
      <c r="L48">
        <v>108</v>
      </c>
      <c r="M48">
        <v>132</v>
      </c>
      <c r="N48">
        <v>131</v>
      </c>
      <c r="O48">
        <v>125</v>
      </c>
      <c r="P48">
        <v>84</v>
      </c>
      <c r="Q48">
        <v>88</v>
      </c>
      <c r="R48" s="4">
        <f t="shared" si="18"/>
        <v>166.18571207190453</v>
      </c>
      <c r="S48" s="4">
        <f t="shared" si="19"/>
        <v>168.66666666666666</v>
      </c>
      <c r="T48" s="7">
        <f t="shared" si="20"/>
        <v>167.42618936928559</v>
      </c>
      <c r="U48">
        <f t="shared" si="21"/>
        <v>21447928</v>
      </c>
      <c r="V48" s="4">
        <f t="shared" si="22"/>
        <v>113.54251319005432</v>
      </c>
      <c r="W48" s="4">
        <f t="shared" si="23"/>
        <v>116</v>
      </c>
      <c r="X48" s="7">
        <f t="shared" si="24"/>
        <v>114.77125659502715</v>
      </c>
      <c r="Y48" s="7">
        <f t="shared" si="25"/>
        <v>1.4587815306410079</v>
      </c>
      <c r="Z48" s="4">
        <f t="shared" si="26"/>
        <v>0.22100002625325096</v>
      </c>
      <c r="AA48" s="4">
        <f t="shared" si="16"/>
        <v>280.27141463129345</v>
      </c>
      <c r="AB48" s="4">
        <f t="shared" si="27"/>
        <v>9.4836451905622177</v>
      </c>
      <c r="AC48" s="4">
        <f t="shared" si="28"/>
        <v>6.8549420104126337</v>
      </c>
      <c r="AD48" s="4">
        <f t="shared" si="29"/>
        <v>5.6755591883765435</v>
      </c>
      <c r="AE48" s="4">
        <f t="shared" si="17"/>
        <v>1.6709622568970075</v>
      </c>
      <c r="AF48" s="4">
        <f t="shared" si="30"/>
        <v>0.12314760384322287</v>
      </c>
      <c r="AG48" s="8">
        <f t="shared" si="31"/>
        <v>5.0121249594599425E-2</v>
      </c>
      <c r="AH48" s="8">
        <f t="shared" si="32"/>
        <v>1.0706020317512829E-2</v>
      </c>
      <c r="AI48" s="8">
        <f t="shared" si="33"/>
        <v>7.4090995085899529E-3</v>
      </c>
      <c r="AL48" s="8">
        <v>7.1910000000000002E-2</v>
      </c>
      <c r="AM48" s="8">
        <v>0.38850000000000001</v>
      </c>
      <c r="AN48" s="4">
        <v>29</v>
      </c>
      <c r="AO48" s="4">
        <v>0</v>
      </c>
      <c r="AP48" s="4">
        <v>28</v>
      </c>
      <c r="AQ48" s="4">
        <v>-28</v>
      </c>
      <c r="AR48" s="4">
        <v>0</v>
      </c>
      <c r="AS48" s="4">
        <v>29</v>
      </c>
      <c r="AX48"/>
      <c r="AY48"/>
    </row>
    <row r="49" spans="1:51">
      <c r="A49" s="53" t="s">
        <v>287</v>
      </c>
      <c r="B49" t="s">
        <v>286</v>
      </c>
      <c r="C49" t="s">
        <v>324</v>
      </c>
      <c r="E49" s="57" t="s">
        <v>23</v>
      </c>
      <c r="F49" s="57">
        <v>3</v>
      </c>
      <c r="G49" s="57">
        <v>9</v>
      </c>
      <c r="H49">
        <v>3.145</v>
      </c>
      <c r="I49">
        <v>233.4</v>
      </c>
      <c r="J49">
        <v>289</v>
      </c>
      <c r="K49">
        <v>380.1</v>
      </c>
      <c r="L49">
        <v>99.5</v>
      </c>
      <c r="M49">
        <v>87.8</v>
      </c>
      <c r="N49">
        <v>112.3</v>
      </c>
      <c r="O49">
        <v>81.400000000000006</v>
      </c>
      <c r="P49">
        <v>116.2</v>
      </c>
      <c r="Q49">
        <v>97.7</v>
      </c>
      <c r="R49" s="4">
        <f t="shared" si="18"/>
        <v>158.01165152437935</v>
      </c>
      <c r="S49" s="4">
        <f t="shared" si="19"/>
        <v>165.89999999999998</v>
      </c>
      <c r="T49" s="7">
        <f t="shared" si="20"/>
        <v>161.95582576218965</v>
      </c>
      <c r="U49">
        <f t="shared" si="21"/>
        <v>18838356.090000004</v>
      </c>
      <c r="V49" s="4">
        <f t="shared" si="22"/>
        <v>97.623664236874106</v>
      </c>
      <c r="W49" s="4">
        <f t="shared" si="23"/>
        <v>100.4</v>
      </c>
      <c r="X49" s="7">
        <f t="shared" si="24"/>
        <v>99.011832118437056</v>
      </c>
      <c r="Y49" s="7">
        <f t="shared" si="25"/>
        <v>1.6357219364293709</v>
      </c>
      <c r="Z49" s="4">
        <f t="shared" si="26"/>
        <v>0.24607111964904055</v>
      </c>
      <c r="AA49" s="4">
        <f t="shared" si="16"/>
        <v>246.75156901264739</v>
      </c>
      <c r="AB49" s="4">
        <f t="shared" si="27"/>
        <v>9.6681273996042272</v>
      </c>
      <c r="AC49" s="4">
        <f t="shared" si="28"/>
        <v>7.1760914152967858</v>
      </c>
      <c r="AD49" s="4">
        <f t="shared" si="29"/>
        <v>5.6109089781167638</v>
      </c>
      <c r="AE49" s="4">
        <f t="shared" si="17"/>
        <v>1.7230946781191987</v>
      </c>
      <c r="AF49" s="4">
        <f t="shared" si="30"/>
        <v>0.1921184134188012</v>
      </c>
      <c r="AG49" s="8">
        <f t="shared" si="31"/>
        <v>7.940489729482049E-2</v>
      </c>
      <c r="AH49" s="8">
        <f t="shared" si="32"/>
        <v>1.402022214781801E-2</v>
      </c>
      <c r="AI49" s="8">
        <f t="shared" si="33"/>
        <v>2.4353395249898605E-2</v>
      </c>
      <c r="AL49" s="8">
        <v>0.1028</v>
      </c>
      <c r="AM49" s="8">
        <v>0.42130000000000001</v>
      </c>
      <c r="AN49" s="4">
        <v>-29</v>
      </c>
      <c r="AO49" s="4">
        <v>27</v>
      </c>
      <c r="AP49" s="4">
        <v>0</v>
      </c>
      <c r="AQ49" s="4">
        <v>27</v>
      </c>
      <c r="AR49" s="4">
        <v>29</v>
      </c>
      <c r="AS49" s="4">
        <v>0</v>
      </c>
      <c r="AX49"/>
      <c r="AY49"/>
    </row>
    <row r="50" spans="1:51">
      <c r="A50" s="53" t="s">
        <v>288</v>
      </c>
      <c r="B50" t="s">
        <v>286</v>
      </c>
      <c r="C50" t="s">
        <v>324</v>
      </c>
      <c r="E50" s="57" t="s">
        <v>23</v>
      </c>
      <c r="F50" s="57">
        <v>3</v>
      </c>
      <c r="G50" s="57">
        <v>9</v>
      </c>
      <c r="H50">
        <v>3.2410000000000001</v>
      </c>
      <c r="I50">
        <v>287.3</v>
      </c>
      <c r="J50">
        <v>231.9</v>
      </c>
      <c r="K50">
        <v>388.4</v>
      </c>
      <c r="L50">
        <v>122.4</v>
      </c>
      <c r="M50">
        <v>80.7</v>
      </c>
      <c r="N50">
        <v>89.3</v>
      </c>
      <c r="O50">
        <v>94.7</v>
      </c>
      <c r="P50">
        <v>83.4</v>
      </c>
      <c r="Q50">
        <v>158.6</v>
      </c>
      <c r="R50" s="4">
        <f t="shared" si="18"/>
        <v>167.07944449334255</v>
      </c>
      <c r="S50" s="4">
        <f t="shared" si="19"/>
        <v>175.66666666666666</v>
      </c>
      <c r="T50" s="7">
        <f t="shared" si="20"/>
        <v>171.3730555800046</v>
      </c>
      <c r="U50">
        <f t="shared" si="21"/>
        <v>16059405.536000006</v>
      </c>
      <c r="V50" s="4">
        <f t="shared" si="22"/>
        <v>89.18202508979499</v>
      </c>
      <c r="W50" s="4">
        <f t="shared" si="23"/>
        <v>96.539999999999992</v>
      </c>
      <c r="X50" s="7">
        <f t="shared" si="24"/>
        <v>92.861012544897491</v>
      </c>
      <c r="Y50" s="7">
        <f t="shared" si="25"/>
        <v>1.8454790754854975</v>
      </c>
      <c r="Z50" s="4">
        <f t="shared" si="26"/>
        <v>0.27051718726392876</v>
      </c>
      <c r="AA50" s="4">
        <f t="shared" si="16"/>
        <v>235.96302493004711</v>
      </c>
      <c r="AB50" s="4">
        <f t="shared" si="27"/>
        <v>9.5435431562105233</v>
      </c>
      <c r="AC50" s="4">
        <f t="shared" si="28"/>
        <v>7.2716296970553138</v>
      </c>
      <c r="AD50" s="4">
        <f t="shared" si="29"/>
        <v>5.3527528564764664</v>
      </c>
      <c r="AE50" s="4">
        <f t="shared" si="17"/>
        <v>1.7829224348857218</v>
      </c>
      <c r="AF50" s="4">
        <f t="shared" si="30"/>
        <v>0.46392171102681701</v>
      </c>
      <c r="AG50" s="8">
        <f t="shared" si="31"/>
        <v>0.18421955466467183</v>
      </c>
      <c r="AH50" s="8">
        <f t="shared" si="32"/>
        <v>3.9618213869073875E-2</v>
      </c>
      <c r="AI50" s="8">
        <f t="shared" si="33"/>
        <v>2.5054178278671142E-2</v>
      </c>
      <c r="AL50" s="8">
        <v>6.6559999999999994E-2</v>
      </c>
      <c r="AM50" s="8">
        <v>0.65329999999999999</v>
      </c>
      <c r="AN50" s="4">
        <v>1</v>
      </c>
      <c r="AO50" s="4">
        <v>0</v>
      </c>
      <c r="AP50" s="4">
        <v>0</v>
      </c>
      <c r="AQ50" s="4">
        <v>0</v>
      </c>
      <c r="AR50" s="4">
        <v>0</v>
      </c>
      <c r="AS50" s="4">
        <v>1</v>
      </c>
      <c r="AX50"/>
      <c r="AY50"/>
    </row>
    <row r="51" spans="1:51">
      <c r="A51" s="53" t="s">
        <v>587</v>
      </c>
      <c r="B51" t="s">
        <v>588</v>
      </c>
      <c r="C51" t="s">
        <v>324</v>
      </c>
      <c r="E51" s="57" t="s">
        <v>23</v>
      </c>
      <c r="F51" s="57">
        <v>3</v>
      </c>
      <c r="G51" s="57">
        <v>9</v>
      </c>
      <c r="H51">
        <v>3.0960000000000001</v>
      </c>
      <c r="I51">
        <v>291.3</v>
      </c>
      <c r="J51">
        <v>232.9</v>
      </c>
      <c r="K51">
        <v>352.1</v>
      </c>
      <c r="L51">
        <v>110.3</v>
      </c>
      <c r="M51">
        <v>77.39</v>
      </c>
      <c r="N51">
        <v>79.900000000000006</v>
      </c>
      <c r="O51">
        <v>112.9</v>
      </c>
      <c r="P51">
        <v>96.22</v>
      </c>
      <c r="Q51">
        <v>121.9</v>
      </c>
      <c r="R51" s="4">
        <f t="shared" si="18"/>
        <v>167.49616511699043</v>
      </c>
      <c r="S51" s="4">
        <f t="shared" si="19"/>
        <v>170.92666666666668</v>
      </c>
      <c r="T51" s="7">
        <f t="shared" si="20"/>
        <v>169.21141589182855</v>
      </c>
      <c r="U51">
        <f t="shared" si="21"/>
        <v>15563378.119040001</v>
      </c>
      <c r="V51" s="4">
        <f t="shared" si="22"/>
        <v>85.87689060764059</v>
      </c>
      <c r="W51" s="4">
        <f t="shared" si="23"/>
        <v>89.870000000000019</v>
      </c>
      <c r="X51" s="7">
        <f t="shared" si="24"/>
        <v>87.873445303820304</v>
      </c>
      <c r="Y51" s="7">
        <f t="shared" si="25"/>
        <v>1.9256262834213931</v>
      </c>
      <c r="Z51" s="4">
        <f t="shared" si="26"/>
        <v>0.27865916845458638</v>
      </c>
      <c r="AA51" s="4">
        <f t="shared" si="16"/>
        <v>224.72037300284487</v>
      </c>
      <c r="AB51" s="4">
        <f t="shared" si="27"/>
        <v>9.6176250249676301</v>
      </c>
      <c r="AC51" s="4">
        <f t="shared" si="28"/>
        <v>7.3928918627462599</v>
      </c>
      <c r="AD51" s="4">
        <f t="shared" si="29"/>
        <v>5.3275600203064633</v>
      </c>
      <c r="AE51" s="4">
        <f t="shared" si="17"/>
        <v>1.8052588780434584</v>
      </c>
      <c r="AF51" s="4">
        <f t="shared" si="30"/>
        <v>0.25297140896243686</v>
      </c>
      <c r="AG51" s="8">
        <f t="shared" si="31"/>
        <v>0.10363053784672617</v>
      </c>
      <c r="AH51" s="8">
        <f t="shared" si="32"/>
        <v>2.2720796814972657E-2</v>
      </c>
      <c r="AI51" s="8">
        <f t="shared" si="33"/>
        <v>1.0136732003558378E-2</v>
      </c>
      <c r="AX51"/>
      <c r="AY51"/>
    </row>
    <row r="52" spans="1:51">
      <c r="A52" s="56" t="s">
        <v>292</v>
      </c>
      <c r="B52" t="s">
        <v>291</v>
      </c>
      <c r="E52" s="57" t="s">
        <v>23</v>
      </c>
      <c r="F52" s="57">
        <v>3</v>
      </c>
      <c r="G52" s="57">
        <v>9</v>
      </c>
      <c r="H52">
        <v>2.99</v>
      </c>
      <c r="I52" s="11">
        <v>131</v>
      </c>
      <c r="J52" s="11">
        <v>198</v>
      </c>
      <c r="K52" s="11">
        <v>211</v>
      </c>
      <c r="L52" s="11">
        <v>64</v>
      </c>
      <c r="M52" s="11">
        <v>59.8</v>
      </c>
      <c r="N52" s="11">
        <v>74.900000000000006</v>
      </c>
      <c r="O52" s="11">
        <v>50</v>
      </c>
      <c r="P52" s="11">
        <v>64</v>
      </c>
      <c r="Q52" s="11">
        <v>34</v>
      </c>
      <c r="R52" s="4">
        <f t="shared" si="18"/>
        <v>90.519857773946768</v>
      </c>
      <c r="S52" s="4">
        <f t="shared" si="19"/>
        <v>92.888888888888886</v>
      </c>
      <c r="T52" s="7">
        <f t="shared" si="20"/>
        <v>91.704373331417827</v>
      </c>
      <c r="U52">
        <f t="shared" si="21"/>
        <v>4200574</v>
      </c>
      <c r="V52" s="4">
        <f t="shared" si="22"/>
        <v>62.465142453925914</v>
      </c>
      <c r="W52" s="4">
        <f t="shared" si="23"/>
        <v>65.873333333333321</v>
      </c>
      <c r="X52" s="7">
        <f t="shared" si="24"/>
        <v>64.169237893629614</v>
      </c>
      <c r="Y52" s="7">
        <f t="shared" si="25"/>
        <v>1.4291017992676169</v>
      </c>
      <c r="Z52" s="4">
        <f t="shared" si="26"/>
        <v>0.21630161544605922</v>
      </c>
      <c r="AA52" s="4">
        <f t="shared" si="16"/>
        <v>156.09829542392839</v>
      </c>
      <c r="AB52" s="4">
        <f t="shared" si="27"/>
        <v>7.6997015359257919</v>
      </c>
      <c r="AC52" s="4">
        <f t="shared" si="28"/>
        <v>5.5380826080619574</v>
      </c>
      <c r="AD52" s="4">
        <f t="shared" si="29"/>
        <v>4.6326324672333712</v>
      </c>
      <c r="AE52" s="4">
        <f t="shared" si="17"/>
        <v>1.6620574997878232</v>
      </c>
      <c r="AF52" s="4">
        <f t="shared" si="30"/>
        <v>0.29897881749579192</v>
      </c>
      <c r="AG52" s="8">
        <f t="shared" si="31"/>
        <v>0.1215679972032411</v>
      </c>
      <c r="AH52" s="8">
        <f t="shared" si="32"/>
        <v>2.6556267389812292E-2</v>
      </c>
      <c r="AI52" s="8">
        <f t="shared" si="33"/>
        <v>1.2916674684534866E-2</v>
      </c>
      <c r="AL52" s="8">
        <v>5.3260000000000002E-2</v>
      </c>
      <c r="AM52" s="8">
        <v>0.46810000000000002</v>
      </c>
      <c r="AN52" s="4">
        <v>0</v>
      </c>
      <c r="AO52" s="4">
        <v>1</v>
      </c>
      <c r="AP52" s="4">
        <v>0</v>
      </c>
      <c r="AQ52" s="4">
        <v>0</v>
      </c>
      <c r="AR52" s="4">
        <v>0</v>
      </c>
      <c r="AS52" s="4">
        <v>1</v>
      </c>
      <c r="AX52"/>
      <c r="AY52"/>
    </row>
    <row r="53" spans="1:51">
      <c r="A53" s="56" t="s">
        <v>298</v>
      </c>
      <c r="B53" t="s">
        <v>297</v>
      </c>
      <c r="E53" s="57" t="s">
        <v>23</v>
      </c>
      <c r="F53" s="57">
        <v>3</v>
      </c>
      <c r="G53" s="57">
        <v>9</v>
      </c>
      <c r="H53">
        <v>3.05</v>
      </c>
      <c r="I53" s="11">
        <v>215</v>
      </c>
      <c r="J53" s="11">
        <v>155</v>
      </c>
      <c r="K53" s="11">
        <v>110</v>
      </c>
      <c r="L53" s="11">
        <v>37.1</v>
      </c>
      <c r="M53" s="11">
        <v>50.3</v>
      </c>
      <c r="N53" s="11">
        <v>78.5</v>
      </c>
      <c r="O53" s="11">
        <v>44</v>
      </c>
      <c r="P53" s="11">
        <v>50</v>
      </c>
      <c r="Q53" s="11">
        <v>41</v>
      </c>
      <c r="R53" s="4">
        <f t="shared" si="18"/>
        <v>77.521770682148045</v>
      </c>
      <c r="S53" s="4">
        <f t="shared" si="19"/>
        <v>83.333333333333329</v>
      </c>
      <c r="T53" s="7">
        <f t="shared" si="20"/>
        <v>80.427552007740687</v>
      </c>
      <c r="U53">
        <f t="shared" si="21"/>
        <v>2884275</v>
      </c>
      <c r="V53" s="4">
        <f t="shared" si="22"/>
        <v>50.98791701151471</v>
      </c>
      <c r="W53" s="4">
        <f t="shared" si="23"/>
        <v>56.18</v>
      </c>
      <c r="X53" s="7">
        <f t="shared" si="24"/>
        <v>53.583958505757352</v>
      </c>
      <c r="Y53" s="7">
        <f t="shared" si="25"/>
        <v>1.5009632406888922</v>
      </c>
      <c r="Z53" s="4">
        <f t="shared" si="26"/>
        <v>0.22741594402937498</v>
      </c>
      <c r="AA53" s="4">
        <f t="shared" si="16"/>
        <v>131.53961002835004</v>
      </c>
      <c r="AB53" s="4">
        <f t="shared" si="27"/>
        <v>7.0565126299651793</v>
      </c>
      <c r="AC53" s="4">
        <f t="shared" si="28"/>
        <v>5.1351425669464916</v>
      </c>
      <c r="AD53" s="4">
        <f t="shared" si="29"/>
        <v>4.1914807628682027</v>
      </c>
      <c r="AE53" s="4">
        <f t="shared" si="17"/>
        <v>1.6835369238666036</v>
      </c>
      <c r="AF53" s="4">
        <f t="shared" si="30"/>
        <v>0.58411521817300738</v>
      </c>
      <c r="AG53" s="8">
        <f t="shared" si="31"/>
        <v>0.22856901847778155</v>
      </c>
      <c r="AH53" s="8">
        <f t="shared" si="32"/>
        <v>4.8448109595406463E-2</v>
      </c>
      <c r="AI53" s="8">
        <f t="shared" si="33"/>
        <v>3.6129177788638618E-2</v>
      </c>
      <c r="AL53" s="8">
        <v>8.5059999999999997E-2</v>
      </c>
      <c r="AM53" s="8">
        <v>0.38890000000000002</v>
      </c>
      <c r="AN53" s="4">
        <v>13</v>
      </c>
      <c r="AO53" s="4">
        <v>15</v>
      </c>
      <c r="AP53" s="4">
        <v>0</v>
      </c>
      <c r="AQ53" s="4">
        <v>-15</v>
      </c>
      <c r="AR53" s="4">
        <v>13</v>
      </c>
      <c r="AS53" s="4">
        <v>0</v>
      </c>
      <c r="AX53"/>
      <c r="AY53"/>
    </row>
    <row r="54" spans="1:51">
      <c r="A54" s="53" t="s">
        <v>658</v>
      </c>
      <c r="B54" t="s">
        <v>314</v>
      </c>
      <c r="C54" t="s">
        <v>658</v>
      </c>
      <c r="E54" s="57" t="s">
        <v>23</v>
      </c>
      <c r="F54" s="57">
        <v>3</v>
      </c>
      <c r="G54" s="57">
        <v>9</v>
      </c>
      <c r="H54">
        <v>2.62</v>
      </c>
      <c r="I54">
        <v>207.3</v>
      </c>
      <c r="J54">
        <v>213.6</v>
      </c>
      <c r="K54">
        <v>186.1</v>
      </c>
      <c r="L54">
        <v>46.5</v>
      </c>
      <c r="M54">
        <v>51.6</v>
      </c>
      <c r="N54">
        <v>64</v>
      </c>
      <c r="O54">
        <v>93.7</v>
      </c>
      <c r="P54">
        <v>95.1</v>
      </c>
      <c r="Q54">
        <v>88.9</v>
      </c>
      <c r="R54" s="4">
        <f t="shared" si="18"/>
        <v>128.66545453330377</v>
      </c>
      <c r="S54" s="4">
        <f t="shared" si="19"/>
        <v>129.15555555555557</v>
      </c>
      <c r="T54" s="7">
        <f t="shared" si="20"/>
        <v>128.91050504442967</v>
      </c>
      <c r="U54">
        <f t="shared" si="21"/>
        <v>4620690.4159999993</v>
      </c>
      <c r="V54" s="4">
        <f t="shared" si="22"/>
        <v>53.611968118430866</v>
      </c>
      <c r="W54" s="4">
        <f t="shared" si="23"/>
        <v>54.373333333333328</v>
      </c>
      <c r="X54" s="7">
        <f t="shared" si="24"/>
        <v>53.9926507258821</v>
      </c>
      <c r="Y54" s="7">
        <f t="shared" si="25"/>
        <v>2.3875565157728902</v>
      </c>
      <c r="Z54" s="4">
        <f t="shared" si="26"/>
        <v>0.31623658886292533</v>
      </c>
      <c r="AA54" s="4">
        <f t="shared" si="16"/>
        <v>142.13420483020479</v>
      </c>
      <c r="AB54" s="4">
        <f t="shared" si="27"/>
        <v>8.7566922284222191</v>
      </c>
      <c r="AC54" s="4">
        <f t="shared" si="28"/>
        <v>7.0144481494544788</v>
      </c>
      <c r="AD54" s="4">
        <f t="shared" si="29"/>
        <v>4.53959050536979</v>
      </c>
      <c r="AE54" s="4">
        <f t="shared" si="17"/>
        <v>1.9289608210397182</v>
      </c>
      <c r="AF54" s="4">
        <f t="shared" si="30"/>
        <v>7.4816130852952689E-2</v>
      </c>
      <c r="AG54" s="8">
        <f t="shared" si="31"/>
        <v>3.1760305167551087E-2</v>
      </c>
      <c r="AH54" s="8">
        <f t="shared" si="32"/>
        <v>7.0506374910899779E-3</v>
      </c>
      <c r="AI54" s="8">
        <f t="shared" si="33"/>
        <v>1.9009351568472898E-3</v>
      </c>
      <c r="AL54" s="8">
        <v>0.24210000000000001</v>
      </c>
      <c r="AM54" s="8">
        <v>0.39140000000000003</v>
      </c>
      <c r="AN54" s="4">
        <v>7</v>
      </c>
      <c r="AO54" s="4">
        <v>6</v>
      </c>
      <c r="AP54" s="4">
        <v>4</v>
      </c>
      <c r="AQ54" s="4">
        <v>28</v>
      </c>
      <c r="AR54" s="4">
        <v>-27</v>
      </c>
      <c r="AS54" s="4">
        <v>-8</v>
      </c>
      <c r="AX54"/>
      <c r="AY54"/>
    </row>
    <row r="55" spans="1:51">
      <c r="A55" s="72" t="s">
        <v>658</v>
      </c>
      <c r="B55" t="s">
        <v>717</v>
      </c>
      <c r="C55" t="s">
        <v>658</v>
      </c>
      <c r="D55" t="s">
        <v>715</v>
      </c>
      <c r="E55" s="57" t="s">
        <v>23</v>
      </c>
      <c r="F55" s="57">
        <v>3</v>
      </c>
      <c r="G55" s="57">
        <v>9</v>
      </c>
      <c r="H55">
        <v>2.5619999999999998</v>
      </c>
      <c r="I55" s="7">
        <v>213</v>
      </c>
      <c r="J55">
        <v>206.6</v>
      </c>
      <c r="K55">
        <v>185.6</v>
      </c>
      <c r="L55">
        <v>51.4</v>
      </c>
      <c r="M55">
        <v>45.9</v>
      </c>
      <c r="N55">
        <v>64.099999999999994</v>
      </c>
      <c r="O55">
        <v>95.7</v>
      </c>
      <c r="P55">
        <v>88.6</v>
      </c>
      <c r="Q55">
        <v>83.4</v>
      </c>
      <c r="R55" s="4">
        <f t="shared" si="18"/>
        <v>125.89552502340142</v>
      </c>
      <c r="S55" s="4">
        <f t="shared" si="19"/>
        <v>126.73333333333335</v>
      </c>
      <c r="T55" s="7">
        <f t="shared" si="20"/>
        <v>126.31442917836739</v>
      </c>
      <c r="U55">
        <f t="shared" si="21"/>
        <v>4778625.2559999991</v>
      </c>
      <c r="V55" s="4">
        <f t="shared" si="22"/>
        <v>54.036947461315243</v>
      </c>
      <c r="W55" s="4">
        <f t="shared" si="23"/>
        <v>54.779999999999994</v>
      </c>
      <c r="X55" s="7">
        <f t="shared" si="24"/>
        <v>54.408473730657619</v>
      </c>
      <c r="Y55" s="7">
        <f t="shared" si="25"/>
        <v>2.3215947906142573</v>
      </c>
      <c r="Z55" s="4">
        <f t="shared" si="26"/>
        <v>0.31167098442704572</v>
      </c>
      <c r="AA55" s="4">
        <f t="shared" si="16"/>
        <v>142.73203259892946</v>
      </c>
      <c r="AB55" s="4">
        <f t="shared" si="27"/>
        <v>8.8101464822076796</v>
      </c>
      <c r="AC55" s="4">
        <f t="shared" si="28"/>
        <v>7.0216134816286564</v>
      </c>
      <c r="AD55" s="4">
        <f t="shared" si="29"/>
        <v>4.6083314620831368</v>
      </c>
      <c r="AE55" s="4">
        <f t="shared" si="17"/>
        <v>1.9117866313863556</v>
      </c>
      <c r="AF55" s="4">
        <f t="shared" si="30"/>
        <v>7.5408908809437847E-2</v>
      </c>
      <c r="AG55" s="8">
        <f t="shared" si="31"/>
        <v>3.1250288502240341E-2</v>
      </c>
      <c r="AH55" s="8">
        <f t="shared" si="32"/>
        <v>6.8284633599826729E-3</v>
      </c>
      <c r="AI55" s="8">
        <f t="shared" si="33"/>
        <v>3.3163602740462401E-3</v>
      </c>
      <c r="AX55"/>
      <c r="AY55"/>
    </row>
    <row r="56" spans="1:51">
      <c r="A56" s="53" t="s">
        <v>315</v>
      </c>
      <c r="B56" t="s">
        <v>329</v>
      </c>
      <c r="C56" t="s">
        <v>330</v>
      </c>
      <c r="E56" s="57" t="s">
        <v>23</v>
      </c>
      <c r="F56" s="57">
        <v>3</v>
      </c>
      <c r="G56" s="57">
        <v>9</v>
      </c>
      <c r="H56">
        <v>2.25</v>
      </c>
      <c r="I56">
        <v>72.2</v>
      </c>
      <c r="J56">
        <v>65.7</v>
      </c>
      <c r="K56">
        <v>138</v>
      </c>
      <c r="L56">
        <v>19.7</v>
      </c>
      <c r="M56">
        <v>24.1</v>
      </c>
      <c r="N56">
        <v>41.1</v>
      </c>
      <c r="O56">
        <v>29.6</v>
      </c>
      <c r="P56">
        <v>25.6</v>
      </c>
      <c r="Q56">
        <v>36.9</v>
      </c>
      <c r="R56" s="4">
        <f t="shared" si="18"/>
        <v>46.653989918912096</v>
      </c>
      <c r="S56" s="4">
        <f t="shared" si="19"/>
        <v>51.12222222222222</v>
      </c>
      <c r="T56" s="7">
        <f t="shared" si="20"/>
        <v>48.888106070567162</v>
      </c>
      <c r="U56">
        <f t="shared" si="21"/>
        <v>448255.73400000005</v>
      </c>
      <c r="V56" s="4">
        <f t="shared" si="22"/>
        <v>25.580638373703493</v>
      </c>
      <c r="W56" s="4">
        <f t="shared" si="23"/>
        <v>29.233333333333334</v>
      </c>
      <c r="X56" s="7">
        <f t="shared" si="24"/>
        <v>27.406985853518414</v>
      </c>
      <c r="Y56" s="7">
        <f t="shared" si="25"/>
        <v>1.7837826578908922</v>
      </c>
      <c r="Z56" s="4">
        <f t="shared" si="26"/>
        <v>0.26382966163754007</v>
      </c>
      <c r="AA56" s="4">
        <f t="shared" si="16"/>
        <v>69.275523315514064</v>
      </c>
      <c r="AB56" s="4">
        <f t="shared" si="27"/>
        <v>6.1619172296095694</v>
      </c>
      <c r="AC56" s="4">
        <f t="shared" si="28"/>
        <v>4.6613353389854177</v>
      </c>
      <c r="AD56" s="4">
        <f t="shared" si="29"/>
        <v>3.4901121187669228</v>
      </c>
      <c r="AE56" s="4">
        <f t="shared" si="17"/>
        <v>1.7655356102962707</v>
      </c>
      <c r="AF56" s="4">
        <f t="shared" si="30"/>
        <v>0.80973081112911416</v>
      </c>
      <c r="AG56" s="8">
        <f t="shared" si="31"/>
        <v>0.31215611157706802</v>
      </c>
      <c r="AH56" s="8">
        <f t="shared" si="32"/>
        <v>6.6638027602749325E-2</v>
      </c>
      <c r="AI56" s="8">
        <f t="shared" si="33"/>
        <v>4.5698562108956405E-2</v>
      </c>
      <c r="AL56" s="8">
        <v>8.0199999999999994E-3</v>
      </c>
      <c r="AM56" s="8">
        <v>0.52669999999999995</v>
      </c>
      <c r="AN56" s="4">
        <v>-1</v>
      </c>
      <c r="AO56" s="4">
        <v>1</v>
      </c>
      <c r="AP56" s="4">
        <v>0</v>
      </c>
      <c r="AQ56" s="4">
        <v>1</v>
      </c>
      <c r="AR56" s="4">
        <v>1</v>
      </c>
      <c r="AS56" s="4">
        <v>0</v>
      </c>
      <c r="AX56"/>
      <c r="AY56"/>
    </row>
    <row r="57" spans="1:51">
      <c r="A57" s="53" t="s">
        <v>315</v>
      </c>
      <c r="B57" t="s">
        <v>676</v>
      </c>
      <c r="C57" t="s">
        <v>330</v>
      </c>
      <c r="E57" s="57" t="s">
        <v>23</v>
      </c>
      <c r="F57" s="57">
        <v>3</v>
      </c>
      <c r="G57" s="57">
        <v>9</v>
      </c>
      <c r="H57">
        <v>2.2389999999999999</v>
      </c>
      <c r="I57">
        <v>70.400000000000006</v>
      </c>
      <c r="J57" s="7">
        <v>72</v>
      </c>
      <c r="K57">
        <v>132.30000000000001</v>
      </c>
      <c r="L57">
        <v>26.8</v>
      </c>
      <c r="M57">
        <v>26.5</v>
      </c>
      <c r="N57">
        <v>51.3</v>
      </c>
      <c r="O57" s="7">
        <v>26</v>
      </c>
      <c r="P57">
        <v>32.799999999999997</v>
      </c>
      <c r="Q57">
        <v>31.8</v>
      </c>
      <c r="R57" s="4">
        <f>U57/(I57*(J57+K57-2*Q57)+J57*(K57-2*P57)-2*K57*O57+O57*(2*Q57-O57)+P57*(2*O57-P57)+Q57*(2*P57-Q57) )</f>
        <v>46.312157620919699</v>
      </c>
      <c r="S57" s="4">
        <f>(I57+J57+K57+2*(O57+P57+Q57))/9</f>
        <v>50.655555555555559</v>
      </c>
      <c r="T57" s="7">
        <f>0.5*(R57+S57)</f>
        <v>48.483856588237629</v>
      </c>
      <c r="U57">
        <f>P57*(O57*Q57-P57*J57)+Q57*(O57*P57-Q57*I57)+K57*(I57*J57-O57*O57)</f>
        <v>486753.74400000006</v>
      </c>
      <c r="V57" s="4">
        <f>15/(4*(I57*(J57+K57+Q57)+J57*(K57+P57)+K57*O57-O57*(O57+Q57)-P57*(P57+O57)-Q57*(Q57+P57))/U57 +3*(1/L57 + 1/M57 +1/N57))</f>
        <v>29.934725756659255</v>
      </c>
      <c r="W57" s="4">
        <f>(I57+J57+K57-(O57+P57+Q57)+3*(L57+M57+N57))/15</f>
        <v>33.193333333333335</v>
      </c>
      <c r="X57" s="7">
        <f>0.5*(V57+W57)</f>
        <v>31.564029544996295</v>
      </c>
      <c r="Y57" s="7">
        <f>T57/X57</f>
        <v>1.5360477507829338</v>
      </c>
      <c r="Z57" s="4">
        <f>(3*T57-2*X57)/(2*(3*T57+X57))</f>
        <v>0.23253179662060694</v>
      </c>
      <c r="AA57" s="4">
        <f t="shared" si="16"/>
        <v>77.807340087360416</v>
      </c>
      <c r="AB57" s="4">
        <f>SQRT((T57+4/3*X57)/H57)</f>
        <v>6.3600904104411811</v>
      </c>
      <c r="AC57" s="4">
        <f>SQRT(T57/H57)</f>
        <v>4.6534122864948007</v>
      </c>
      <c r="AD57" s="4">
        <f>SQRT(X57/H57)</f>
        <v>3.7546475321478341</v>
      </c>
      <c r="AE57" s="4">
        <f>AB57/AD57</f>
        <v>1.6939247575132337</v>
      </c>
      <c r="AF57" s="4">
        <f t="shared" si="30"/>
        <v>0.63807078776035642</v>
      </c>
      <c r="AG57" s="8">
        <f t="shared" si="31"/>
        <v>0.24783342668582606</v>
      </c>
      <c r="AH57" s="8">
        <f>(W57-V57)/(W57+V57)</f>
        <v>5.1619004665243273E-2</v>
      </c>
      <c r="AI57" s="8">
        <f t="shared" si="33"/>
        <v>4.4792207553983908E-2</v>
      </c>
      <c r="AX57"/>
      <c r="AY57"/>
    </row>
    <row r="58" spans="1:51">
      <c r="B58" t="s">
        <v>580</v>
      </c>
      <c r="C58" t="s">
        <v>581</v>
      </c>
      <c r="D58" t="s">
        <v>937</v>
      </c>
      <c r="E58" s="57" t="s">
        <v>23</v>
      </c>
      <c r="F58" s="57">
        <v>3</v>
      </c>
      <c r="G58" s="57">
        <v>11</v>
      </c>
      <c r="H58">
        <v>8.2110000000000003</v>
      </c>
      <c r="I58">
        <v>378</v>
      </c>
      <c r="J58">
        <v>255</v>
      </c>
      <c r="K58">
        <v>360</v>
      </c>
      <c r="L58">
        <v>76</v>
      </c>
      <c r="M58">
        <v>56</v>
      </c>
      <c r="N58">
        <v>85</v>
      </c>
      <c r="O58">
        <v>104</v>
      </c>
      <c r="P58">
        <v>137</v>
      </c>
      <c r="Q58">
        <v>73</v>
      </c>
      <c r="R58" s="4">
        <f t="shared" si="18"/>
        <v>170.38792292619203</v>
      </c>
      <c r="S58" s="4">
        <f t="shared" si="19"/>
        <v>180.11111111111111</v>
      </c>
      <c r="T58" s="7">
        <f t="shared" si="20"/>
        <v>175.24951701865157</v>
      </c>
      <c r="U58">
        <f t="shared" si="21"/>
        <v>26086391</v>
      </c>
      <c r="V58" s="4">
        <f t="shared" si="22"/>
        <v>81.898010607548201</v>
      </c>
      <c r="W58" s="4">
        <f t="shared" si="23"/>
        <v>88.666666666666671</v>
      </c>
      <c r="X58" s="7">
        <f t="shared" si="24"/>
        <v>85.282338637107443</v>
      </c>
      <c r="Y58" s="7">
        <f t="shared" si="25"/>
        <v>2.0549332935670486</v>
      </c>
      <c r="Z58" s="4">
        <f t="shared" si="26"/>
        <v>0.29064314077489489</v>
      </c>
      <c r="AA58" s="4">
        <f t="shared" si="16"/>
        <v>220.13813078244902</v>
      </c>
      <c r="AB58" s="4">
        <f t="shared" si="27"/>
        <v>5.9322618648202718</v>
      </c>
      <c r="AC58" s="4">
        <f t="shared" si="28"/>
        <v>4.6198767424480538</v>
      </c>
      <c r="AD58" s="4">
        <f t="shared" si="29"/>
        <v>3.2227864167582281</v>
      </c>
      <c r="AE58" s="4">
        <f t="shared" si="17"/>
        <v>1.8407244842453696</v>
      </c>
      <c r="AF58" s="4">
        <f t="shared" si="30"/>
        <v>0.47030191136977262</v>
      </c>
      <c r="AG58" s="8">
        <f t="shared" si="31"/>
        <v>0.18603502248272705</v>
      </c>
      <c r="AH58" s="8">
        <f t="shared" si="32"/>
        <v>3.9683808906322254E-2</v>
      </c>
      <c r="AI58" s="8">
        <f t="shared" si="33"/>
        <v>2.7740984255848922E-2</v>
      </c>
      <c r="AX58"/>
      <c r="AY58"/>
    </row>
    <row r="59" spans="1:51">
      <c r="B59" t="s">
        <v>580</v>
      </c>
      <c r="C59" t="s">
        <v>328</v>
      </c>
      <c r="D59" t="s">
        <v>923</v>
      </c>
      <c r="E59" s="57" t="s">
        <v>23</v>
      </c>
      <c r="F59" s="57">
        <v>3</v>
      </c>
      <c r="G59" s="57">
        <v>11</v>
      </c>
      <c r="H59">
        <v>8.0909999999999993</v>
      </c>
      <c r="I59">
        <v>235</v>
      </c>
      <c r="J59">
        <v>278</v>
      </c>
      <c r="K59">
        <v>286</v>
      </c>
      <c r="L59">
        <v>87</v>
      </c>
      <c r="M59">
        <v>60</v>
      </c>
      <c r="N59">
        <v>79</v>
      </c>
      <c r="O59">
        <v>132</v>
      </c>
      <c r="P59">
        <v>138</v>
      </c>
      <c r="Q59">
        <v>120</v>
      </c>
      <c r="R59" s="4">
        <f t="shared" si="18"/>
        <v>174.68806247675715</v>
      </c>
      <c r="S59" s="4">
        <f t="shared" si="19"/>
        <v>175.44444444444446</v>
      </c>
      <c r="T59" s="7">
        <f t="shared" si="20"/>
        <v>175.06625346060082</v>
      </c>
      <c r="U59">
        <f t="shared" si="21"/>
        <v>9394724</v>
      </c>
      <c r="V59" s="4">
        <f t="shared" si="22"/>
        <v>70.110792006403798</v>
      </c>
      <c r="W59" s="4">
        <f t="shared" si="23"/>
        <v>72.466666666666669</v>
      </c>
      <c r="X59" s="7">
        <f t="shared" si="24"/>
        <v>71.288729336535226</v>
      </c>
      <c r="Y59" s="7">
        <f t="shared" si="25"/>
        <v>2.4557353608332582</v>
      </c>
      <c r="Z59" s="4">
        <f t="shared" si="26"/>
        <v>0.32072868945617483</v>
      </c>
      <c r="AA59" s="4">
        <f t="shared" si="16"/>
        <v>188.30614013927627</v>
      </c>
      <c r="AB59" s="4">
        <f t="shared" si="27"/>
        <v>5.7779739007050868</v>
      </c>
      <c r="AC59" s="4">
        <f t="shared" si="28"/>
        <v>4.6515759693852052</v>
      </c>
      <c r="AD59" s="4">
        <f t="shared" si="29"/>
        <v>2.968310554625381</v>
      </c>
      <c r="AE59" s="4">
        <f t="shared" si="17"/>
        <v>1.9465530288606552</v>
      </c>
      <c r="AF59" s="4">
        <f t="shared" si="30"/>
        <v>0.17234074419066392</v>
      </c>
      <c r="AG59" s="8">
        <f t="shared" si="31"/>
        <v>7.4028129105740428E-2</v>
      </c>
      <c r="AH59" s="8">
        <f t="shared" si="32"/>
        <v>1.6523472098523524E-2</v>
      </c>
      <c r="AI59" s="8">
        <f t="shared" si="33"/>
        <v>2.1602734757145236E-3</v>
      </c>
      <c r="AX59"/>
      <c r="AY59"/>
    </row>
    <row r="60" spans="1:51">
      <c r="B60" s="34" t="s">
        <v>365</v>
      </c>
      <c r="C60" t="s">
        <v>328</v>
      </c>
      <c r="E60" s="57" t="s">
        <v>23</v>
      </c>
      <c r="F60" s="57">
        <v>3</v>
      </c>
      <c r="G60" s="57">
        <v>11</v>
      </c>
      <c r="H60">
        <v>7.4429999999999996</v>
      </c>
      <c r="I60">
        <v>391</v>
      </c>
      <c r="J60">
        <v>302</v>
      </c>
      <c r="K60">
        <v>343</v>
      </c>
      <c r="L60">
        <v>155</v>
      </c>
      <c r="M60">
        <v>142</v>
      </c>
      <c r="N60">
        <v>101</v>
      </c>
      <c r="O60">
        <v>124</v>
      </c>
      <c r="P60">
        <v>154</v>
      </c>
      <c r="Q60">
        <v>126</v>
      </c>
      <c r="R60" s="4">
        <f t="shared" si="18"/>
        <v>201.36506881894164</v>
      </c>
      <c r="S60" s="4">
        <f t="shared" si="19"/>
        <v>204.88888888888889</v>
      </c>
      <c r="T60" s="7">
        <f t="shared" si="20"/>
        <v>203.12697885391526</v>
      </c>
      <c r="U60">
        <f t="shared" si="21"/>
        <v>26670602</v>
      </c>
      <c r="V60" s="4">
        <f t="shared" si="22"/>
        <v>117.25593121917531</v>
      </c>
      <c r="W60" s="4">
        <f t="shared" si="23"/>
        <v>121.73333333333333</v>
      </c>
      <c r="X60" s="7">
        <f t="shared" si="24"/>
        <v>119.49463227625432</v>
      </c>
      <c r="Y60" s="7">
        <f t="shared" si="25"/>
        <v>1.6998837101261171</v>
      </c>
      <c r="Z60" s="4">
        <f t="shared" si="26"/>
        <v>0.25408429630844187</v>
      </c>
      <c r="AA60" s="4">
        <f t="shared" si="16"/>
        <v>299.71268366160484</v>
      </c>
      <c r="AB60" s="4">
        <f t="shared" si="27"/>
        <v>6.9783369061967617</v>
      </c>
      <c r="AC60" s="4">
        <f t="shared" si="28"/>
        <v>5.2240797129987451</v>
      </c>
      <c r="AD60" s="4">
        <f t="shared" si="29"/>
        <v>4.0068232861541402</v>
      </c>
      <c r="AE60" s="4">
        <f t="shared" si="17"/>
        <v>1.7416133449935005</v>
      </c>
      <c r="AF60" s="4">
        <f t="shared" si="30"/>
        <v>0.20842399311369508</v>
      </c>
      <c r="AG60" s="8">
        <f t="shared" si="31"/>
        <v>8.5571125454843341E-2</v>
      </c>
      <c r="AH60" s="8">
        <f t="shared" si="32"/>
        <v>1.8734741589927311E-2</v>
      </c>
      <c r="AI60" s="8">
        <f t="shared" si="33"/>
        <v>8.6739341318159101E-3</v>
      </c>
      <c r="AL60" s="8">
        <v>5.9429999999999997E-2</v>
      </c>
      <c r="AM60" s="8">
        <v>0.36820000000000003</v>
      </c>
      <c r="AN60" s="4">
        <v>0</v>
      </c>
      <c r="AO60" s="4">
        <v>1</v>
      </c>
      <c r="AP60" s="4">
        <v>-1</v>
      </c>
      <c r="AQ60" s="4">
        <v>0</v>
      </c>
      <c r="AR60" s="4">
        <v>1</v>
      </c>
      <c r="AS60" s="4">
        <v>1</v>
      </c>
      <c r="AX60"/>
      <c r="AY60"/>
    </row>
    <row r="61" spans="1:51">
      <c r="B61" t="s">
        <v>319</v>
      </c>
      <c r="C61" t="s">
        <v>328</v>
      </c>
      <c r="E61" s="57" t="s">
        <v>23</v>
      </c>
      <c r="F61" s="57">
        <v>3</v>
      </c>
      <c r="G61" s="57">
        <v>1</v>
      </c>
      <c r="H61">
        <v>4.2839999999999998</v>
      </c>
      <c r="I61">
        <v>424</v>
      </c>
      <c r="J61">
        <v>420</v>
      </c>
      <c r="K61">
        <v>395</v>
      </c>
      <c r="L61">
        <v>179</v>
      </c>
      <c r="M61">
        <v>129</v>
      </c>
      <c r="N61">
        <v>163</v>
      </c>
      <c r="O61">
        <v>129</v>
      </c>
      <c r="P61">
        <v>174</v>
      </c>
      <c r="Q61">
        <v>198</v>
      </c>
      <c r="R61" s="4">
        <f t="shared" si="18"/>
        <v>248.60744928118453</v>
      </c>
      <c r="S61" s="4">
        <f t="shared" si="19"/>
        <v>249</v>
      </c>
      <c r="T61" s="7">
        <f t="shared" si="20"/>
        <v>248.80372464059226</v>
      </c>
      <c r="U61">
        <f t="shared" si="21"/>
        <v>43318605</v>
      </c>
      <c r="V61" s="4">
        <f t="shared" si="22"/>
        <v>137.25102261383026</v>
      </c>
      <c r="W61" s="4">
        <f t="shared" si="23"/>
        <v>143.4</v>
      </c>
      <c r="X61" s="7">
        <f t="shared" si="24"/>
        <v>140.32551130691513</v>
      </c>
      <c r="Y61" s="7">
        <f t="shared" si="25"/>
        <v>1.7730469842822616</v>
      </c>
      <c r="Z61" s="4">
        <f t="shared" si="26"/>
        <v>0.2626259627387727</v>
      </c>
      <c r="AA61" s="4">
        <f t="shared" si="16"/>
        <v>354.35726762140854</v>
      </c>
      <c r="AB61" s="4">
        <f t="shared" si="27"/>
        <v>10.08720619634626</v>
      </c>
      <c r="AC61" s="4">
        <f t="shared" si="28"/>
        <v>7.6208551612987634</v>
      </c>
      <c r="AD61" s="4">
        <f t="shared" si="29"/>
        <v>5.7232614472505361</v>
      </c>
      <c r="AE61" s="4">
        <f t="shared" si="17"/>
        <v>1.7624926432798504</v>
      </c>
      <c r="AF61" s="4">
        <f t="shared" si="30"/>
        <v>0.22558379137011997</v>
      </c>
      <c r="AG61" s="8">
        <f t="shared" si="31"/>
        <v>9.8011502911077353E-2</v>
      </c>
      <c r="AH61" s="8">
        <f t="shared" si="32"/>
        <v>2.1909691719280165E-2</v>
      </c>
      <c r="AI61" s="8">
        <f t="shared" si="33"/>
        <v>7.8887629070370144E-4</v>
      </c>
      <c r="AL61" s="8">
        <v>7.0199999999999999E-2</v>
      </c>
      <c r="AM61" s="8">
        <v>0.45129999999999998</v>
      </c>
      <c r="AN61" s="4">
        <v>-1</v>
      </c>
      <c r="AO61" s="4">
        <v>1</v>
      </c>
      <c r="AP61" s="4">
        <v>0</v>
      </c>
      <c r="AQ61" s="4">
        <v>1</v>
      </c>
      <c r="AR61" s="4">
        <v>1</v>
      </c>
      <c r="AS61" s="4">
        <v>0</v>
      </c>
      <c r="AX61"/>
      <c r="AY61"/>
    </row>
    <row r="62" spans="1:51">
      <c r="B62" t="s">
        <v>320</v>
      </c>
      <c r="C62" t="s">
        <v>328</v>
      </c>
      <c r="E62" s="57" t="s">
        <v>23</v>
      </c>
      <c r="F62" s="57">
        <v>3</v>
      </c>
      <c r="G62" s="57">
        <v>1</v>
      </c>
      <c r="H62">
        <v>7.1779999999999999</v>
      </c>
      <c r="I62">
        <v>403</v>
      </c>
      <c r="J62">
        <v>328</v>
      </c>
      <c r="K62">
        <v>334</v>
      </c>
      <c r="L62">
        <v>152</v>
      </c>
      <c r="M62">
        <v>144</v>
      </c>
      <c r="N62">
        <v>94</v>
      </c>
      <c r="O62">
        <v>115</v>
      </c>
      <c r="P62">
        <v>147</v>
      </c>
      <c r="Q62">
        <v>103</v>
      </c>
      <c r="R62" s="4">
        <f t="shared" si="18"/>
        <v>196.12182356671818</v>
      </c>
      <c r="S62" s="4">
        <f t="shared" si="19"/>
        <v>199.44444444444446</v>
      </c>
      <c r="T62" s="7">
        <f t="shared" si="20"/>
        <v>197.7831340055813</v>
      </c>
      <c r="U62">
        <f t="shared" si="21"/>
        <v>31851557</v>
      </c>
      <c r="V62" s="4">
        <f t="shared" si="22"/>
        <v>120.36660147812955</v>
      </c>
      <c r="W62" s="4">
        <f t="shared" si="23"/>
        <v>124.66666666666667</v>
      </c>
      <c r="X62" s="7">
        <f t="shared" si="24"/>
        <v>122.51663407239812</v>
      </c>
      <c r="Y62" s="7">
        <f t="shared" si="25"/>
        <v>1.6143369878142941</v>
      </c>
      <c r="Z62" s="4">
        <f t="shared" si="26"/>
        <v>0.24328304201637954</v>
      </c>
      <c r="AA62" s="4">
        <f t="shared" si="16"/>
        <v>304.64570701427755</v>
      </c>
      <c r="AB62" s="4">
        <f t="shared" si="27"/>
        <v>7.0930864949087118</v>
      </c>
      <c r="AC62" s="4">
        <f t="shared" si="28"/>
        <v>5.2491973408307198</v>
      </c>
      <c r="AD62" s="4">
        <f t="shared" si="29"/>
        <v>4.1313862656442621</v>
      </c>
      <c r="AE62" s="4">
        <f t="shared" si="17"/>
        <v>1.7168780740482499</v>
      </c>
      <c r="AF62" s="4">
        <f t="shared" si="30"/>
        <v>0.1955653025901638</v>
      </c>
      <c r="AG62" s="8">
        <f t="shared" si="31"/>
        <v>8.0266900903243871E-2</v>
      </c>
      <c r="AH62" s="8">
        <f t="shared" si="32"/>
        <v>1.7548903547236303E-2</v>
      </c>
      <c r="AI62" s="8">
        <f t="shared" si="33"/>
        <v>8.3996567615126309E-3</v>
      </c>
      <c r="AL62" s="8">
        <v>5.9490000000000001E-2</v>
      </c>
      <c r="AM62" s="8">
        <v>0.38269999999999998</v>
      </c>
      <c r="AN62" s="4">
        <v>13</v>
      </c>
      <c r="AO62" s="4">
        <v>-25</v>
      </c>
      <c r="AP62" s="4">
        <v>-28</v>
      </c>
      <c r="AQ62" s="4">
        <v>13</v>
      </c>
      <c r="AR62" s="4">
        <v>-25</v>
      </c>
      <c r="AS62" s="4">
        <v>28</v>
      </c>
      <c r="AX62"/>
      <c r="AY62"/>
    </row>
    <row r="63" spans="1:51">
      <c r="A63" s="53" t="s">
        <v>702</v>
      </c>
      <c r="B63" t="s">
        <v>318</v>
      </c>
      <c r="C63" t="s">
        <v>328</v>
      </c>
      <c r="E63" s="57" t="s">
        <v>23</v>
      </c>
      <c r="F63" s="57">
        <v>3</v>
      </c>
      <c r="G63" s="57">
        <v>3</v>
      </c>
      <c r="H63">
        <v>3.0579999999999998</v>
      </c>
      <c r="I63">
        <v>125.7</v>
      </c>
      <c r="J63">
        <v>147.30000000000001</v>
      </c>
      <c r="K63">
        <v>142.5</v>
      </c>
      <c r="L63">
        <v>46.7</v>
      </c>
      <c r="M63">
        <v>44.8</v>
      </c>
      <c r="N63">
        <v>50.4</v>
      </c>
      <c r="O63">
        <v>49.5</v>
      </c>
      <c r="P63">
        <v>45.1</v>
      </c>
      <c r="Q63">
        <v>43.1</v>
      </c>
      <c r="R63" s="4">
        <f t="shared" si="18"/>
        <v>76.518188700701614</v>
      </c>
      <c r="S63" s="4">
        <f t="shared" si="19"/>
        <v>76.766666666666666</v>
      </c>
      <c r="T63" s="7">
        <f t="shared" si="20"/>
        <v>76.642427683684133</v>
      </c>
      <c r="U63">
        <f t="shared" si="21"/>
        <v>1948639.7400000002</v>
      </c>
      <c r="V63" s="4">
        <f t="shared" si="22"/>
        <v>46.60444459811206</v>
      </c>
      <c r="W63" s="4">
        <f t="shared" si="23"/>
        <v>46.9</v>
      </c>
      <c r="X63" s="7">
        <f t="shared" si="24"/>
        <v>46.752222299056029</v>
      </c>
      <c r="Y63" s="7">
        <f t="shared" si="25"/>
        <v>1.6393322908466665</v>
      </c>
      <c r="Z63" s="4">
        <f t="shared" si="26"/>
        <v>0.24653585794204699</v>
      </c>
      <c r="AA63" s="4">
        <f t="shared" si="16"/>
        <v>116.5566430685022</v>
      </c>
      <c r="AB63" s="4">
        <f t="shared" si="27"/>
        <v>6.7414826257244709</v>
      </c>
      <c r="AC63" s="4">
        <f t="shared" si="28"/>
        <v>5.0062886444998798</v>
      </c>
      <c r="AD63" s="4">
        <f t="shared" si="29"/>
        <v>3.9100507030820388</v>
      </c>
      <c r="AE63" s="4">
        <f t="shared" si="17"/>
        <v>1.7241419965246483</v>
      </c>
      <c r="AF63" s="4">
        <f t="shared" si="30"/>
        <v>3.4956234573867206E-2</v>
      </c>
      <c r="AG63" s="8">
        <f t="shared" si="31"/>
        <v>1.4502902450569604E-2</v>
      </c>
      <c r="AH63" s="8">
        <f t="shared" si="32"/>
        <v>3.1608700865317562E-3</v>
      </c>
      <c r="AI63" s="8">
        <f t="shared" si="33"/>
        <v>1.6210209767268898E-3</v>
      </c>
      <c r="AL63" s="8">
        <v>0.1983</v>
      </c>
      <c r="AM63" s="8">
        <v>0.32179999999999997</v>
      </c>
      <c r="AN63" s="4">
        <v>0</v>
      </c>
      <c r="AO63" s="4">
        <v>0</v>
      </c>
      <c r="AP63" s="4">
        <v>1</v>
      </c>
      <c r="AQ63" s="4">
        <v>0</v>
      </c>
      <c r="AR63" s="4">
        <v>1</v>
      </c>
      <c r="AS63" s="4">
        <v>0</v>
      </c>
      <c r="AX63"/>
      <c r="AY63"/>
    </row>
    <row r="64" spans="1:51">
      <c r="A64" s="53" t="s">
        <v>400</v>
      </c>
      <c r="B64" t="s">
        <v>289</v>
      </c>
      <c r="C64" t="s">
        <v>238</v>
      </c>
      <c r="E64" s="57" t="s">
        <v>23</v>
      </c>
      <c r="F64" s="57">
        <v>3</v>
      </c>
      <c r="G64" s="57">
        <v>7</v>
      </c>
      <c r="H64">
        <v>4.4729999999999999</v>
      </c>
      <c r="I64">
        <v>95.1</v>
      </c>
      <c r="J64">
        <v>83.7</v>
      </c>
      <c r="K64">
        <v>110.6</v>
      </c>
      <c r="L64">
        <v>11.8</v>
      </c>
      <c r="M64">
        <v>29</v>
      </c>
      <c r="N64">
        <v>27.7</v>
      </c>
      <c r="O64">
        <v>51.3</v>
      </c>
      <c r="P64">
        <v>33.6</v>
      </c>
      <c r="Q64">
        <v>32.799999999999997</v>
      </c>
      <c r="R64" s="4">
        <f t="shared" si="18"/>
        <v>58.079403081094114</v>
      </c>
      <c r="S64" s="4">
        <f t="shared" si="19"/>
        <v>58.311111111111103</v>
      </c>
      <c r="T64" s="7">
        <f t="shared" si="20"/>
        <v>58.195257096102608</v>
      </c>
      <c r="U64">
        <f t="shared" si="21"/>
        <v>505563.77999999997</v>
      </c>
      <c r="V64" s="4">
        <f t="shared" si="22"/>
        <v>21.327627980693133</v>
      </c>
      <c r="W64" s="4">
        <f t="shared" si="23"/>
        <v>25.146666666666665</v>
      </c>
      <c r="X64" s="7">
        <f t="shared" si="24"/>
        <v>23.237147323679899</v>
      </c>
      <c r="Y64" s="7">
        <f t="shared" si="25"/>
        <v>2.5044062545835186</v>
      </c>
      <c r="Z64" s="4">
        <f t="shared" si="26"/>
        <v>0.32380342363724657</v>
      </c>
      <c r="AA64" s="4">
        <f t="shared" si="16"/>
        <v>61.522830365301068</v>
      </c>
      <c r="AB64" s="4">
        <f t="shared" si="27"/>
        <v>4.4650847623304974</v>
      </c>
      <c r="AC64" s="4">
        <f t="shared" si="28"/>
        <v>3.6069850849578127</v>
      </c>
      <c r="AD64" s="4">
        <f t="shared" si="29"/>
        <v>2.2792499640815849</v>
      </c>
      <c r="AE64" s="4">
        <f t="shared" si="17"/>
        <v>1.959014953469435</v>
      </c>
      <c r="AF64" s="4">
        <f t="shared" si="30"/>
        <v>0.8993161410817283</v>
      </c>
      <c r="AG64" s="8">
        <f t="shared" si="31"/>
        <v>0.36835117387660299</v>
      </c>
      <c r="AH64" s="8">
        <f t="shared" si="32"/>
        <v>8.2175290985088481E-2</v>
      </c>
      <c r="AI64" s="8">
        <f t="shared" si="33"/>
        <v>1.9907810496854637E-3</v>
      </c>
      <c r="AL64" s="8">
        <v>4.5019999999999998E-2</v>
      </c>
      <c r="AM64" s="8">
        <v>0.63939999999999997</v>
      </c>
      <c r="AN64" s="4">
        <v>28</v>
      </c>
      <c r="AO64" s="4">
        <v>19</v>
      </c>
      <c r="AP64" s="4">
        <v>22</v>
      </c>
      <c r="AQ64" s="4">
        <v>29</v>
      </c>
      <c r="AR64" s="4">
        <v>-18</v>
      </c>
      <c r="AS64" s="4">
        <v>-21</v>
      </c>
      <c r="AX64"/>
      <c r="AY64"/>
    </row>
    <row r="65" spans="1:51">
      <c r="A65" s="53" t="s">
        <v>400</v>
      </c>
      <c r="B65" t="s">
        <v>289</v>
      </c>
      <c r="C65" t="s">
        <v>238</v>
      </c>
      <c r="E65" s="57" t="s">
        <v>23</v>
      </c>
      <c r="F65" s="57">
        <v>3</v>
      </c>
      <c r="G65" s="57">
        <v>7</v>
      </c>
      <c r="H65">
        <v>4.4729999999999999</v>
      </c>
      <c r="I65">
        <v>89</v>
      </c>
      <c r="J65">
        <v>81</v>
      </c>
      <c r="K65">
        <v>107</v>
      </c>
      <c r="L65">
        <v>12</v>
      </c>
      <c r="M65">
        <v>28.1</v>
      </c>
      <c r="N65">
        <v>26.9</v>
      </c>
      <c r="O65">
        <v>47.9</v>
      </c>
      <c r="P65">
        <v>31.7</v>
      </c>
      <c r="Q65">
        <v>29.8</v>
      </c>
      <c r="R65" s="4">
        <f t="shared" si="18"/>
        <v>54.915987897300496</v>
      </c>
      <c r="S65" s="4">
        <f t="shared" si="19"/>
        <v>55.088888888888881</v>
      </c>
      <c r="T65" s="7">
        <f t="shared" si="20"/>
        <v>55.002438393094693</v>
      </c>
      <c r="U65">
        <f t="shared" si="21"/>
        <v>455927.908</v>
      </c>
      <c r="V65" s="4">
        <f t="shared" si="22"/>
        <v>21.096708623413189</v>
      </c>
      <c r="W65" s="4">
        <f t="shared" si="23"/>
        <v>24.573333333333334</v>
      </c>
      <c r="X65" s="7">
        <f t="shared" si="24"/>
        <v>22.835020978373262</v>
      </c>
      <c r="Y65" s="7">
        <f t="shared" si="25"/>
        <v>2.4086878853838916</v>
      </c>
      <c r="Z65" s="4">
        <f t="shared" si="26"/>
        <v>0.31765276045751739</v>
      </c>
      <c r="AA65" s="4">
        <f t="shared" si="16"/>
        <v>60.177256854517694</v>
      </c>
      <c r="AB65" s="4">
        <f t="shared" si="27"/>
        <v>4.3707340488583499</v>
      </c>
      <c r="AC65" s="4">
        <f t="shared" si="28"/>
        <v>3.506642745909399</v>
      </c>
      <c r="AD65" s="4">
        <f t="shared" si="29"/>
        <v>2.2594423169906368</v>
      </c>
      <c r="AE65" s="4">
        <f t="shared" si="17"/>
        <v>1.9344304636551881</v>
      </c>
      <c r="AF65" s="4">
        <f t="shared" si="30"/>
        <v>0.82712171274093116</v>
      </c>
      <c r="AG65" s="8">
        <f t="shared" si="31"/>
        <v>0.34111503883223204</v>
      </c>
      <c r="AH65" s="8">
        <f t="shared" si="32"/>
        <v>7.612484160213405E-2</v>
      </c>
      <c r="AI65" s="8">
        <f t="shared" si="33"/>
        <v>1.5717575133004644E-3</v>
      </c>
      <c r="AL65" s="8">
        <v>5.475E-2</v>
      </c>
      <c r="AM65" s="8">
        <v>0.61570000000000003</v>
      </c>
      <c r="AN65" s="4">
        <v>28</v>
      </c>
      <c r="AO65" s="4">
        <v>19</v>
      </c>
      <c r="AP65" s="4">
        <v>-22</v>
      </c>
      <c r="AQ65" s="4">
        <v>29</v>
      </c>
      <c r="AR65" s="4">
        <v>-18</v>
      </c>
      <c r="AS65" s="4">
        <v>21</v>
      </c>
      <c r="AX65"/>
      <c r="AY65"/>
    </row>
    <row r="66" spans="1:51">
      <c r="A66" s="53" t="s">
        <v>294</v>
      </c>
      <c r="B66" t="s">
        <v>293</v>
      </c>
      <c r="C66" t="s">
        <v>238</v>
      </c>
      <c r="E66" s="57" t="s">
        <v>23</v>
      </c>
      <c r="F66" s="57">
        <v>3</v>
      </c>
      <c r="G66" s="57">
        <v>7</v>
      </c>
      <c r="H66">
        <v>2.9630000000000001</v>
      </c>
      <c r="I66">
        <v>93.8</v>
      </c>
      <c r="J66">
        <v>185</v>
      </c>
      <c r="K66">
        <v>112</v>
      </c>
      <c r="L66">
        <v>32.5</v>
      </c>
      <c r="M66">
        <v>26.5</v>
      </c>
      <c r="N66">
        <v>9.3000000000000007</v>
      </c>
      <c r="O66">
        <v>16.5</v>
      </c>
      <c r="P66">
        <v>15.2</v>
      </c>
      <c r="Q66">
        <v>31.7</v>
      </c>
      <c r="R66" s="4">
        <f t="shared" si="18"/>
        <v>52.220600450883119</v>
      </c>
      <c r="S66" s="4">
        <f t="shared" si="19"/>
        <v>57.511111111111113</v>
      </c>
      <c r="T66" s="7">
        <f t="shared" si="20"/>
        <v>54.865855780997116</v>
      </c>
      <c r="U66">
        <f t="shared" si="21"/>
        <v>1791943.638</v>
      </c>
      <c r="V66" s="4">
        <f t="shared" si="22"/>
        <v>23.169471476034584</v>
      </c>
      <c r="W66" s="4">
        <f t="shared" si="23"/>
        <v>35.486666666666665</v>
      </c>
      <c r="X66" s="7">
        <f t="shared" si="24"/>
        <v>29.328069071350626</v>
      </c>
      <c r="Y66" s="7">
        <f t="shared" si="25"/>
        <v>1.8707626351914621</v>
      </c>
      <c r="Z66" s="4">
        <f t="shared" si="26"/>
        <v>0.27314962363700945</v>
      </c>
      <c r="AA66" s="4">
        <f t="shared" si="16"/>
        <v>74.678040200380536</v>
      </c>
      <c r="AB66" s="4">
        <f t="shared" si="27"/>
        <v>5.6315593735156595</v>
      </c>
      <c r="AC66" s="4">
        <f t="shared" si="28"/>
        <v>4.303137792779907</v>
      </c>
      <c r="AD66" s="4">
        <f t="shared" si="29"/>
        <v>3.146124534301848</v>
      </c>
      <c r="AE66" s="4">
        <f t="shared" si="17"/>
        <v>1.7899988738892534</v>
      </c>
      <c r="AF66" s="4">
        <f t="shared" si="30"/>
        <v>2.7593764339626574</v>
      </c>
      <c r="AG66" s="8">
        <f t="shared" ref="AG66:AG71" si="34">SQRT((LN(S66/R66))^2+5*(LN(W66/V66))^2)</f>
        <v>0.95815584293206035</v>
      </c>
      <c r="AH66" s="8">
        <f t="shared" si="32"/>
        <v>0.20998987626267285</v>
      </c>
      <c r="AI66" s="8">
        <f t="shared" ref="AI66:AI71" si="35">(S66-R66)/(S66+R66)</f>
        <v>4.8213142626860946E-2</v>
      </c>
      <c r="AJ66" s="12"/>
      <c r="AK66" s="12"/>
      <c r="AL66" s="9">
        <v>-4.5839999999999999E-2</v>
      </c>
      <c r="AM66" s="8">
        <v>0.75939999999999996</v>
      </c>
      <c r="AN66" s="5">
        <v>-9</v>
      </c>
      <c r="AO66" s="5">
        <v>10</v>
      </c>
      <c r="AP66" s="5">
        <v>-15</v>
      </c>
      <c r="AQ66" s="5">
        <v>-7</v>
      </c>
      <c r="AR66" s="5">
        <v>7</v>
      </c>
      <c r="AS66" s="5">
        <v>9</v>
      </c>
      <c r="AX66"/>
      <c r="AY66"/>
    </row>
    <row r="67" spans="1:51">
      <c r="A67" s="53" t="s">
        <v>384</v>
      </c>
      <c r="B67" t="s">
        <v>321</v>
      </c>
      <c r="C67" t="s">
        <v>238</v>
      </c>
      <c r="E67" s="57" t="s">
        <v>23</v>
      </c>
      <c r="F67" s="57">
        <v>3</v>
      </c>
      <c r="G67" s="57">
        <v>7</v>
      </c>
      <c r="H67">
        <v>3.972</v>
      </c>
      <c r="I67">
        <v>104</v>
      </c>
      <c r="J67">
        <v>106</v>
      </c>
      <c r="K67">
        <v>129</v>
      </c>
      <c r="L67">
        <v>13.5</v>
      </c>
      <c r="M67">
        <v>27.9</v>
      </c>
      <c r="N67">
        <v>26.6</v>
      </c>
      <c r="O67">
        <v>77</v>
      </c>
      <c r="P67">
        <v>60</v>
      </c>
      <c r="Q67">
        <v>62</v>
      </c>
      <c r="R67" s="4">
        <f t="shared" si="18"/>
        <v>81.785857481319482</v>
      </c>
      <c r="S67" s="4">
        <f t="shared" si="19"/>
        <v>81.888888888888886</v>
      </c>
      <c r="T67" s="7">
        <f t="shared" si="20"/>
        <v>81.837373185104184</v>
      </c>
      <c r="U67">
        <f t="shared" si="21"/>
        <v>448759</v>
      </c>
      <c r="V67" s="4">
        <f t="shared" si="22"/>
        <v>20.030200074954536</v>
      </c>
      <c r="W67" s="4">
        <f t="shared" si="23"/>
        <v>22.933333333333334</v>
      </c>
      <c r="X67" s="7">
        <f t="shared" si="24"/>
        <v>21.481766704143936</v>
      </c>
      <c r="Y67" s="7">
        <f t="shared" si="25"/>
        <v>3.8096202380466853</v>
      </c>
      <c r="Z67" s="4">
        <f t="shared" si="26"/>
        <v>0.37931315391655479</v>
      </c>
      <c r="AA67" s="4">
        <f t="shared" ref="AA67:AA122" si="36">9*X67*T67/(X67+3*T67)</f>
        <v>59.260166768784813</v>
      </c>
      <c r="AB67" s="4">
        <f t="shared" si="27"/>
        <v>5.2739581568437117</v>
      </c>
      <c r="AC67" s="4">
        <f t="shared" si="28"/>
        <v>4.5391153625123266</v>
      </c>
      <c r="AD67" s="4">
        <f t="shared" si="29"/>
        <v>2.3255751491743251</v>
      </c>
      <c r="AE67" s="4">
        <f t="shared" si="17"/>
        <v>2.2678080984466074</v>
      </c>
      <c r="AF67" s="4">
        <f t="shared" si="30"/>
        <v>0.72594880190457189</v>
      </c>
      <c r="AG67" s="8">
        <f t="shared" si="34"/>
        <v>0.30265513009705003</v>
      </c>
      <c r="AH67" s="8">
        <f t="shared" si="32"/>
        <v>6.7572032094985218E-2</v>
      </c>
      <c r="AI67" s="8">
        <f t="shared" si="35"/>
        <v>6.2948872599051812E-4</v>
      </c>
      <c r="AL67" s="8">
        <v>9.5369999999999996E-2</v>
      </c>
      <c r="AM67" s="8">
        <v>0.65459999999999996</v>
      </c>
      <c r="AN67" s="4">
        <v>29</v>
      </c>
      <c r="AO67" s="4">
        <v>-16</v>
      </c>
      <c r="AP67" s="4">
        <v>23</v>
      </c>
      <c r="AQ67" s="4">
        <v>7</v>
      </c>
      <c r="AR67" s="4">
        <v>4</v>
      </c>
      <c r="AS67" s="4">
        <v>-6</v>
      </c>
      <c r="AX67"/>
      <c r="AY67"/>
    </row>
    <row r="68" spans="1:51">
      <c r="A68" s="53" t="s">
        <v>317</v>
      </c>
      <c r="B68" t="s">
        <v>316</v>
      </c>
      <c r="C68" t="s">
        <v>238</v>
      </c>
      <c r="D68" t="s">
        <v>718</v>
      </c>
      <c r="E68" s="57" t="s">
        <v>23</v>
      </c>
      <c r="F68" s="57">
        <v>3</v>
      </c>
      <c r="G68" s="57">
        <v>7</v>
      </c>
      <c r="H68">
        <v>2.6589999999999998</v>
      </c>
      <c r="I68" s="6">
        <v>79.3</v>
      </c>
      <c r="J68" s="6">
        <v>105.9</v>
      </c>
      <c r="K68" s="6">
        <v>67.7</v>
      </c>
      <c r="L68" s="6">
        <v>14.7</v>
      </c>
      <c r="M68" s="6">
        <v>17.600000000000001</v>
      </c>
      <c r="N68" s="6">
        <v>22.9</v>
      </c>
      <c r="O68" s="6">
        <v>28.3</v>
      </c>
      <c r="P68" s="6">
        <v>25.1</v>
      </c>
      <c r="Q68" s="6">
        <v>17.7</v>
      </c>
      <c r="R68" s="70">
        <f t="shared" si="18"/>
        <v>42.464889566457323</v>
      </c>
      <c r="S68" s="4">
        <f t="shared" si="19"/>
        <v>43.900000000000006</v>
      </c>
      <c r="T68" s="7">
        <f t="shared" si="20"/>
        <v>43.182444783228661</v>
      </c>
      <c r="U68">
        <f t="shared" si="21"/>
        <v>447899.272</v>
      </c>
      <c r="V68" s="4">
        <f t="shared" si="22"/>
        <v>20.963406003213159</v>
      </c>
      <c r="W68" s="4">
        <f t="shared" si="23"/>
        <v>23.16</v>
      </c>
      <c r="X68" s="7">
        <f t="shared" si="24"/>
        <v>22.061703001606581</v>
      </c>
      <c r="Y68" s="7">
        <f t="shared" si="25"/>
        <v>1.9573486588992708</v>
      </c>
      <c r="Z68" s="4">
        <f t="shared" si="26"/>
        <v>0.2817243940034308</v>
      </c>
      <c r="AA68" s="4">
        <f t="shared" si="36"/>
        <v>56.554045820835732</v>
      </c>
      <c r="AB68" s="4">
        <f t="shared" si="27"/>
        <v>5.2252046601322046</v>
      </c>
      <c r="AC68" s="4">
        <f t="shared" si="28"/>
        <v>4.0299016243114334</v>
      </c>
      <c r="AD68" s="4">
        <f t="shared" si="29"/>
        <v>2.88045004799242</v>
      </c>
      <c r="AE68" s="4">
        <f t="shared" si="17"/>
        <v>1.8140237022245889</v>
      </c>
      <c r="AF68" s="4">
        <f t="shared" si="30"/>
        <v>0.55770674732981806</v>
      </c>
      <c r="AG68" s="8">
        <f t="shared" si="34"/>
        <v>0.22528560509345749</v>
      </c>
      <c r="AH68" s="8">
        <f t="shared" si="32"/>
        <v>4.978296545436408E-2</v>
      </c>
      <c r="AI68" s="8">
        <f t="shared" si="35"/>
        <v>1.6616827054915326E-2</v>
      </c>
      <c r="AX68"/>
      <c r="AY68"/>
    </row>
    <row r="69" spans="1:51">
      <c r="A69" s="53" t="s">
        <v>300</v>
      </c>
      <c r="B69" t="s">
        <v>299</v>
      </c>
      <c r="C69" t="s">
        <v>325</v>
      </c>
      <c r="D69" t="s">
        <v>958</v>
      </c>
      <c r="E69" s="57" t="s">
        <v>23</v>
      </c>
      <c r="F69" s="57">
        <v>3</v>
      </c>
      <c r="G69" s="57">
        <v>5</v>
      </c>
      <c r="H69">
        <v>2.93</v>
      </c>
      <c r="I69">
        <v>160</v>
      </c>
      <c r="J69">
        <v>87.2</v>
      </c>
      <c r="K69">
        <v>84.8</v>
      </c>
      <c r="L69">
        <v>41.3</v>
      </c>
      <c r="M69">
        <v>25.6</v>
      </c>
      <c r="N69">
        <v>42.7</v>
      </c>
      <c r="O69">
        <v>37.299999999999997</v>
      </c>
      <c r="P69">
        <v>1.7</v>
      </c>
      <c r="Q69">
        <v>15.7</v>
      </c>
      <c r="R69" s="4">
        <f t="shared" si="18"/>
        <v>44.713001098841318</v>
      </c>
      <c r="S69" s="4">
        <f t="shared" si="19"/>
        <v>49.044444444444444</v>
      </c>
      <c r="T69" s="7">
        <f t="shared" si="20"/>
        <v>46.878722771642884</v>
      </c>
      <c r="U69">
        <f t="shared" si="21"/>
        <v>1027448.8740000001</v>
      </c>
      <c r="V69" s="4">
        <f t="shared" si="22"/>
        <v>36.615339273088125</v>
      </c>
      <c r="W69" s="4">
        <f t="shared" si="23"/>
        <v>40.406666666666666</v>
      </c>
      <c r="X69" s="7">
        <f t="shared" si="24"/>
        <v>38.511002969877396</v>
      </c>
      <c r="Y69" s="7">
        <f t="shared" si="25"/>
        <v>1.2172812743493222</v>
      </c>
      <c r="Z69" s="4">
        <f t="shared" si="26"/>
        <v>0.17754721416739763</v>
      </c>
      <c r="AA69" s="4">
        <f t="shared" si="36"/>
        <v>90.697048523942996</v>
      </c>
      <c r="AB69" s="4">
        <f t="shared" si="27"/>
        <v>5.7900328248752526</v>
      </c>
      <c r="AC69" s="4">
        <f t="shared" si="28"/>
        <v>3.9999455103644777</v>
      </c>
      <c r="AD69" s="4">
        <f t="shared" si="29"/>
        <v>3.625422323045409</v>
      </c>
      <c r="AE69" s="4">
        <f t="shared" si="17"/>
        <v>1.5970643718030451</v>
      </c>
      <c r="AF69" s="4">
        <f t="shared" si="30"/>
        <v>0.61459604273045443</v>
      </c>
      <c r="AG69" s="8">
        <f t="shared" si="34"/>
        <v>0.23893033203516278</v>
      </c>
      <c r="AH69" s="8">
        <f t="shared" si="32"/>
        <v>4.9223950315498775E-2</v>
      </c>
      <c r="AI69" s="8">
        <f t="shared" si="35"/>
        <v>4.6198393316970156E-2</v>
      </c>
      <c r="AJ69" s="12"/>
      <c r="AK69" s="12"/>
      <c r="AL69" s="9">
        <v>-6.1190000000000001E-2</v>
      </c>
      <c r="AM69" s="8">
        <v>0.43880000000000002</v>
      </c>
      <c r="AN69" s="5">
        <v>1</v>
      </c>
      <c r="AO69" s="5">
        <v>0</v>
      </c>
      <c r="AP69" s="5">
        <v>0</v>
      </c>
      <c r="AQ69" s="5">
        <v>0</v>
      </c>
      <c r="AR69" s="5">
        <v>0</v>
      </c>
      <c r="AS69" s="5">
        <v>1</v>
      </c>
      <c r="AX69"/>
      <c r="AY69"/>
    </row>
    <row r="70" spans="1:51">
      <c r="A70" s="53" t="s">
        <v>300</v>
      </c>
      <c r="B70" t="s">
        <v>299</v>
      </c>
      <c r="C70" t="s">
        <v>325</v>
      </c>
      <c r="D70" t="s">
        <v>958</v>
      </c>
      <c r="E70" s="57" t="s">
        <v>23</v>
      </c>
      <c r="F70" s="57">
        <v>3</v>
      </c>
      <c r="G70" s="57">
        <v>5</v>
      </c>
      <c r="H70">
        <v>2.9780000000000002</v>
      </c>
      <c r="I70">
        <v>171.1</v>
      </c>
      <c r="J70" s="57">
        <v>110.1</v>
      </c>
      <c r="K70" s="6">
        <v>98.4</v>
      </c>
      <c r="L70" s="6">
        <v>39.299999999999997</v>
      </c>
      <c r="M70" s="6">
        <v>24.2</v>
      </c>
      <c r="N70" s="6">
        <v>40.200000000000003</v>
      </c>
      <c r="O70" s="6">
        <v>60.3</v>
      </c>
      <c r="P70" s="6">
        <v>27.8</v>
      </c>
      <c r="Q70" s="6">
        <v>41.9</v>
      </c>
      <c r="R70" s="70">
        <f t="shared" si="18"/>
        <v>66.70539101007715</v>
      </c>
      <c r="S70" s="70">
        <f t="shared" si="19"/>
        <v>71.066666666666663</v>
      </c>
      <c r="T70" s="19">
        <f t="shared" si="20"/>
        <v>68.886028838371914</v>
      </c>
      <c r="U70">
        <f t="shared" si="21"/>
        <v>1250881.5049999997</v>
      </c>
      <c r="V70" s="4">
        <f t="shared" si="22"/>
        <v>34.210634232684534</v>
      </c>
      <c r="W70" s="4">
        <f t="shared" si="23"/>
        <v>37.380000000000003</v>
      </c>
      <c r="X70" s="7">
        <f t="shared" si="24"/>
        <v>35.795317116342268</v>
      </c>
      <c r="Y70" s="7">
        <f t="shared" si="25"/>
        <v>1.9244424798494706</v>
      </c>
      <c r="Z70" s="4">
        <f t="shared" si="26"/>
        <v>0.27854311438692125</v>
      </c>
      <c r="AA70" s="4">
        <f t="shared" si="36"/>
        <v>91.531712452791439</v>
      </c>
      <c r="AB70" s="4">
        <f t="shared" ref="AB70" si="37">SQRT((T70+4/3*X70)/H70)</f>
        <v>6.2576512824281147</v>
      </c>
      <c r="AC70" s="4">
        <f t="shared" ref="AC70" si="38">SQRT(T70/H70)</f>
        <v>4.8095365318883694</v>
      </c>
      <c r="AD70" s="4">
        <f t="shared" ref="AD70" si="39">SQRT(X70/H70)</f>
        <v>3.4669754023758328</v>
      </c>
      <c r="AE70" s="4">
        <f t="shared" ref="AE70" si="40">AB70/AD70</f>
        <v>1.8049309718609197</v>
      </c>
      <c r="AF70" s="4">
        <f t="shared" si="30"/>
        <v>0.52859469277031579</v>
      </c>
      <c r="AG70" s="8">
        <f t="shared" si="34"/>
        <v>0.20799079226774395</v>
      </c>
      <c r="AH70" s="8">
        <f t="shared" si="32"/>
        <v>4.4270675924093186E-2</v>
      </c>
      <c r="AI70" s="8">
        <f t="shared" si="35"/>
        <v>3.1655734334914441E-2</v>
      </c>
      <c r="AJ70" s="12"/>
      <c r="AK70" s="12"/>
      <c r="AL70" s="9"/>
      <c r="AN70" s="5"/>
      <c r="AO70" s="5"/>
      <c r="AP70" s="5"/>
      <c r="AQ70" s="5"/>
      <c r="AR70" s="5"/>
      <c r="AS70" s="5"/>
      <c r="AX70"/>
      <c r="AY70"/>
    </row>
    <row r="71" spans="1:51">
      <c r="A71" s="53" t="s">
        <v>956</v>
      </c>
      <c r="B71" t="s">
        <v>957</v>
      </c>
      <c r="C71" t="s">
        <v>325</v>
      </c>
      <c r="D71" t="s">
        <v>958</v>
      </c>
      <c r="E71" s="57" t="s">
        <v>23</v>
      </c>
      <c r="F71" s="57">
        <v>3</v>
      </c>
      <c r="G71" s="57">
        <v>5</v>
      </c>
      <c r="H71">
        <v>3.7949999999999999</v>
      </c>
      <c r="I71">
        <v>153</v>
      </c>
      <c r="J71" s="57">
        <v>109.6</v>
      </c>
      <c r="K71" s="57">
        <v>75</v>
      </c>
      <c r="L71" s="79">
        <v>28</v>
      </c>
      <c r="M71">
        <v>28.6</v>
      </c>
      <c r="N71">
        <v>33.200000000000003</v>
      </c>
      <c r="O71">
        <v>52</v>
      </c>
      <c r="P71">
        <v>38</v>
      </c>
      <c r="Q71">
        <v>43</v>
      </c>
      <c r="R71" s="4">
        <f t="shared" si="18"/>
        <v>60.882947976878619</v>
      </c>
      <c r="S71" s="4">
        <f t="shared" si="19"/>
        <v>67.066666666666663</v>
      </c>
      <c r="T71" s="7">
        <f t="shared" si="20"/>
        <v>63.974807321772644</v>
      </c>
      <c r="U71">
        <f t="shared" si="21"/>
        <v>783636.6</v>
      </c>
      <c r="V71" s="4">
        <f t="shared" si="22"/>
        <v>29.831636236881838</v>
      </c>
      <c r="W71" s="4">
        <f t="shared" si="23"/>
        <v>31.600000000000005</v>
      </c>
      <c r="X71" s="7">
        <f t="shared" si="24"/>
        <v>30.715818118440922</v>
      </c>
      <c r="Y71" s="7">
        <f t="shared" si="25"/>
        <v>2.0827967881267</v>
      </c>
      <c r="Z71" s="4">
        <f t="shared" si="26"/>
        <v>0.29305750317045959</v>
      </c>
      <c r="AA71" s="4">
        <f t="shared" si="36"/>
        <v>79.434638168138349</v>
      </c>
      <c r="AB71" s="4">
        <f t="shared" si="27"/>
        <v>5.2582636257880422</v>
      </c>
      <c r="AC71" s="4">
        <f t="shared" si="28"/>
        <v>4.1058076840348985</v>
      </c>
      <c r="AD71" s="4">
        <f t="shared" si="29"/>
        <v>2.8449533765958619</v>
      </c>
      <c r="AE71" s="4">
        <f t="shared" si="17"/>
        <v>1.848277609413703</v>
      </c>
      <c r="AF71" s="4">
        <f t="shared" si="30"/>
        <v>0.39795800913636814</v>
      </c>
      <c r="AG71" s="8">
        <f t="shared" si="34"/>
        <v>0.16105641588843492</v>
      </c>
      <c r="AH71" s="8">
        <f t="shared" si="32"/>
        <v>2.8785880882275613E-2</v>
      </c>
      <c r="AI71" s="8">
        <f t="shared" si="35"/>
        <v>4.8329326407236632E-2</v>
      </c>
      <c r="AJ71" s="32">
        <v>35.299999999999997</v>
      </c>
      <c r="AK71" s="12"/>
      <c r="AL71" s="9"/>
      <c r="AN71" s="5"/>
      <c r="AO71" s="5"/>
      <c r="AP71" s="5"/>
      <c r="AQ71" s="5"/>
      <c r="AR71" s="5"/>
      <c r="AS71" s="5"/>
      <c r="AX71"/>
      <c r="AY71"/>
    </row>
    <row r="72" spans="1:51">
      <c r="R72" s="4"/>
      <c r="S72" s="4"/>
      <c r="T72" s="7"/>
      <c r="V72" s="4"/>
      <c r="W72" s="4"/>
      <c r="X72" s="7"/>
      <c r="Y72" s="7"/>
      <c r="Z72" s="4"/>
      <c r="AA72" s="4"/>
      <c r="AB72" s="4"/>
      <c r="AC72" s="4"/>
      <c r="AD72" s="4"/>
      <c r="AE72" s="4"/>
      <c r="AG72" s="8"/>
      <c r="AH72" s="8"/>
      <c r="AI72" s="8"/>
      <c r="AJ72" s="12"/>
      <c r="AK72" s="12"/>
      <c r="AL72" s="9"/>
      <c r="AN72" s="5"/>
      <c r="AO72" s="5"/>
      <c r="AP72" s="5"/>
      <c r="AQ72" s="5"/>
      <c r="AR72" s="5"/>
      <c r="AS72" s="5"/>
      <c r="AX72"/>
      <c r="AY72"/>
    </row>
    <row r="73" spans="1:51">
      <c r="A73" s="53" t="s">
        <v>720</v>
      </c>
      <c r="B73" t="s">
        <v>721</v>
      </c>
      <c r="C73" t="s">
        <v>516</v>
      </c>
      <c r="D73" t="s">
        <v>722</v>
      </c>
      <c r="E73" s="57" t="s">
        <v>23</v>
      </c>
      <c r="F73" s="57">
        <v>3</v>
      </c>
      <c r="G73" s="57">
        <v>8</v>
      </c>
      <c r="H73">
        <v>3.1160000000000001</v>
      </c>
      <c r="I73" s="57">
        <v>76.53</v>
      </c>
      <c r="J73" s="57">
        <v>75.77</v>
      </c>
      <c r="K73" s="57">
        <v>69.63</v>
      </c>
      <c r="L73" s="57">
        <v>15.42</v>
      </c>
      <c r="M73" s="57">
        <v>13.18</v>
      </c>
      <c r="N73" s="57">
        <v>6.17</v>
      </c>
      <c r="O73" s="57">
        <v>31.44</v>
      </c>
      <c r="P73" s="57">
        <v>25.32</v>
      </c>
      <c r="Q73" s="57">
        <v>20.440000000000001</v>
      </c>
      <c r="R73" s="4">
        <f>U73/(I73*(J73+K73-2*Q73)+J73*(K73-2*P73)-2*K73*O73+O73*(2*Q73-O73)+P73*(2*O73-P73)+Q73*(2*P73-Q73) )</f>
        <v>41.43623103410426</v>
      </c>
      <c r="S73" s="4">
        <f>(I73+J73+K73+2*(O73+P73+Q73))/9</f>
        <v>41.814444444444447</v>
      </c>
      <c r="T73" s="7">
        <f>0.5*(R73+S73)</f>
        <v>41.625337739274357</v>
      </c>
      <c r="U73">
        <f>P73*(O73*Q73-P73*J73)+Q73*(O73*P73-Q73*I73)+K73*(I73*J73-O73*O73)</f>
        <v>286927.43178300001</v>
      </c>
      <c r="V73" s="4">
        <f>15/(4*(I73*(J73+K73+Q73)+J73*(K73+P73)+K73*O73-O73*(O73+Q73)-P73*(P73+O73)-Q73*(Q73+P73))/U73 +3*(1/L73 + 1/M73 +1/N73))</f>
        <v>12.92738684938535</v>
      </c>
      <c r="W73" s="4">
        <f>(I73+J73+K73-(O73+P73+Q73)+3*(L73+M73+N73))/15</f>
        <v>16.602666666666668</v>
      </c>
      <c r="X73" s="7">
        <f>0.5*(V73+W73)</f>
        <v>14.765026758026009</v>
      </c>
      <c r="Y73" s="7">
        <f>T73/X73</f>
        <v>2.8191847140844195</v>
      </c>
      <c r="Z73" s="4">
        <f>(3*T73-2*X73)/(2*(3*T73+X73))</f>
        <v>0.34139662565625811</v>
      </c>
      <c r="AA73" s="4">
        <f t="shared" si="36"/>
        <v>39.611514141880889</v>
      </c>
      <c r="AB73" s="4">
        <f>SQRT((T73+4/3*X73)/H73)</f>
        <v>4.4358224950664082</v>
      </c>
      <c r="AC73" s="4">
        <f>SQRT(T73/H73)</f>
        <v>3.6549392319491179</v>
      </c>
      <c r="AD73" s="4">
        <f>SQRT(X73/H73)</f>
        <v>2.1767993278830904</v>
      </c>
      <c r="AE73" s="4">
        <f>AB73/AD73</f>
        <v>2.037772815457541</v>
      </c>
      <c r="AF73" s="4">
        <f>5*W73/V73 + S73/R73 - 6</f>
        <v>1.4306367821500316</v>
      </c>
      <c r="AG73" s="8">
        <f>SQRT((LN(S73/R73))^2+5*(LN(W73/V73))^2)</f>
        <v>0.55957208817166593</v>
      </c>
      <c r="AH73" s="8">
        <f>(W73-V73)/(W73+V73)</f>
        <v>0.12445896230033923</v>
      </c>
      <c r="AI73" s="8">
        <f>(S73-R73)/(S73+R73)</f>
        <v>4.5430671663155685E-3</v>
      </c>
      <c r="AJ73" s="12"/>
      <c r="AK73" s="12"/>
      <c r="AL73" s="9"/>
      <c r="AN73" s="5"/>
      <c r="AO73" s="5"/>
      <c r="AP73" s="5"/>
      <c r="AQ73" s="5"/>
      <c r="AR73" s="5"/>
      <c r="AS73" s="5"/>
      <c r="AX73"/>
      <c r="AY73"/>
    </row>
    <row r="74" spans="1:51">
      <c r="R74" s="4"/>
      <c r="S74" s="4"/>
      <c r="T74" s="7"/>
      <c r="V74" s="4"/>
      <c r="W74" s="4"/>
      <c r="X74" s="7"/>
      <c r="Y74" s="7"/>
      <c r="Z74" s="4"/>
      <c r="AA74" s="4"/>
      <c r="AB74" s="4"/>
      <c r="AC74" s="4"/>
      <c r="AD74" s="4"/>
      <c r="AE74" s="4"/>
      <c r="AG74" s="8"/>
      <c r="AH74" s="8"/>
      <c r="AI74" s="8"/>
      <c r="AL74" s="5"/>
      <c r="AM74" s="4"/>
      <c r="AX74"/>
      <c r="AY74"/>
    </row>
    <row r="75" spans="1:51">
      <c r="A75" s="77" t="s">
        <v>332</v>
      </c>
      <c r="B75" t="s">
        <v>290</v>
      </c>
      <c r="E75" s="57" t="s">
        <v>23</v>
      </c>
      <c r="F75" s="57">
        <v>3</v>
      </c>
      <c r="G75" s="57">
        <v>11</v>
      </c>
      <c r="I75">
        <v>87</v>
      </c>
      <c r="J75">
        <v>103</v>
      </c>
      <c r="K75">
        <v>93</v>
      </c>
      <c r="L75">
        <v>20</v>
      </c>
      <c r="M75">
        <v>23</v>
      </c>
      <c r="N75">
        <v>27</v>
      </c>
      <c r="O75">
        <v>47</v>
      </c>
      <c r="P75">
        <v>46</v>
      </c>
      <c r="Q75">
        <v>50</v>
      </c>
      <c r="R75" s="4">
        <f t="shared" ref="R75:R88" si="41">U75/(I75*(J75+K75-2*Q75)+J75*(K75-2*P75)-2*K75*O75+O75*(2*Q75-O75)+P75*(2*O75-P75)+Q75*(2*P75-Q75) )</f>
        <v>62.759213759213758</v>
      </c>
      <c r="S75" s="4">
        <f t="shared" ref="S75:S88" si="42">(I75+J75+K75+2*(O75+P75+Q75))/9</f>
        <v>63.222222222222221</v>
      </c>
      <c r="T75" s="7">
        <f t="shared" ref="T75:T88" si="43">0.5*(R75+S75)</f>
        <v>62.990717990717989</v>
      </c>
      <c r="U75">
        <f t="shared" ref="U75:U88" si="44">P75*(O75*Q75-P75*J75)+Q75*(O75*P75-Q75*I75)+K75*(I75*J75-O75*O75)</f>
        <v>408688</v>
      </c>
      <c r="V75" s="4">
        <f t="shared" ref="V75:V88" si="45">15/(4*(I75*(J75+K75+Q75)+J75*(K75+P75)+K75*O75-O75*(O75+Q75)-P75*(P75+O75)-Q75*(Q75+P75))/U75 +3*(1/L75 + 1/M75 +1/N75))</f>
        <v>23.060871168723427</v>
      </c>
      <c r="W75" s="4">
        <f t="shared" ref="W75:W88" si="46">(I75+J75+K75-(O75+P75+Q75)+3*(L75+M75+N75))/15</f>
        <v>23.333333333333332</v>
      </c>
      <c r="X75" s="7">
        <f t="shared" ref="X75:X88" si="47">0.5*(V75+W75)</f>
        <v>23.19710225102838</v>
      </c>
      <c r="Y75" s="7">
        <f t="shared" ref="Y75:Y88" si="48">T75/X75</f>
        <v>2.7154563233399323</v>
      </c>
      <c r="Z75" s="4">
        <f t="shared" ref="Z75:Z88" si="49">(3*T75-2*X75)/(2*(3*T75+X75))</f>
        <v>0.33600049321028502</v>
      </c>
      <c r="AA75" s="4">
        <f t="shared" si="36"/>
        <v>61.982680096846657</v>
      </c>
      <c r="AB75" s="4" t="e">
        <f t="shared" ref="AB75:AB88" si="50">SQRT((T75+4/3*X75)/H75)</f>
        <v>#DIV/0!</v>
      </c>
      <c r="AC75" s="4" t="e">
        <f t="shared" ref="AC75:AC88" si="51">SQRT(T75/H75)</f>
        <v>#DIV/0!</v>
      </c>
      <c r="AD75" s="4" t="e">
        <f t="shared" ref="AD75:AD88" si="52">SQRT(X75/H75)</f>
        <v>#DIV/0!</v>
      </c>
      <c r="AE75" s="4" t="e">
        <f t="shared" si="17"/>
        <v>#DIV/0!</v>
      </c>
      <c r="AF75" s="4">
        <f t="shared" ref="AF75:AF88" si="53">5*W75/V75 + S75/R75 - 6</f>
        <v>6.6452097900063123E-2</v>
      </c>
      <c r="AG75" s="8">
        <f t="shared" ref="AG75:AG84" si="54">SQRT((LN(S75/R75))^2+5*(LN(W75/V75))^2)</f>
        <v>2.7273282985191587E-2</v>
      </c>
      <c r="AH75" s="8">
        <f t="shared" ref="AH75:AH88" si="55">(W75-V75)/(W75+V75)</f>
        <v>5.8727629352460691E-3</v>
      </c>
      <c r="AI75" s="8">
        <f t="shared" ref="AI75:AI84" si="56">(S75-R75)/(S75+R75)</f>
        <v>3.6752118230870983E-3</v>
      </c>
      <c r="AX75"/>
      <c r="AY75"/>
    </row>
    <row r="76" spans="1:51">
      <c r="A76" s="77" t="s">
        <v>786</v>
      </c>
      <c r="B76" t="s">
        <v>672</v>
      </c>
      <c r="G76" s="57">
        <v>11</v>
      </c>
      <c r="I76">
        <v>95.8</v>
      </c>
      <c r="J76">
        <v>99.5</v>
      </c>
      <c r="K76">
        <v>110.3</v>
      </c>
      <c r="L76">
        <v>8.6999999999999993</v>
      </c>
      <c r="M76">
        <v>18.899999999999999</v>
      </c>
      <c r="N76">
        <v>31.3</v>
      </c>
      <c r="O76">
        <v>50.3</v>
      </c>
      <c r="P76">
        <v>47.2</v>
      </c>
      <c r="Q76">
        <v>57.9</v>
      </c>
      <c r="R76" s="4">
        <f t="shared" si="41"/>
        <v>67.985049362831958</v>
      </c>
      <c r="S76" s="4">
        <f t="shared" si="42"/>
        <v>68.488888888888894</v>
      </c>
      <c r="T76" s="7">
        <f t="shared" si="43"/>
        <v>68.236969125860426</v>
      </c>
      <c r="U76">
        <f t="shared" si="44"/>
        <v>504418.47299999994</v>
      </c>
      <c r="V76" s="4">
        <f t="shared" si="45"/>
        <v>17.790796371441719</v>
      </c>
      <c r="W76" s="4">
        <f t="shared" si="46"/>
        <v>21.793333333333333</v>
      </c>
      <c r="X76" s="7">
        <f t="shared" si="47"/>
        <v>19.792064852387526</v>
      </c>
      <c r="Y76" s="7">
        <f t="shared" si="48"/>
        <v>3.4476932869199328</v>
      </c>
      <c r="Z76" s="4">
        <f t="shared" si="49"/>
        <v>0.36776078292553566</v>
      </c>
      <c r="AA76" s="4">
        <f t="shared" si="36"/>
        <v>54.14162023642907</v>
      </c>
      <c r="AB76" s="4" t="e">
        <f t="shared" si="50"/>
        <v>#DIV/0!</v>
      </c>
      <c r="AC76" s="4" t="e">
        <f t="shared" si="51"/>
        <v>#DIV/0!</v>
      </c>
      <c r="AD76" s="4" t="e">
        <f t="shared" si="52"/>
        <v>#DIV/0!</v>
      </c>
      <c r="AE76" s="4" t="e">
        <f t="shared" si="17"/>
        <v>#DIV/0!</v>
      </c>
      <c r="AF76" s="4">
        <f t="shared" si="53"/>
        <v>1.1323008025759513</v>
      </c>
      <c r="AG76" s="8">
        <f t="shared" si="54"/>
        <v>0.45380935201078709</v>
      </c>
      <c r="AH76" s="8">
        <f t="shared" si="55"/>
        <v>0.10111468893577283</v>
      </c>
      <c r="AI76" s="8">
        <f t="shared" si="56"/>
        <v>3.6918369361307914E-3</v>
      </c>
      <c r="AX76"/>
      <c r="AY76"/>
    </row>
    <row r="77" spans="1:51">
      <c r="A77" s="77" t="s">
        <v>333</v>
      </c>
      <c r="B77" t="s">
        <v>311</v>
      </c>
      <c r="E77" s="57" t="s">
        <v>23</v>
      </c>
      <c r="F77" s="57">
        <v>3</v>
      </c>
      <c r="G77" s="57">
        <v>11</v>
      </c>
      <c r="I77">
        <v>1107</v>
      </c>
      <c r="J77">
        <v>847</v>
      </c>
      <c r="K77">
        <v>1131</v>
      </c>
      <c r="L77">
        <v>251</v>
      </c>
      <c r="M77">
        <v>221</v>
      </c>
      <c r="N77">
        <v>361</v>
      </c>
      <c r="O77">
        <v>429</v>
      </c>
      <c r="P77">
        <v>318</v>
      </c>
      <c r="Q77">
        <v>441</v>
      </c>
      <c r="R77" s="4">
        <f t="shared" si="41"/>
        <v>602.84972414962965</v>
      </c>
      <c r="S77" s="4">
        <f t="shared" si="42"/>
        <v>606.77777777777783</v>
      </c>
      <c r="T77" s="7">
        <f t="shared" si="43"/>
        <v>604.8137509637038</v>
      </c>
      <c r="U77">
        <f t="shared" si="44"/>
        <v>671689737</v>
      </c>
      <c r="V77" s="4">
        <f t="shared" si="45"/>
        <v>275.98097438061313</v>
      </c>
      <c r="W77" s="4">
        <f t="shared" si="46"/>
        <v>293.06666666666666</v>
      </c>
      <c r="X77" s="7">
        <f t="shared" si="47"/>
        <v>284.52382052363987</v>
      </c>
      <c r="Y77" s="7">
        <f t="shared" si="48"/>
        <v>2.1257051513317928</v>
      </c>
      <c r="Z77" s="4">
        <f t="shared" si="49"/>
        <v>0.29666849334889916</v>
      </c>
      <c r="AA77" s="4">
        <f t="shared" si="36"/>
        <v>737.8661473605215</v>
      </c>
      <c r="AB77" s="4" t="e">
        <f t="shared" si="50"/>
        <v>#DIV/0!</v>
      </c>
      <c r="AC77" s="4" t="e">
        <f t="shared" si="51"/>
        <v>#DIV/0!</v>
      </c>
      <c r="AD77" s="4" t="e">
        <f t="shared" si="52"/>
        <v>#DIV/0!</v>
      </c>
      <c r="AE77" s="4" t="e">
        <f t="shared" ref="AE77:AE119" si="57">AB77/AD77</f>
        <v>#DIV/0!</v>
      </c>
      <c r="AF77" s="4">
        <f t="shared" si="53"/>
        <v>0.3160605579023823</v>
      </c>
      <c r="AG77" s="8">
        <f t="shared" si="54"/>
        <v>0.1344734721461156</v>
      </c>
      <c r="AH77" s="8">
        <f t="shared" si="55"/>
        <v>3.0025064781234991E-2</v>
      </c>
      <c r="AI77" s="8">
        <f t="shared" si="56"/>
        <v>3.2473250003734692E-3</v>
      </c>
      <c r="AL77" s="8">
        <v>0.105</v>
      </c>
      <c r="AM77" s="8">
        <v>0.46679999999999999</v>
      </c>
      <c r="AN77" s="4">
        <v>1</v>
      </c>
      <c r="AO77" s="4">
        <v>0</v>
      </c>
      <c r="AP77" s="4">
        <v>0</v>
      </c>
      <c r="AQ77" s="4">
        <v>0</v>
      </c>
      <c r="AR77" s="4">
        <v>0</v>
      </c>
      <c r="AS77" s="4">
        <v>1</v>
      </c>
      <c r="AX77"/>
      <c r="AY77"/>
    </row>
    <row r="78" spans="1:51">
      <c r="A78" s="77" t="s">
        <v>334</v>
      </c>
      <c r="B78" t="s">
        <v>311</v>
      </c>
      <c r="E78" s="57" t="s">
        <v>23</v>
      </c>
      <c r="F78" s="57">
        <v>3</v>
      </c>
      <c r="G78" s="57">
        <v>11</v>
      </c>
      <c r="I78">
        <v>1258</v>
      </c>
      <c r="J78">
        <v>936</v>
      </c>
      <c r="K78">
        <v>1235</v>
      </c>
      <c r="L78">
        <v>277</v>
      </c>
      <c r="M78">
        <v>261</v>
      </c>
      <c r="N78">
        <v>407</v>
      </c>
      <c r="O78">
        <v>414</v>
      </c>
      <c r="P78">
        <v>328</v>
      </c>
      <c r="Q78">
        <v>479</v>
      </c>
      <c r="R78" s="4">
        <f t="shared" si="41"/>
        <v>647.18353970896135</v>
      </c>
      <c r="S78" s="4">
        <f t="shared" si="42"/>
        <v>652.33333333333337</v>
      </c>
      <c r="T78" s="7">
        <f t="shared" si="43"/>
        <v>649.75843652114736</v>
      </c>
      <c r="U78">
        <f t="shared" si="44"/>
        <v>983276954</v>
      </c>
      <c r="V78" s="4">
        <f t="shared" si="45"/>
        <v>317.64863439276706</v>
      </c>
      <c r="W78" s="4">
        <f t="shared" si="46"/>
        <v>336.2</v>
      </c>
      <c r="X78" s="7">
        <f t="shared" si="47"/>
        <v>326.92431719638353</v>
      </c>
      <c r="Y78" s="7">
        <f t="shared" si="48"/>
        <v>1.9874888539748399</v>
      </c>
      <c r="Z78" s="4">
        <f t="shared" si="49"/>
        <v>0.28455910895098363</v>
      </c>
      <c r="AA78" s="4">
        <f t="shared" si="36"/>
        <v>839.90721918439033</v>
      </c>
      <c r="AB78" s="4" t="e">
        <f t="shared" si="50"/>
        <v>#DIV/0!</v>
      </c>
      <c r="AC78" s="4" t="e">
        <f t="shared" si="51"/>
        <v>#DIV/0!</v>
      </c>
      <c r="AD78" s="4" t="e">
        <f t="shared" si="52"/>
        <v>#DIV/0!</v>
      </c>
      <c r="AE78" s="4" t="e">
        <f t="shared" si="57"/>
        <v>#DIV/0!</v>
      </c>
      <c r="AF78" s="4">
        <f t="shared" si="53"/>
        <v>0.29996802626150831</v>
      </c>
      <c r="AG78" s="8">
        <f t="shared" si="54"/>
        <v>0.12716727885374016</v>
      </c>
      <c r="AH78" s="8">
        <f t="shared" si="55"/>
        <v>2.8372569171856852E-2</v>
      </c>
      <c r="AI78" s="8">
        <f t="shared" si="56"/>
        <v>3.9628524501693144E-3</v>
      </c>
      <c r="AL78" s="8">
        <v>0.108</v>
      </c>
      <c r="AM78" s="8">
        <v>0.46400000000000002</v>
      </c>
      <c r="AN78" s="4">
        <v>0</v>
      </c>
      <c r="AO78" s="4">
        <v>0</v>
      </c>
      <c r="AP78" s="4">
        <v>1</v>
      </c>
      <c r="AQ78" s="4">
        <v>1</v>
      </c>
      <c r="AR78" s="4">
        <v>0</v>
      </c>
      <c r="AS78" s="4">
        <v>0</v>
      </c>
      <c r="AX78"/>
      <c r="AY78"/>
    </row>
    <row r="79" spans="1:51">
      <c r="A79" s="77" t="s">
        <v>708</v>
      </c>
      <c r="B79" t="s">
        <v>311</v>
      </c>
      <c r="E79" s="57" t="s">
        <v>23</v>
      </c>
      <c r="F79" s="57">
        <v>3</v>
      </c>
      <c r="G79" s="57">
        <v>9</v>
      </c>
      <c r="I79">
        <v>851</v>
      </c>
      <c r="J79">
        <v>1044</v>
      </c>
      <c r="K79">
        <v>995</v>
      </c>
      <c r="L79">
        <v>351</v>
      </c>
      <c r="M79">
        <v>272</v>
      </c>
      <c r="N79">
        <v>293</v>
      </c>
      <c r="O79">
        <v>449</v>
      </c>
      <c r="P79">
        <v>360</v>
      </c>
      <c r="Q79">
        <v>385</v>
      </c>
      <c r="R79" s="4">
        <f t="shared" si="41"/>
        <v>581.1270635854994</v>
      </c>
      <c r="S79" s="4">
        <f t="shared" si="42"/>
        <v>586.44444444444446</v>
      </c>
      <c r="T79" s="7">
        <f t="shared" si="43"/>
        <v>583.78575401497187</v>
      </c>
      <c r="U79">
        <f t="shared" si="44"/>
        <v>546429710</v>
      </c>
      <c r="V79" s="4">
        <f t="shared" si="45"/>
        <v>290.87428752690334</v>
      </c>
      <c r="W79" s="4">
        <f t="shared" si="46"/>
        <v>296.26666666666665</v>
      </c>
      <c r="X79" s="7">
        <f t="shared" si="47"/>
        <v>293.570477096785</v>
      </c>
      <c r="Y79" s="7">
        <f t="shared" si="48"/>
        <v>1.9885710572405686</v>
      </c>
      <c r="Z79" s="4">
        <f t="shared" si="49"/>
        <v>0.28465952257559768</v>
      </c>
      <c r="AA79" s="4">
        <f t="shared" si="36"/>
        <v>754.27621789889247</v>
      </c>
      <c r="AB79" s="4" t="e">
        <f t="shared" si="50"/>
        <v>#DIV/0!</v>
      </c>
      <c r="AC79" s="4" t="e">
        <f t="shared" si="51"/>
        <v>#DIV/0!</v>
      </c>
      <c r="AD79" s="4" t="e">
        <f t="shared" si="52"/>
        <v>#DIV/0!</v>
      </c>
      <c r="AE79" s="4" t="e">
        <f t="shared" si="57"/>
        <v>#DIV/0!</v>
      </c>
      <c r="AF79" s="4">
        <f t="shared" si="53"/>
        <v>0.10184272330018551</v>
      </c>
      <c r="AG79" s="8">
        <f t="shared" si="54"/>
        <v>4.2071663338509216E-2</v>
      </c>
      <c r="AH79" s="8">
        <f t="shared" si="55"/>
        <v>9.1841304907263107E-3</v>
      </c>
      <c r="AI79" s="8">
        <f t="shared" si="56"/>
        <v>4.5542228654732531E-3</v>
      </c>
      <c r="AL79" s="8">
        <v>0.18429999999999999</v>
      </c>
      <c r="AM79" s="8">
        <v>0.42970000000000003</v>
      </c>
      <c r="AN79" s="4">
        <v>0</v>
      </c>
      <c r="AO79" s="4">
        <v>29</v>
      </c>
      <c r="AP79" s="4">
        <v>-28</v>
      </c>
      <c r="AQ79" s="4">
        <v>0</v>
      </c>
      <c r="AR79" s="4">
        <v>28</v>
      </c>
      <c r="AS79" s="4">
        <v>29</v>
      </c>
      <c r="AX79"/>
      <c r="AY79"/>
    </row>
    <row r="80" spans="1:51">
      <c r="A80" s="77" t="s">
        <v>468</v>
      </c>
      <c r="B80" t="s">
        <v>304</v>
      </c>
      <c r="E80" s="57" t="s">
        <v>23</v>
      </c>
      <c r="F80" s="57">
        <v>3</v>
      </c>
      <c r="G80" s="57">
        <v>11</v>
      </c>
      <c r="I80">
        <v>1036</v>
      </c>
      <c r="J80">
        <v>1120</v>
      </c>
      <c r="K80">
        <v>1165</v>
      </c>
      <c r="L80">
        <v>324</v>
      </c>
      <c r="M80">
        <v>227</v>
      </c>
      <c r="N80">
        <v>263</v>
      </c>
      <c r="O80">
        <v>600</v>
      </c>
      <c r="P80">
        <v>494</v>
      </c>
      <c r="Q80">
        <v>552</v>
      </c>
      <c r="R80" s="4">
        <f t="shared" si="41"/>
        <v>732.42747424617073</v>
      </c>
      <c r="S80" s="4">
        <f t="shared" si="42"/>
        <v>734.77777777777783</v>
      </c>
      <c r="T80" s="7">
        <f t="shared" si="43"/>
        <v>733.60262601197428</v>
      </c>
      <c r="U80">
        <f t="shared" si="44"/>
        <v>670604736</v>
      </c>
      <c r="V80" s="4">
        <f t="shared" si="45"/>
        <v>268.45565348042743</v>
      </c>
      <c r="W80" s="4">
        <f t="shared" si="46"/>
        <v>274.46666666666664</v>
      </c>
      <c r="X80" s="7">
        <f t="shared" si="47"/>
        <v>271.46116007354703</v>
      </c>
      <c r="Y80" s="7">
        <f t="shared" si="48"/>
        <v>2.7024220548280984</v>
      </c>
      <c r="Z80" s="4">
        <f t="shared" si="49"/>
        <v>0.33529634767351302</v>
      </c>
      <c r="AA80" s="4">
        <f t="shared" si="36"/>
        <v>724.96219116284453</v>
      </c>
      <c r="AB80" s="4" t="e">
        <f t="shared" si="50"/>
        <v>#DIV/0!</v>
      </c>
      <c r="AC80" s="4" t="e">
        <f t="shared" si="51"/>
        <v>#DIV/0!</v>
      </c>
      <c r="AD80" s="4" t="e">
        <f t="shared" si="52"/>
        <v>#DIV/0!</v>
      </c>
      <c r="AE80" s="4" t="e">
        <f t="shared" si="57"/>
        <v>#DIV/0!</v>
      </c>
      <c r="AF80" s="4">
        <f t="shared" si="53"/>
        <v>0.11516434506517825</v>
      </c>
      <c r="AG80" s="8">
        <f t="shared" si="54"/>
        <v>4.9619215945650011E-2</v>
      </c>
      <c r="AH80" s="8">
        <f t="shared" si="55"/>
        <v>1.1071589734256359E-2</v>
      </c>
      <c r="AI80" s="8">
        <f t="shared" si="56"/>
        <v>1.6018914384098274E-3</v>
      </c>
      <c r="AX80"/>
      <c r="AY80"/>
    </row>
    <row r="81" spans="1:51">
      <c r="A81" s="77" t="s">
        <v>469</v>
      </c>
      <c r="B81" t="s">
        <v>304</v>
      </c>
      <c r="E81" s="57" t="s">
        <v>23</v>
      </c>
      <c r="F81" s="57">
        <v>3</v>
      </c>
      <c r="G81" s="57">
        <v>11</v>
      </c>
      <c r="I81">
        <v>1174</v>
      </c>
      <c r="J81">
        <v>993</v>
      </c>
      <c r="K81">
        <v>1236</v>
      </c>
      <c r="L81">
        <v>192</v>
      </c>
      <c r="M81">
        <v>221</v>
      </c>
      <c r="N81">
        <v>320</v>
      </c>
      <c r="O81">
        <v>543</v>
      </c>
      <c r="P81">
        <v>486</v>
      </c>
      <c r="Q81">
        <v>550</v>
      </c>
      <c r="R81" s="4">
        <f t="shared" si="41"/>
        <v>725.26126670978567</v>
      </c>
      <c r="S81" s="4">
        <f t="shared" si="42"/>
        <v>729</v>
      </c>
      <c r="T81" s="7">
        <f t="shared" si="43"/>
        <v>727.13063335489278</v>
      </c>
      <c r="U81">
        <f t="shared" si="44"/>
        <v>777083360</v>
      </c>
      <c r="V81" s="4">
        <f t="shared" si="45"/>
        <v>253.96698710203887</v>
      </c>
      <c r="W81" s="4">
        <f t="shared" si="46"/>
        <v>268.2</v>
      </c>
      <c r="X81" s="7">
        <f t="shared" si="47"/>
        <v>261.08349355101944</v>
      </c>
      <c r="Y81" s="7">
        <f t="shared" si="48"/>
        <v>2.7850501901331461</v>
      </c>
      <c r="Z81" s="4">
        <f t="shared" si="49"/>
        <v>0.33966051762478966</v>
      </c>
      <c r="AA81" s="4">
        <f t="shared" si="36"/>
        <v>699.52649622769422</v>
      </c>
      <c r="AB81" s="4" t="e">
        <f t="shared" si="50"/>
        <v>#DIV/0!</v>
      </c>
      <c r="AC81" s="4" t="e">
        <f t="shared" si="51"/>
        <v>#DIV/0!</v>
      </c>
      <c r="AD81" s="4" t="e">
        <f t="shared" si="52"/>
        <v>#DIV/0!</v>
      </c>
      <c r="AE81" s="4" t="e">
        <f t="shared" si="57"/>
        <v>#DIV/0!</v>
      </c>
      <c r="AF81" s="4">
        <f t="shared" si="53"/>
        <v>0.28536885501695419</v>
      </c>
      <c r="AG81" s="8">
        <f t="shared" si="54"/>
        <v>0.12203821085092359</v>
      </c>
      <c r="AH81" s="8">
        <f t="shared" si="55"/>
        <v>2.7257588567505098E-2</v>
      </c>
      <c r="AI81" s="8">
        <f t="shared" si="56"/>
        <v>2.5708814336182374E-3</v>
      </c>
      <c r="AX81"/>
      <c r="AY81"/>
    </row>
    <row r="82" spans="1:51">
      <c r="A82" s="77" t="s">
        <v>924</v>
      </c>
      <c r="B82" t="s">
        <v>564</v>
      </c>
      <c r="C82" t="s">
        <v>932</v>
      </c>
      <c r="D82" t="s">
        <v>923</v>
      </c>
      <c r="E82" s="57" t="s">
        <v>23</v>
      </c>
      <c r="F82" s="57">
        <v>3</v>
      </c>
      <c r="G82" s="57">
        <v>9</v>
      </c>
      <c r="H82">
        <v>3.96</v>
      </c>
      <c r="I82">
        <v>435</v>
      </c>
      <c r="J82" s="6">
        <v>370</v>
      </c>
      <c r="K82" s="6">
        <v>502</v>
      </c>
      <c r="L82" s="6">
        <v>109</v>
      </c>
      <c r="M82" s="6">
        <v>137</v>
      </c>
      <c r="N82" s="6">
        <v>120</v>
      </c>
      <c r="O82" s="6">
        <v>124</v>
      </c>
      <c r="P82" s="6">
        <v>85</v>
      </c>
      <c r="Q82" s="6">
        <v>88</v>
      </c>
      <c r="R82" s="4">
        <f t="shared" si="41"/>
        <v>209.6362640472517</v>
      </c>
      <c r="S82" s="4">
        <f t="shared" si="42"/>
        <v>211.22222222222223</v>
      </c>
      <c r="T82" s="7">
        <f t="shared" si="43"/>
        <v>210.42924313473696</v>
      </c>
      <c r="U82">
        <f t="shared" si="44"/>
        <v>68891298</v>
      </c>
      <c r="V82" s="4">
        <f t="shared" si="45"/>
        <v>134.5886145488663</v>
      </c>
      <c r="W82" s="4">
        <f t="shared" si="46"/>
        <v>140.53333333333333</v>
      </c>
      <c r="X82" s="7">
        <f t="shared" si="47"/>
        <v>137.5609739410998</v>
      </c>
      <c r="Y82" s="7">
        <f t="shared" si="48"/>
        <v>1.5297161477268804</v>
      </c>
      <c r="Z82" s="4">
        <f t="shared" si="49"/>
        <v>0.23162280171138411</v>
      </c>
      <c r="AA82" s="4">
        <f t="shared" si="36"/>
        <v>338.84646426296803</v>
      </c>
      <c r="AB82" s="4">
        <f t="shared" si="50"/>
        <v>9.9727390422136164</v>
      </c>
      <c r="AC82" s="4">
        <f t="shared" si="51"/>
        <v>7.2896294666668222</v>
      </c>
      <c r="AD82" s="4">
        <f t="shared" si="52"/>
        <v>5.8938628828719715</v>
      </c>
      <c r="AE82" s="4">
        <f t="shared" si="57"/>
        <v>1.6920548103002497</v>
      </c>
      <c r="AF82" s="4">
        <f t="shared" si="53"/>
        <v>0.22841304452606082</v>
      </c>
      <c r="AG82" s="8">
        <f t="shared" si="54"/>
        <v>9.6940492341597143E-2</v>
      </c>
      <c r="AH82" s="8">
        <f t="shared" si="55"/>
        <v>2.1607577404229521E-2</v>
      </c>
      <c r="AI82" s="8">
        <f t="shared" si="56"/>
        <v>3.7683882509500976E-3</v>
      </c>
      <c r="AJ82" s="7">
        <v>9.8000000000000007</v>
      </c>
      <c r="AK82" s="7">
        <v>13.3</v>
      </c>
      <c r="AX82"/>
      <c r="AY82"/>
    </row>
    <row r="83" spans="1:51">
      <c r="A83" s="77" t="s">
        <v>924</v>
      </c>
      <c r="B83" t="s">
        <v>930</v>
      </c>
      <c r="C83" t="s">
        <v>932</v>
      </c>
      <c r="D83" t="s">
        <v>923</v>
      </c>
      <c r="E83" s="57" t="s">
        <v>23</v>
      </c>
      <c r="F83" s="57">
        <v>3</v>
      </c>
      <c r="G83" s="57">
        <v>9</v>
      </c>
      <c r="H83">
        <v>4.01</v>
      </c>
      <c r="I83">
        <v>364</v>
      </c>
      <c r="J83" s="6">
        <v>353</v>
      </c>
      <c r="K83" s="6">
        <v>508</v>
      </c>
      <c r="L83" s="6">
        <v>124</v>
      </c>
      <c r="M83" s="6">
        <v>151</v>
      </c>
      <c r="N83" s="6">
        <v>125</v>
      </c>
      <c r="O83" s="6">
        <v>85</v>
      </c>
      <c r="P83" s="6">
        <v>105</v>
      </c>
      <c r="Q83" s="6">
        <v>92</v>
      </c>
      <c r="R83" s="4">
        <f t="shared" si="41"/>
        <v>193.1407924271858</v>
      </c>
      <c r="S83" s="4">
        <f t="shared" si="42"/>
        <v>198.77777777777777</v>
      </c>
      <c r="T83" s="7">
        <f t="shared" si="43"/>
        <v>195.95928510248177</v>
      </c>
      <c r="U83">
        <f t="shared" si="44"/>
        <v>56273115</v>
      </c>
      <c r="V83" s="4">
        <f t="shared" si="45"/>
        <v>139.67299832794393</v>
      </c>
      <c r="W83" s="4">
        <f t="shared" si="46"/>
        <v>142.86666666666667</v>
      </c>
      <c r="X83" s="7">
        <f t="shared" si="47"/>
        <v>141.26983249730529</v>
      </c>
      <c r="Y83" s="7">
        <f t="shared" si="48"/>
        <v>1.3871276098966117</v>
      </c>
      <c r="Z83" s="4">
        <f t="shared" si="49"/>
        <v>0.20938020885187081</v>
      </c>
      <c r="AA83" s="4">
        <f t="shared" si="36"/>
        <v>341.69787906011976</v>
      </c>
      <c r="AB83" s="4">
        <f t="shared" ref="AB83" si="58">SQRT((T83+4/3*X83)/H83)</f>
        <v>9.7897990290310268</v>
      </c>
      <c r="AC83" s="4">
        <f t="shared" ref="AC83" si="59">SQRT(T83/H83)</f>
        <v>6.9905401898034532</v>
      </c>
      <c r="AD83" s="4">
        <f t="shared" ref="AD83" si="60">SQRT(X83/H83)</f>
        <v>5.9354346650156682</v>
      </c>
      <c r="AE83" s="4">
        <f t="shared" ref="AE83" si="61">AB83/AD83</f>
        <v>1.6493819882701353</v>
      </c>
      <c r="AF83" s="4">
        <f t="shared" si="53"/>
        <v>0.14351250624894796</v>
      </c>
      <c r="AG83" s="8">
        <f t="shared" si="54"/>
        <v>5.8165048188989134E-2</v>
      </c>
      <c r="AH83" s="8">
        <f t="shared" si="55"/>
        <v>1.1303433586160951E-2</v>
      </c>
      <c r="AI83" s="8">
        <f t="shared" si="56"/>
        <v>1.4383052447971448E-2</v>
      </c>
      <c r="AX83"/>
      <c r="AY83"/>
    </row>
    <row r="84" spans="1:51">
      <c r="A84" s="77" t="s">
        <v>924</v>
      </c>
      <c r="B84" t="s">
        <v>931</v>
      </c>
      <c r="C84" t="s">
        <v>932</v>
      </c>
      <c r="D84" t="s">
        <v>923</v>
      </c>
      <c r="E84" s="57" t="s">
        <v>23</v>
      </c>
      <c r="F84" s="57">
        <v>3</v>
      </c>
      <c r="G84" s="57">
        <v>9</v>
      </c>
      <c r="H84">
        <v>4.05</v>
      </c>
      <c r="I84">
        <v>461</v>
      </c>
      <c r="J84" s="6">
        <v>380</v>
      </c>
      <c r="K84" s="6">
        <v>518</v>
      </c>
      <c r="L84" s="6">
        <v>102</v>
      </c>
      <c r="M84" s="6">
        <v>136</v>
      </c>
      <c r="N84" s="6">
        <v>126</v>
      </c>
      <c r="O84" s="6">
        <v>147</v>
      </c>
      <c r="P84" s="6">
        <v>78</v>
      </c>
      <c r="Q84" s="6">
        <v>93</v>
      </c>
      <c r="R84" s="4">
        <f t="shared" si="41"/>
        <v>220.45781423641574</v>
      </c>
      <c r="S84" s="4">
        <f t="shared" si="42"/>
        <v>221.66666666666666</v>
      </c>
      <c r="T84" s="7">
        <f t="shared" si="43"/>
        <v>221.06224045154119</v>
      </c>
      <c r="U84">
        <f t="shared" si="44"/>
        <v>75383345</v>
      </c>
      <c r="V84" s="4">
        <f t="shared" si="45"/>
        <v>134.00939325878059</v>
      </c>
      <c r="W84" s="4">
        <f t="shared" si="46"/>
        <v>142.19999999999999</v>
      </c>
      <c r="X84" s="7">
        <f t="shared" si="47"/>
        <v>138.10469662939028</v>
      </c>
      <c r="Y84" s="7">
        <f t="shared" si="48"/>
        <v>1.6006858987914867</v>
      </c>
      <c r="Z84" s="4">
        <f t="shared" si="49"/>
        <v>0.2414710300214169</v>
      </c>
      <c r="AA84" s="4">
        <f t="shared" si="36"/>
        <v>342.9059599505689</v>
      </c>
      <c r="AB84" s="4">
        <f t="shared" ref="AB84" si="62">SQRT((T84+4/3*X84)/H84)</f>
        <v>10.002491491566635</v>
      </c>
      <c r="AC84" s="4">
        <f t="shared" ref="AC84" si="63">SQRT(T84/H84)</f>
        <v>7.3880490826262193</v>
      </c>
      <c r="AD84" s="4">
        <f t="shared" ref="AD84" si="64">SQRT(X84/H84)</f>
        <v>5.8395141145198552</v>
      </c>
      <c r="AE84" s="4">
        <f t="shared" ref="AE84" si="65">AB84/AD84</f>
        <v>1.7128979047581383</v>
      </c>
      <c r="AF84" s="4">
        <f t="shared" si="53"/>
        <v>0.31108160542735419</v>
      </c>
      <c r="AG84" s="8">
        <f t="shared" si="54"/>
        <v>0.13276654915828723</v>
      </c>
      <c r="AH84" s="8">
        <f t="shared" si="55"/>
        <v>2.9653614037469099E-2</v>
      </c>
      <c r="AI84" s="8">
        <f t="shared" si="56"/>
        <v>2.7341902167048412E-3</v>
      </c>
      <c r="AX84"/>
      <c r="AY84"/>
    </row>
    <row r="85" spans="1:51">
      <c r="A85" s="77"/>
      <c r="R85" s="4"/>
      <c r="S85" s="4"/>
      <c r="T85" s="7"/>
      <c r="V85" s="4"/>
      <c r="W85" s="4"/>
      <c r="X85" s="7"/>
      <c r="Y85" s="7"/>
      <c r="Z85" s="4"/>
      <c r="AA85" s="4"/>
      <c r="AB85" s="4"/>
      <c r="AC85" s="4"/>
      <c r="AD85" s="4"/>
      <c r="AE85" s="4"/>
      <c r="AG85" s="8"/>
      <c r="AH85" s="8"/>
      <c r="AI85" s="8"/>
      <c r="AX85"/>
      <c r="AY85"/>
    </row>
    <row r="86" spans="1:51">
      <c r="A86" s="77" t="s">
        <v>460</v>
      </c>
      <c r="B86" t="s">
        <v>462</v>
      </c>
      <c r="C86" t="s">
        <v>461</v>
      </c>
      <c r="E86" s="57" t="s">
        <v>23</v>
      </c>
      <c r="F86" s="57">
        <v>3</v>
      </c>
      <c r="G86" s="57">
        <v>11</v>
      </c>
      <c r="H86">
        <v>3.3780000000000001</v>
      </c>
      <c r="I86">
        <v>314</v>
      </c>
      <c r="J86">
        <v>306</v>
      </c>
      <c r="K86">
        <v>391</v>
      </c>
      <c r="L86">
        <v>117</v>
      </c>
      <c r="M86">
        <v>115</v>
      </c>
      <c r="N86">
        <v>152</v>
      </c>
      <c r="O86">
        <v>34</v>
      </c>
      <c r="P86">
        <v>95</v>
      </c>
      <c r="Q86">
        <v>67</v>
      </c>
      <c r="R86" s="4">
        <f t="shared" si="41"/>
        <v>151.18704931695473</v>
      </c>
      <c r="S86" s="4">
        <f t="shared" si="42"/>
        <v>155.88888888888889</v>
      </c>
      <c r="T86" s="7">
        <f t="shared" si="43"/>
        <v>153.53796910292181</v>
      </c>
      <c r="U86">
        <f t="shared" si="44"/>
        <v>33378472</v>
      </c>
      <c r="V86" s="4">
        <f t="shared" si="45"/>
        <v>128.81344632795117</v>
      </c>
      <c r="W86" s="4">
        <f t="shared" si="46"/>
        <v>131.13333333333333</v>
      </c>
      <c r="X86" s="7">
        <f t="shared" si="47"/>
        <v>129.97338983064225</v>
      </c>
      <c r="Y86" s="7">
        <f t="shared" si="48"/>
        <v>1.1813031059895003</v>
      </c>
      <c r="Z86" s="4">
        <f t="shared" si="49"/>
        <v>0.1698877783347528</v>
      </c>
      <c r="AA86" s="4">
        <f t="shared" si="36"/>
        <v>304.10856054321363</v>
      </c>
      <c r="AB86" s="4">
        <f t="shared" si="50"/>
        <v>9.8363733077366859</v>
      </c>
      <c r="AC86" s="4">
        <f t="shared" si="51"/>
        <v>6.7418342841819072</v>
      </c>
      <c r="AD86" s="4">
        <f t="shared" si="52"/>
        <v>6.2029374291812855</v>
      </c>
      <c r="AE86" s="4">
        <f t="shared" si="57"/>
        <v>1.5857605239514678</v>
      </c>
      <c r="AF86" s="4">
        <f t="shared" si="53"/>
        <v>0.12114781091282634</v>
      </c>
      <c r="AG86" s="8">
        <f>SQRT((LN(S86/R86))^2+5*(LN(W86/V86))^2)</f>
        <v>5.0308456339173808E-2</v>
      </c>
      <c r="AH86" s="8">
        <f t="shared" si="55"/>
        <v>8.9244691101963737E-3</v>
      </c>
      <c r="AI86" s="8">
        <f>(S86-R86)/(S86+R86)</f>
        <v>1.5311650920634337E-2</v>
      </c>
      <c r="AJ86" s="7">
        <v>13</v>
      </c>
      <c r="AK86" s="7">
        <v>14</v>
      </c>
      <c r="AX86"/>
      <c r="AY86"/>
    </row>
    <row r="87" spans="1:51">
      <c r="A87" s="77" t="s">
        <v>460</v>
      </c>
      <c r="B87" t="s">
        <v>463</v>
      </c>
      <c r="C87" t="s">
        <v>461</v>
      </c>
      <c r="E87" s="57" t="s">
        <v>23</v>
      </c>
      <c r="F87" s="57">
        <v>3</v>
      </c>
      <c r="G87" s="57">
        <v>11</v>
      </c>
      <c r="H87">
        <v>3.4550000000000001</v>
      </c>
      <c r="I87">
        <v>390</v>
      </c>
      <c r="J87">
        <v>465</v>
      </c>
      <c r="K87">
        <v>406</v>
      </c>
      <c r="L87">
        <v>132</v>
      </c>
      <c r="M87">
        <v>121</v>
      </c>
      <c r="N87">
        <v>194</v>
      </c>
      <c r="O87">
        <v>102</v>
      </c>
      <c r="P87">
        <v>101</v>
      </c>
      <c r="Q87">
        <v>102</v>
      </c>
      <c r="R87" s="4">
        <f t="shared" si="41"/>
        <v>206.82797940449842</v>
      </c>
      <c r="S87" s="4">
        <f t="shared" si="42"/>
        <v>207.88888888888889</v>
      </c>
      <c r="T87" s="7">
        <f t="shared" si="43"/>
        <v>207.35843414669364</v>
      </c>
      <c r="U87">
        <f t="shared" si="44"/>
        <v>62704659</v>
      </c>
      <c r="V87" s="4">
        <f t="shared" si="45"/>
        <v>148.63839735216769</v>
      </c>
      <c r="W87" s="4">
        <f t="shared" si="46"/>
        <v>153.13333333333333</v>
      </c>
      <c r="X87" s="7">
        <f t="shared" si="47"/>
        <v>150.88586534275049</v>
      </c>
      <c r="Y87" s="7">
        <f t="shared" si="48"/>
        <v>1.3742734196848774</v>
      </c>
      <c r="Z87" s="4">
        <f t="shared" si="49"/>
        <v>0.20719253767517296</v>
      </c>
      <c r="AA87" s="4">
        <f t="shared" si="36"/>
        <v>364.29658136485881</v>
      </c>
      <c r="AB87" s="4">
        <f t="shared" si="50"/>
        <v>10.874093111372467</v>
      </c>
      <c r="AC87" s="4">
        <f t="shared" si="51"/>
        <v>7.7470583399341058</v>
      </c>
      <c r="AD87" s="4">
        <f t="shared" si="52"/>
        <v>6.6084598095427403</v>
      </c>
      <c r="AE87" s="4">
        <f t="shared" si="57"/>
        <v>1.6454807057568954</v>
      </c>
      <c r="AF87" s="4">
        <f t="shared" si="53"/>
        <v>0.15633315792386071</v>
      </c>
      <c r="AG87" s="8">
        <f>SQRT((LN(S87/R87))^2+5*(LN(W87/V87))^2)</f>
        <v>6.6814254282541855E-2</v>
      </c>
      <c r="AH87" s="8">
        <f t="shared" si="55"/>
        <v>1.4895152607419514E-2</v>
      </c>
      <c r="AI87" s="8">
        <f>(S87-R87)/(S87+R87)</f>
        <v>2.5581536838765249E-3</v>
      </c>
      <c r="AJ87" s="7">
        <v>12</v>
      </c>
      <c r="AK87" s="7">
        <v>24</v>
      </c>
      <c r="AX87"/>
      <c r="AY87"/>
    </row>
    <row r="88" spans="1:51">
      <c r="A88" s="77" t="s">
        <v>460</v>
      </c>
      <c r="B88" t="s">
        <v>464</v>
      </c>
      <c r="C88" t="s">
        <v>461</v>
      </c>
      <c r="E88" s="57" t="s">
        <v>23</v>
      </c>
      <c r="F88" s="57">
        <v>3</v>
      </c>
      <c r="G88" s="57">
        <v>11</v>
      </c>
      <c r="H88">
        <v>3.8860000000000001</v>
      </c>
      <c r="I88">
        <v>584</v>
      </c>
      <c r="J88">
        <v>587</v>
      </c>
      <c r="K88">
        <v>556</v>
      </c>
      <c r="L88">
        <v>166</v>
      </c>
      <c r="M88">
        <v>150</v>
      </c>
      <c r="N88">
        <v>261</v>
      </c>
      <c r="O88">
        <v>203</v>
      </c>
      <c r="P88">
        <v>162</v>
      </c>
      <c r="Q88">
        <v>179</v>
      </c>
      <c r="R88" s="4">
        <f t="shared" si="41"/>
        <v>312.0090761555569</v>
      </c>
      <c r="S88" s="4">
        <f t="shared" si="42"/>
        <v>312.77777777777777</v>
      </c>
      <c r="T88" s="7">
        <f t="shared" si="43"/>
        <v>312.39342696666733</v>
      </c>
      <c r="U88">
        <f t="shared" si="44"/>
        <v>145345060</v>
      </c>
      <c r="V88" s="4">
        <f t="shared" si="45"/>
        <v>187.31771463741185</v>
      </c>
      <c r="W88" s="4">
        <f t="shared" si="46"/>
        <v>194.26666666666668</v>
      </c>
      <c r="X88" s="7">
        <f t="shared" si="47"/>
        <v>190.79219065203927</v>
      </c>
      <c r="Y88" s="7">
        <f t="shared" si="48"/>
        <v>1.6373491278602725</v>
      </c>
      <c r="Z88" s="4">
        <f t="shared" si="49"/>
        <v>0.24628078858673189</v>
      </c>
      <c r="AA88" s="4">
        <f t="shared" si="36"/>
        <v>475.56128364402713</v>
      </c>
      <c r="AB88" s="4">
        <f t="shared" si="50"/>
        <v>12.076942963301464</v>
      </c>
      <c r="AC88" s="4">
        <f t="shared" si="51"/>
        <v>8.9660167434953557</v>
      </c>
      <c r="AD88" s="4">
        <f t="shared" si="52"/>
        <v>7.0069480746362247</v>
      </c>
      <c r="AE88" s="4">
        <f t="shared" si="57"/>
        <v>1.7235667846630154</v>
      </c>
      <c r="AF88" s="4">
        <f t="shared" si="53"/>
        <v>0.18794943012465026</v>
      </c>
      <c r="AG88" s="8">
        <f>SQRT((LN(S88/R88))^2+5*(LN(W88/V88))^2)</f>
        <v>8.1487282926435992E-2</v>
      </c>
      <c r="AH88" s="8">
        <f t="shared" si="55"/>
        <v>1.8210787363745155E-2</v>
      </c>
      <c r="AI88" s="8">
        <f>(S88-R88)/(S88+R88)</f>
        <v>1.2303421837087743E-3</v>
      </c>
      <c r="AJ88" s="7">
        <v>12</v>
      </c>
      <c r="AK88" s="7">
        <v>28</v>
      </c>
      <c r="AX88"/>
      <c r="AY88"/>
    </row>
    <row r="89" spans="1:51">
      <c r="AA89" s="4"/>
      <c r="AB89" s="4"/>
      <c r="AC89" s="4"/>
      <c r="AD89" s="4"/>
      <c r="AE89" s="4"/>
      <c r="AG89" s="8"/>
      <c r="AX89"/>
      <c r="AY89"/>
    </row>
    <row r="90" spans="1:51">
      <c r="A90" s="53" t="s">
        <v>308</v>
      </c>
      <c r="B90" t="s">
        <v>615</v>
      </c>
      <c r="C90" t="s">
        <v>327</v>
      </c>
      <c r="E90" s="57" t="s">
        <v>23</v>
      </c>
      <c r="F90" s="57">
        <v>3</v>
      </c>
      <c r="G90" s="57">
        <v>9</v>
      </c>
      <c r="H90">
        <v>3.339</v>
      </c>
      <c r="I90">
        <v>280</v>
      </c>
      <c r="J90">
        <v>309</v>
      </c>
      <c r="K90">
        <v>289</v>
      </c>
      <c r="L90">
        <v>90</v>
      </c>
      <c r="M90">
        <v>100</v>
      </c>
      <c r="N90">
        <v>91</v>
      </c>
      <c r="O90">
        <v>67</v>
      </c>
      <c r="P90">
        <v>94</v>
      </c>
      <c r="Q90">
        <v>75</v>
      </c>
      <c r="R90" s="4">
        <f t="shared" ref="R90:R95" si="66">U90/(I90*(J90+K90-2*Q90)+J90*(K90-2*P90)-2*K90*O90+O90*(2*Q90-O90)+P90*(2*O90-P90)+Q90*(2*P90-Q90) )</f>
        <v>149.91515557880621</v>
      </c>
      <c r="S90" s="4">
        <f t="shared" ref="S90:S95" si="67">(I90+J90+K90+2*(O90+P90+Q90))/9</f>
        <v>150</v>
      </c>
      <c r="T90" s="7">
        <f t="shared" ref="T90:T95" si="68">0.5*(R90+S90)</f>
        <v>149.9575777894031</v>
      </c>
      <c r="U90">
        <f t="shared" ref="U90:U95" si="69">P90*(O90*Q90-P90*J90)+Q90*(O90*P90-Q90*I90)+K90*(I90*J90-O90*O90)</f>
        <v>20346335</v>
      </c>
      <c r="V90" s="4">
        <f t="shared" ref="V90:V95" si="70">15/(4*(I90*(J90+K90+Q90)+J90*(K90+P90)+K90*O90-O90*(O90+Q90)-P90*(P90+O90)-Q90*(Q90+P90))/U90 +3*(1/L90 + 1/M90 +1/N90))</f>
        <v>97.986389779944602</v>
      </c>
      <c r="W90" s="4">
        <f t="shared" ref="W90:W95" si="71">(I90+J90+K90-(O90+P90+Q90)+3*(L90+M90+N90))/15</f>
        <v>99</v>
      </c>
      <c r="X90" s="7">
        <f t="shared" ref="X90:X95" si="72">0.5*(V90+W90)</f>
        <v>98.493194889972301</v>
      </c>
      <c r="Y90" s="7">
        <f t="shared" ref="Y90:Y95" si="73">T90/X90</f>
        <v>1.5225171440211902</v>
      </c>
      <c r="Z90" s="4">
        <f t="shared" ref="Z90:Z95" si="74">(3*T90-2*X90)/(2*(3*T90+X90))</f>
        <v>0.23058174346419347</v>
      </c>
      <c r="AA90" s="4">
        <f t="shared" si="36"/>
        <v>242.40785497412142</v>
      </c>
      <c r="AB90" s="4">
        <f t="shared" ref="AB90:AB95" si="75">SQRT((T90+4/3*X90)/H90)</f>
        <v>9.178308178149587</v>
      </c>
      <c r="AC90" s="4">
        <f t="shared" ref="AC90:AC95" si="76">SQRT(T90/H90)</f>
        <v>6.7015613676755139</v>
      </c>
      <c r="AD90" s="4">
        <f t="shared" ref="AD90:AD95" si="77">SQRT(X90/H90)</f>
        <v>5.4311888372873787</v>
      </c>
      <c r="AE90" s="4">
        <f t="shared" si="57"/>
        <v>1.6899261751196477</v>
      </c>
      <c r="AF90" s="4">
        <f t="shared" ref="AF90:AF95" si="78">5*W90/V90 + S90/R90 - 6</f>
        <v>5.2287939877563971E-2</v>
      </c>
      <c r="AG90" s="8"/>
      <c r="AH90" s="8">
        <f t="shared" ref="AH90:AH95" si="79">(W90-V90)/(W90+V90)</f>
        <v>5.1455850385791202E-3</v>
      </c>
      <c r="AI90" s="8">
        <f t="shared" ref="AI90:AI95" si="80">(S90-R90)/(S90+R90)</f>
        <v>2.8289474411538775E-4</v>
      </c>
      <c r="AJ90" s="7">
        <v>6.9</v>
      </c>
      <c r="AK90" s="7">
        <v>11.6</v>
      </c>
      <c r="AX90"/>
      <c r="AY90"/>
    </row>
    <row r="91" spans="1:51">
      <c r="A91" s="53" t="s">
        <v>617</v>
      </c>
      <c r="E91" s="57" t="s">
        <v>23</v>
      </c>
      <c r="F91" s="57">
        <v>3</v>
      </c>
      <c r="G91" s="57">
        <v>9</v>
      </c>
      <c r="H91">
        <v>3.4630000000000001</v>
      </c>
      <c r="I91">
        <v>314</v>
      </c>
      <c r="J91">
        <v>342</v>
      </c>
      <c r="K91">
        <v>321</v>
      </c>
      <c r="L91">
        <v>100</v>
      </c>
      <c r="M91">
        <v>107</v>
      </c>
      <c r="N91">
        <v>99</v>
      </c>
      <c r="O91">
        <v>90</v>
      </c>
      <c r="P91">
        <v>115</v>
      </c>
      <c r="Q91">
        <v>96</v>
      </c>
      <c r="R91" s="4">
        <f t="shared" si="66"/>
        <v>175.39633179662366</v>
      </c>
      <c r="S91" s="4">
        <f t="shared" si="67"/>
        <v>175.44444444444446</v>
      </c>
      <c r="T91" s="7">
        <f t="shared" si="68"/>
        <v>175.42038812053406</v>
      </c>
      <c r="U91">
        <f t="shared" si="69"/>
        <v>26441874</v>
      </c>
      <c r="V91" s="4">
        <f t="shared" si="70"/>
        <v>105.51667351512761</v>
      </c>
      <c r="W91" s="4">
        <f t="shared" si="71"/>
        <v>106.26666666666667</v>
      </c>
      <c r="X91" s="7">
        <f t="shared" si="72"/>
        <v>105.89167009089714</v>
      </c>
      <c r="Y91" s="7">
        <f t="shared" si="73"/>
        <v>1.6566023368028255</v>
      </c>
      <c r="Z91" s="4">
        <f t="shared" si="74"/>
        <v>0.24873559607794346</v>
      </c>
      <c r="AA91" s="4">
        <f t="shared" si="36"/>
        <v>264.46139554129081</v>
      </c>
      <c r="AB91" s="4">
        <f t="shared" si="75"/>
        <v>9.5617101686886485</v>
      </c>
      <c r="AC91" s="4">
        <f t="shared" si="76"/>
        <v>7.117275678732212</v>
      </c>
      <c r="AD91" s="4">
        <f t="shared" si="77"/>
        <v>5.5297392521888531</v>
      </c>
      <c r="AE91" s="4">
        <f t="shared" si="57"/>
        <v>1.729143045018589</v>
      </c>
      <c r="AF91" s="4">
        <f t="shared" si="78"/>
        <v>3.5813390604890749E-2</v>
      </c>
      <c r="AG91" s="8">
        <f>SQRT((LN(S91/R91))^2+5*(LN(W91/V91))^2)</f>
        <v>1.5839717537458543E-2</v>
      </c>
      <c r="AH91" s="8">
        <f t="shared" si="79"/>
        <v>3.5413227069478947E-3</v>
      </c>
      <c r="AI91" s="8">
        <f t="shared" si="80"/>
        <v>1.3713527924628184E-4</v>
      </c>
      <c r="AJ91" s="7">
        <v>5.5</v>
      </c>
      <c r="AK91" s="7">
        <v>9.3000000000000007</v>
      </c>
      <c r="AX91"/>
      <c r="AY91"/>
    </row>
    <row r="92" spans="1:51">
      <c r="A92" s="53" t="s">
        <v>618</v>
      </c>
      <c r="E92" s="57" t="s">
        <v>23</v>
      </c>
      <c r="F92" s="57">
        <v>3</v>
      </c>
      <c r="G92" s="57">
        <v>9</v>
      </c>
      <c r="H92">
        <v>3.5129999999999999</v>
      </c>
      <c r="I92">
        <v>325</v>
      </c>
      <c r="J92">
        <v>350</v>
      </c>
      <c r="K92">
        <v>336</v>
      </c>
      <c r="L92">
        <v>104</v>
      </c>
      <c r="M92">
        <v>113</v>
      </c>
      <c r="N92">
        <v>106</v>
      </c>
      <c r="O92">
        <v>103</v>
      </c>
      <c r="P92">
        <v>127</v>
      </c>
      <c r="Q92">
        <v>108</v>
      </c>
      <c r="R92" s="4">
        <f t="shared" si="66"/>
        <v>187.37337146064112</v>
      </c>
      <c r="S92" s="4">
        <f t="shared" si="67"/>
        <v>187.44444444444446</v>
      </c>
      <c r="T92" s="7">
        <f t="shared" si="68"/>
        <v>187.40890795254279</v>
      </c>
      <c r="U92">
        <f t="shared" si="69"/>
        <v>28044922</v>
      </c>
      <c r="V92" s="4">
        <f t="shared" si="70"/>
        <v>108.96005512352397</v>
      </c>
      <c r="W92" s="4">
        <f t="shared" si="71"/>
        <v>109.46666666666667</v>
      </c>
      <c r="X92" s="7">
        <f t="shared" si="72"/>
        <v>109.21336089509532</v>
      </c>
      <c r="Y92" s="7">
        <f t="shared" si="73"/>
        <v>1.7159888352173143</v>
      </c>
      <c r="Z92" s="4">
        <f t="shared" si="74"/>
        <v>0.25601688808469897</v>
      </c>
      <c r="AA92" s="4">
        <f t="shared" si="36"/>
        <v>274.34765137745757</v>
      </c>
      <c r="AB92" s="4">
        <f t="shared" si="75"/>
        <v>9.7364461614116031</v>
      </c>
      <c r="AC92" s="4">
        <f t="shared" si="76"/>
        <v>7.3039205447355124</v>
      </c>
      <c r="AD92" s="4">
        <f t="shared" si="77"/>
        <v>5.5756924590308019</v>
      </c>
      <c r="AE92" s="4">
        <f t="shared" si="57"/>
        <v>1.7462308462945688</v>
      </c>
      <c r="AF92" s="4">
        <f t="shared" si="78"/>
        <v>2.3626893160559881E-2</v>
      </c>
      <c r="AG92" s="8">
        <f>SQRT((LN(S92/R92))^2+5*(LN(W92/V92))^2)</f>
        <v>1.0379469881055731E-2</v>
      </c>
      <c r="AH92" s="8">
        <f t="shared" si="79"/>
        <v>2.3193661425240874E-3</v>
      </c>
      <c r="AI92" s="8">
        <f t="shared" si="80"/>
        <v>1.896200788420653E-4</v>
      </c>
      <c r="AJ92" s="7">
        <v>4.0999999999999996</v>
      </c>
      <c r="AK92" s="7">
        <v>8.4</v>
      </c>
      <c r="AX92"/>
      <c r="AY92"/>
    </row>
    <row r="93" spans="1:51">
      <c r="A93" s="53" t="s">
        <v>474</v>
      </c>
      <c r="E93" s="57" t="s">
        <v>23</v>
      </c>
      <c r="F93" s="57">
        <v>3</v>
      </c>
      <c r="G93" s="57">
        <v>9</v>
      </c>
      <c r="H93">
        <v>3.5369999999999999</v>
      </c>
      <c r="I93">
        <v>341</v>
      </c>
      <c r="J93">
        <v>359</v>
      </c>
      <c r="K93">
        <v>347</v>
      </c>
      <c r="L93">
        <v>107</v>
      </c>
      <c r="M93">
        <v>116</v>
      </c>
      <c r="N93">
        <v>110</v>
      </c>
      <c r="O93">
        <v>106</v>
      </c>
      <c r="P93">
        <v>130</v>
      </c>
      <c r="Q93">
        <v>115</v>
      </c>
      <c r="R93" s="4">
        <f t="shared" si="66"/>
        <v>194.26834679429655</v>
      </c>
      <c r="S93" s="4">
        <f t="shared" si="67"/>
        <v>194.33333333333334</v>
      </c>
      <c r="T93" s="7">
        <f t="shared" si="68"/>
        <v>194.30084006381495</v>
      </c>
      <c r="U93">
        <f t="shared" si="69"/>
        <v>31173076</v>
      </c>
      <c r="V93" s="4">
        <f t="shared" si="70"/>
        <v>112.58677794416651</v>
      </c>
      <c r="W93" s="4">
        <f t="shared" si="71"/>
        <v>113</v>
      </c>
      <c r="X93" s="7">
        <f t="shared" si="72"/>
        <v>112.79338897208325</v>
      </c>
      <c r="Y93" s="7">
        <f t="shared" si="73"/>
        <v>1.7226261382385193</v>
      </c>
      <c r="Z93" s="4">
        <f t="shared" si="74"/>
        <v>0.25680454458679941</v>
      </c>
      <c r="AA93" s="4">
        <f t="shared" si="36"/>
        <v>283.51848771892162</v>
      </c>
      <c r="AB93" s="4">
        <f t="shared" si="75"/>
        <v>9.8718395501558902</v>
      </c>
      <c r="AC93" s="4">
        <f t="shared" si="76"/>
        <v>7.4117337392240481</v>
      </c>
      <c r="AD93" s="4">
        <f t="shared" si="77"/>
        <v>5.647084585177776</v>
      </c>
      <c r="AE93" s="4">
        <f t="shared" si="57"/>
        <v>1.7481302787755417</v>
      </c>
      <c r="AF93" s="4">
        <f t="shared" si="78"/>
        <v>1.8685788720103069E-2</v>
      </c>
      <c r="AG93" s="8">
        <f>SQRT((LN(S93/R93))^2+5*(LN(W93/V93))^2)</f>
        <v>8.198738072569255E-3</v>
      </c>
      <c r="AH93" s="8">
        <f t="shared" si="79"/>
        <v>1.8317654057533475E-3</v>
      </c>
      <c r="AI93" s="8">
        <f t="shared" si="80"/>
        <v>1.6723175004145941E-4</v>
      </c>
      <c r="AJ93" s="7">
        <v>3.3</v>
      </c>
      <c r="AK93" s="7">
        <v>6.8</v>
      </c>
      <c r="AX93"/>
      <c r="AY93"/>
    </row>
    <row r="94" spans="1:51">
      <c r="A94" s="53" t="s">
        <v>619</v>
      </c>
      <c r="E94" s="57" t="s">
        <v>23</v>
      </c>
      <c r="F94" s="57">
        <v>3</v>
      </c>
      <c r="G94" s="57">
        <v>9</v>
      </c>
      <c r="H94">
        <v>3.6240000000000001</v>
      </c>
      <c r="I94">
        <v>372</v>
      </c>
      <c r="J94">
        <v>389</v>
      </c>
      <c r="K94">
        <v>380</v>
      </c>
      <c r="L94">
        <v>114</v>
      </c>
      <c r="M94">
        <v>120</v>
      </c>
      <c r="N94">
        <v>118</v>
      </c>
      <c r="O94">
        <v>130</v>
      </c>
      <c r="P94">
        <v>151</v>
      </c>
      <c r="Q94">
        <v>135</v>
      </c>
      <c r="R94" s="4">
        <f t="shared" si="66"/>
        <v>219.17172858338972</v>
      </c>
      <c r="S94" s="4">
        <f t="shared" si="67"/>
        <v>219.22222222222223</v>
      </c>
      <c r="T94" s="7">
        <f t="shared" si="68"/>
        <v>219.19697540280598</v>
      </c>
      <c r="U94">
        <f t="shared" si="69"/>
        <v>38217851</v>
      </c>
      <c r="V94" s="4">
        <f t="shared" si="70"/>
        <v>118.44758366188074</v>
      </c>
      <c r="W94" s="4">
        <f t="shared" si="71"/>
        <v>118.73333333333333</v>
      </c>
      <c r="X94" s="7">
        <f t="shared" si="72"/>
        <v>118.59045849760705</v>
      </c>
      <c r="Y94" s="7">
        <f t="shared" si="73"/>
        <v>1.8483525418466022</v>
      </c>
      <c r="Z94" s="4">
        <f t="shared" si="74"/>
        <v>0.27081943569957695</v>
      </c>
      <c r="AA94" s="4">
        <f t="shared" si="36"/>
        <v>301.4141190945661</v>
      </c>
      <c r="AB94" s="4">
        <f t="shared" si="75"/>
        <v>10.203741072761144</v>
      </c>
      <c r="AC94" s="4">
        <f t="shared" si="76"/>
        <v>7.777198506676636</v>
      </c>
      <c r="AD94" s="4">
        <f t="shared" si="77"/>
        <v>5.720457713397991</v>
      </c>
      <c r="AE94" s="4">
        <f t="shared" si="57"/>
        <v>1.7837280833075246</v>
      </c>
      <c r="AF94" s="4">
        <f t="shared" si="78"/>
        <v>1.2292667601853324E-2</v>
      </c>
      <c r="AG94" s="8">
        <f>SQRT((LN(S94/R94))^2+5*(LN(W94/V94))^2)</f>
        <v>5.3928429571156837E-3</v>
      </c>
      <c r="AH94" s="8">
        <f t="shared" si="79"/>
        <v>1.2047751356756842E-3</v>
      </c>
      <c r="AI94" s="8">
        <f t="shared" si="80"/>
        <v>1.1517868515228604E-4</v>
      </c>
      <c r="AJ94" s="7">
        <v>2.4</v>
      </c>
      <c r="AK94" s="7">
        <v>5.9</v>
      </c>
      <c r="AX94"/>
      <c r="AY94"/>
    </row>
    <row r="95" spans="1:51">
      <c r="A95" s="53" t="s">
        <v>620</v>
      </c>
      <c r="E95" s="57" t="s">
        <v>23</v>
      </c>
      <c r="F95" s="57">
        <v>3</v>
      </c>
      <c r="G95" s="57">
        <v>9</v>
      </c>
      <c r="H95">
        <v>3.6680000000000001</v>
      </c>
      <c r="I95">
        <v>380</v>
      </c>
      <c r="J95">
        <v>398</v>
      </c>
      <c r="K95">
        <v>386</v>
      </c>
      <c r="L95">
        <v>116</v>
      </c>
      <c r="M95">
        <v>124</v>
      </c>
      <c r="N95">
        <v>122</v>
      </c>
      <c r="O95">
        <v>140</v>
      </c>
      <c r="P95">
        <v>160</v>
      </c>
      <c r="Q95">
        <v>139</v>
      </c>
      <c r="R95" s="4">
        <f t="shared" si="66"/>
        <v>226.87419249254941</v>
      </c>
      <c r="S95" s="4">
        <f t="shared" si="67"/>
        <v>226.88888888888889</v>
      </c>
      <c r="T95" s="7">
        <f t="shared" si="68"/>
        <v>226.88154069071913</v>
      </c>
      <c r="U95">
        <f t="shared" si="69"/>
        <v>39509460</v>
      </c>
      <c r="V95" s="4">
        <f t="shared" si="70"/>
        <v>120.38024932646094</v>
      </c>
      <c r="W95" s="4">
        <f t="shared" si="71"/>
        <v>120.73333333333333</v>
      </c>
      <c r="X95" s="7">
        <f t="shared" si="72"/>
        <v>120.55679132989714</v>
      </c>
      <c r="Y95" s="7">
        <f t="shared" si="73"/>
        <v>1.8819474057655539</v>
      </c>
      <c r="Z95" s="4">
        <f t="shared" si="74"/>
        <v>0.27429497256253599</v>
      </c>
      <c r="AA95" s="4">
        <f t="shared" si="36"/>
        <v>307.24982619991732</v>
      </c>
      <c r="AB95" s="4">
        <f t="shared" si="75"/>
        <v>10.279941097443022</v>
      </c>
      <c r="AC95" s="4">
        <f t="shared" si="76"/>
        <v>7.8647499232434521</v>
      </c>
      <c r="AD95" s="4">
        <f t="shared" si="77"/>
        <v>5.7329899013346521</v>
      </c>
      <c r="AE95" s="4">
        <f t="shared" si="57"/>
        <v>1.7931203916912237</v>
      </c>
      <c r="AF95" s="4">
        <f t="shared" si="78"/>
        <v>1.4730140568605776E-2</v>
      </c>
      <c r="AG95" s="8">
        <f>SQRT((LN(S95/R95))^2+5*(LN(W95/V95))^2)</f>
        <v>6.5492703972849075E-3</v>
      </c>
      <c r="AH95" s="8">
        <f t="shared" si="79"/>
        <v>1.4643887041842297E-3</v>
      </c>
      <c r="AI95" s="8">
        <f t="shared" si="80"/>
        <v>3.2387818538987743E-5</v>
      </c>
      <c r="AJ95" s="7">
        <v>2.2999999999999998</v>
      </c>
      <c r="AK95" s="7">
        <v>7.1</v>
      </c>
      <c r="AL95" s="5"/>
      <c r="AM95" s="4"/>
      <c r="AX95"/>
      <c r="AY95"/>
    </row>
    <row r="96" spans="1:51">
      <c r="A96" s="53" t="s">
        <v>632</v>
      </c>
      <c r="R96" s="4"/>
      <c r="S96" s="4"/>
      <c r="T96" s="7"/>
      <c r="V96" s="4"/>
      <c r="W96" s="4"/>
      <c r="X96" s="7"/>
      <c r="Y96" s="7"/>
      <c r="Z96" s="4"/>
      <c r="AA96" s="4"/>
      <c r="AB96" s="4"/>
      <c r="AC96" s="4"/>
      <c r="AD96" s="4"/>
      <c r="AE96" s="4"/>
      <c r="AG96" s="8"/>
      <c r="AH96" s="8"/>
      <c r="AI96" s="8"/>
      <c r="AX96"/>
      <c r="AY96"/>
    </row>
    <row r="97" spans="1:51">
      <c r="A97" s="53" t="s">
        <v>633</v>
      </c>
      <c r="G97" s="57">
        <v>9</v>
      </c>
      <c r="H97">
        <v>3.343</v>
      </c>
      <c r="I97" s="60">
        <v>320.2</v>
      </c>
      <c r="J97" s="61">
        <v>196.5</v>
      </c>
      <c r="K97" s="61">
        <v>232.3</v>
      </c>
      <c r="L97" s="61">
        <v>63.2</v>
      </c>
      <c r="M97" s="61">
        <v>76.599999999999994</v>
      </c>
      <c r="N97" s="61">
        <v>79.7</v>
      </c>
      <c r="O97" s="61">
        <v>71</v>
      </c>
      <c r="P97" s="61">
        <v>71</v>
      </c>
      <c r="Q97" s="61">
        <v>76</v>
      </c>
      <c r="R97" s="4">
        <f t="shared" ref="R97:R119" si="81">U97/(I97*(J97+K97-2*Q97)+J97*(K97-2*P97)-2*K97*O97+O97*(2*Q97-O97)+P97*(2*O97-P97)+Q97*(2*P97-Q97) )</f>
        <v>127.48597330551767</v>
      </c>
      <c r="S97" s="4">
        <f t="shared" ref="S97:S119" si="82">(I97+J97+K97+2*(O97+P97+Q97))/9</f>
        <v>131.66666666666666</v>
      </c>
      <c r="T97" s="7">
        <f t="shared" ref="T97:T119" si="83">0.5*(R97+S97)</f>
        <v>129.57631998609216</v>
      </c>
      <c r="U97">
        <f t="shared" ref="U97:U119" si="84">P97*(O97*Q97-P97*J97)+Q97*(O97*P97-Q97*I97)+K97*(I97*J97-O97*O97)</f>
        <v>11371329.390000001</v>
      </c>
      <c r="V97" s="4">
        <f t="shared" ref="V97:V119" si="85">15/(4*(I97*(J97+K97+Q97)+J97*(K97+P97)+K97*O97-O97*(O97+Q97)-P97*(P97+O97)-Q97*(Q97+P97))/U97 +3*(1/L97 + 1/M97 +1/N97))</f>
        <v>76.238801177784978</v>
      </c>
      <c r="W97" s="4">
        <f t="shared" ref="W97:W119" si="86">(I97+J97+K97-(O97+P97+Q97)+3*(L97+M97+N97))/15</f>
        <v>79.3</v>
      </c>
      <c r="X97" s="7">
        <f t="shared" ref="X97:X119" si="87">0.5*(V97+W97)</f>
        <v>77.769400588892495</v>
      </c>
      <c r="Y97" s="7">
        <f t="shared" ref="Y97:Y119" si="88">T97/X97</f>
        <v>1.666160713659905</v>
      </c>
      <c r="Z97" s="4">
        <f t="shared" ref="Z97:Z119" si="89">(3*T97-2*X97)/(2*(3*T97+X97))</f>
        <v>0.24993673987082854</v>
      </c>
      <c r="AA97" s="4">
        <f t="shared" si="36"/>
        <v>194.41366206757755</v>
      </c>
      <c r="AB97" s="4">
        <f t="shared" ref="AB97:AB119" si="90">SQRT((T97+4/3*X97)/H97)</f>
        <v>8.353340599054345</v>
      </c>
      <c r="AC97" s="4">
        <f t="shared" ref="AC97:AC119" si="91">SQRT(T97/H97)</f>
        <v>6.2257923650861882</v>
      </c>
      <c r="AD97" s="4">
        <f t="shared" ref="AD97:AD119" si="92">SQRT(X97/H97)</f>
        <v>4.8232101802620111</v>
      </c>
      <c r="AE97" s="4">
        <f t="shared" si="57"/>
        <v>1.7319047453579075</v>
      </c>
      <c r="AF97" s="4">
        <f t="shared" ref="AF97:AF119" si="93">5*W97/V97 + S97/R97 - 6</f>
        <v>0.23355719469945502</v>
      </c>
      <c r="AG97" s="8">
        <f t="shared" ref="AG97:AG119" si="94">SQRT((LN(S97/R97))^2+5*(LN(W97/V97))^2)</f>
        <v>9.3756092738266877E-2</v>
      </c>
      <c r="AH97" s="8">
        <f t="shared" ref="AH97:AH119" si="95">(W97-V97)/(W97+V97)</f>
        <v>1.968125508898572E-2</v>
      </c>
      <c r="AI97" s="8">
        <f t="shared" ref="AI97:AI119" si="96">(S97-R97)/(S97+R97)</f>
        <v>1.6132165821647466E-2</v>
      </c>
      <c r="AX97"/>
      <c r="AY97"/>
    </row>
    <row r="98" spans="1:51">
      <c r="A98" s="53" t="s">
        <v>634</v>
      </c>
      <c r="G98" s="57">
        <v>9</v>
      </c>
      <c r="H98">
        <v>3.4209999999999998</v>
      </c>
      <c r="I98" s="60">
        <v>343</v>
      </c>
      <c r="J98" s="61">
        <v>213</v>
      </c>
      <c r="K98" s="61">
        <v>251</v>
      </c>
      <c r="L98" s="61">
        <v>69</v>
      </c>
      <c r="M98" s="61">
        <v>82</v>
      </c>
      <c r="N98" s="61">
        <v>87.1</v>
      </c>
      <c r="O98" s="61">
        <v>83</v>
      </c>
      <c r="P98" s="61">
        <v>82</v>
      </c>
      <c r="Q98" s="61">
        <v>87</v>
      </c>
      <c r="R98" s="4">
        <f t="shared" si="81"/>
        <v>141.21092587843037</v>
      </c>
      <c r="S98" s="4">
        <f t="shared" si="82"/>
        <v>145.66666666666666</v>
      </c>
      <c r="T98" s="7">
        <f t="shared" si="83"/>
        <v>143.43879627254853</v>
      </c>
      <c r="U98">
        <f t="shared" si="84"/>
        <v>13764535</v>
      </c>
      <c r="V98" s="4">
        <f t="shared" si="85"/>
        <v>81.614986351045658</v>
      </c>
      <c r="W98" s="4">
        <f t="shared" si="86"/>
        <v>84.61999999999999</v>
      </c>
      <c r="X98" s="7">
        <f t="shared" si="87"/>
        <v>83.117493175522824</v>
      </c>
      <c r="Y98" s="7">
        <f t="shared" si="88"/>
        <v>1.7257353511569771</v>
      </c>
      <c r="Z98" s="4">
        <f t="shared" si="89"/>
        <v>0.25717177199275071</v>
      </c>
      <c r="AA98" s="4">
        <f t="shared" si="36"/>
        <v>208.98593235813479</v>
      </c>
      <c r="AB98" s="4">
        <f t="shared" si="90"/>
        <v>8.621132009859112</v>
      </c>
      <c r="AC98" s="4">
        <f t="shared" si="91"/>
        <v>6.4752535537964819</v>
      </c>
      <c r="AD98" s="4">
        <f t="shared" si="92"/>
        <v>4.9291232901092652</v>
      </c>
      <c r="AE98" s="4">
        <f t="shared" si="57"/>
        <v>1.7490193493756179</v>
      </c>
      <c r="AF98" s="4">
        <f t="shared" si="93"/>
        <v>0.21565072402397867</v>
      </c>
      <c r="AG98" s="8">
        <f t="shared" si="94"/>
        <v>8.6614209914784079E-2</v>
      </c>
      <c r="AH98" s="8">
        <f t="shared" si="95"/>
        <v>1.8076902551719853E-2</v>
      </c>
      <c r="AI98" s="8">
        <f t="shared" si="96"/>
        <v>1.5531853668689173E-2</v>
      </c>
      <c r="AL98" s="4"/>
      <c r="AM98" s="4"/>
      <c r="AX98"/>
      <c r="AY98"/>
    </row>
    <row r="99" spans="1:51">
      <c r="A99" s="53" t="s">
        <v>635</v>
      </c>
      <c r="G99" s="57">
        <v>9</v>
      </c>
      <c r="H99">
        <v>3.472</v>
      </c>
      <c r="I99" s="60">
        <v>358</v>
      </c>
      <c r="J99" s="61">
        <v>225</v>
      </c>
      <c r="K99" s="61">
        <v>263</v>
      </c>
      <c r="L99" s="61">
        <v>73</v>
      </c>
      <c r="M99" s="61">
        <v>85</v>
      </c>
      <c r="N99" s="61">
        <v>91.2</v>
      </c>
      <c r="O99" s="61">
        <v>92</v>
      </c>
      <c r="P99" s="61">
        <v>91</v>
      </c>
      <c r="Q99" s="61">
        <v>95</v>
      </c>
      <c r="R99" s="4">
        <f t="shared" si="81"/>
        <v>151.13408826434321</v>
      </c>
      <c r="S99" s="4">
        <f t="shared" si="82"/>
        <v>155.77777777777777</v>
      </c>
      <c r="T99" s="7">
        <f t="shared" si="83"/>
        <v>153.4559330210605</v>
      </c>
      <c r="U99">
        <f t="shared" si="84"/>
        <v>15455123</v>
      </c>
      <c r="V99" s="4">
        <f t="shared" si="85"/>
        <v>84.820662454885905</v>
      </c>
      <c r="W99" s="4">
        <f t="shared" si="86"/>
        <v>87.706666666666663</v>
      </c>
      <c r="X99" s="7">
        <f t="shared" si="87"/>
        <v>86.263664560776277</v>
      </c>
      <c r="Y99" s="7">
        <f t="shared" si="88"/>
        <v>1.778917390101652</v>
      </c>
      <c r="Z99" s="4">
        <f t="shared" si="89"/>
        <v>0.26328567700197553</v>
      </c>
      <c r="AA99" s="4">
        <f t="shared" si="36"/>
        <v>217.95130377066317</v>
      </c>
      <c r="AB99" s="4">
        <f t="shared" si="90"/>
        <v>8.7934921807952087</v>
      </c>
      <c r="AC99" s="4">
        <f t="shared" si="91"/>
        <v>6.6481679725213354</v>
      </c>
      <c r="AD99" s="4">
        <f t="shared" si="92"/>
        <v>4.9845286143361669</v>
      </c>
      <c r="AE99" s="4">
        <f t="shared" si="57"/>
        <v>1.7641572275267827</v>
      </c>
      <c r="AF99" s="4">
        <f t="shared" si="93"/>
        <v>0.2008495163894537</v>
      </c>
      <c r="AG99" s="8">
        <f t="shared" si="94"/>
        <v>8.0704944322321767E-2</v>
      </c>
      <c r="AH99" s="8">
        <f t="shared" si="95"/>
        <v>1.6727809017129398E-2</v>
      </c>
      <c r="AI99" s="8">
        <f t="shared" si="96"/>
        <v>1.5130368119417252E-2</v>
      </c>
      <c r="AX99"/>
      <c r="AY99"/>
    </row>
    <row r="100" spans="1:51">
      <c r="A100" s="53" t="s">
        <v>636</v>
      </c>
      <c r="G100" s="57">
        <v>9</v>
      </c>
      <c r="H100">
        <v>3.528</v>
      </c>
      <c r="I100" s="60">
        <v>376.4</v>
      </c>
      <c r="J100" s="61">
        <v>236.7</v>
      </c>
      <c r="K100" s="61">
        <v>273</v>
      </c>
      <c r="L100" s="61">
        <v>75.900000000000006</v>
      </c>
      <c r="M100" s="61">
        <v>88.2</v>
      </c>
      <c r="N100" s="61">
        <v>95.4</v>
      </c>
      <c r="O100" s="61">
        <v>101</v>
      </c>
      <c r="P100" s="61">
        <v>102</v>
      </c>
      <c r="Q100" s="61">
        <v>104</v>
      </c>
      <c r="R100" s="4">
        <f t="shared" si="81"/>
        <v>161.52886837681169</v>
      </c>
      <c r="S100" s="4">
        <f t="shared" si="82"/>
        <v>166.67777777777778</v>
      </c>
      <c r="T100" s="7">
        <f t="shared" si="83"/>
        <v>164.10332307729473</v>
      </c>
      <c r="U100">
        <f t="shared" si="84"/>
        <v>17146803.039999999</v>
      </c>
      <c r="V100" s="4">
        <f t="shared" si="85"/>
        <v>87.538468809825275</v>
      </c>
      <c r="W100" s="4">
        <f t="shared" si="86"/>
        <v>90.506666666666661</v>
      </c>
      <c r="X100" s="7">
        <f t="shared" si="87"/>
        <v>89.022567738245968</v>
      </c>
      <c r="Y100" s="7">
        <f t="shared" si="88"/>
        <v>1.843390134059147</v>
      </c>
      <c r="Z100" s="4">
        <f t="shared" si="89"/>
        <v>0.27029695894308742</v>
      </c>
      <c r="AA100" s="4">
        <f t="shared" si="36"/>
        <v>226.17019415039772</v>
      </c>
      <c r="AB100" s="4">
        <f t="shared" si="90"/>
        <v>8.9531420658858014</v>
      </c>
      <c r="AC100" s="4">
        <f t="shared" si="91"/>
        <v>6.8201574290854792</v>
      </c>
      <c r="AD100" s="4">
        <f t="shared" si="92"/>
        <v>5.023261303258872</v>
      </c>
      <c r="AE100" s="4">
        <f t="shared" si="57"/>
        <v>1.782336519121033</v>
      </c>
      <c r="AF100" s="4">
        <f t="shared" si="93"/>
        <v>0.20141286441412731</v>
      </c>
      <c r="AG100" s="8">
        <f t="shared" si="94"/>
        <v>8.0895728802899664E-2</v>
      </c>
      <c r="AH100" s="8">
        <f t="shared" si="95"/>
        <v>1.6671041581101154E-2</v>
      </c>
      <c r="AI100" s="8">
        <f t="shared" si="96"/>
        <v>1.5688010773983196E-2</v>
      </c>
      <c r="AX100"/>
      <c r="AY100"/>
    </row>
    <row r="101" spans="1:51">
      <c r="A101" s="53" t="s">
        <v>637</v>
      </c>
      <c r="G101" s="57">
        <v>9</v>
      </c>
      <c r="H101">
        <v>3.573</v>
      </c>
      <c r="I101" s="60">
        <v>387.8</v>
      </c>
      <c r="J101" s="61">
        <v>250</v>
      </c>
      <c r="K101" s="61">
        <v>282.7</v>
      </c>
      <c r="L101" s="61">
        <v>79.5</v>
      </c>
      <c r="M101" s="61">
        <v>90</v>
      </c>
      <c r="N101" s="61">
        <v>97.7</v>
      </c>
      <c r="O101" s="61">
        <v>109</v>
      </c>
      <c r="P101" s="61">
        <v>108</v>
      </c>
      <c r="Q101" s="61">
        <v>110</v>
      </c>
      <c r="R101" s="4">
        <f t="shared" si="81"/>
        <v>169.99006792826037</v>
      </c>
      <c r="S101" s="4">
        <f t="shared" si="82"/>
        <v>174.94444444444446</v>
      </c>
      <c r="T101" s="7">
        <f t="shared" si="83"/>
        <v>172.46725618635242</v>
      </c>
      <c r="U101">
        <f t="shared" si="84"/>
        <v>19030466.300000001</v>
      </c>
      <c r="V101" s="4">
        <f t="shared" si="85"/>
        <v>90.26024846228816</v>
      </c>
      <c r="W101" s="4">
        <f t="shared" si="86"/>
        <v>93.006666666666661</v>
      </c>
      <c r="X101" s="7">
        <f t="shared" si="87"/>
        <v>91.633457564477411</v>
      </c>
      <c r="Y101" s="7">
        <f t="shared" si="88"/>
        <v>1.8821428413851646</v>
      </c>
      <c r="Z101" s="4">
        <f t="shared" si="89"/>
        <v>0.27431488286551725</v>
      </c>
      <c r="AA101" s="4">
        <f t="shared" si="36"/>
        <v>233.53975748567873</v>
      </c>
      <c r="AB101" s="4">
        <f t="shared" si="90"/>
        <v>9.0809895697602521</v>
      </c>
      <c r="AC101" s="4">
        <f t="shared" si="91"/>
        <v>6.9476321945832558</v>
      </c>
      <c r="AD101" s="4">
        <f t="shared" si="92"/>
        <v>5.0641962680334141</v>
      </c>
      <c r="AE101" s="4">
        <f t="shared" si="57"/>
        <v>1.793174886819046</v>
      </c>
      <c r="AF101" s="4">
        <f t="shared" si="93"/>
        <v>0.18128395091364791</v>
      </c>
      <c r="AG101" s="8">
        <f t="shared" si="94"/>
        <v>7.2921435308064844E-2</v>
      </c>
      <c r="AH101" s="8">
        <f t="shared" si="95"/>
        <v>1.4985892038647549E-2</v>
      </c>
      <c r="AI101" s="8">
        <f t="shared" si="96"/>
        <v>1.4363238059608357E-2</v>
      </c>
      <c r="AX101"/>
      <c r="AY101"/>
    </row>
    <row r="102" spans="1:51">
      <c r="A102" s="53" t="s">
        <v>638</v>
      </c>
      <c r="G102" s="57">
        <v>9</v>
      </c>
      <c r="H102">
        <v>3.6160000000000001</v>
      </c>
      <c r="I102" s="60">
        <v>403</v>
      </c>
      <c r="J102" s="61">
        <v>259.10000000000002</v>
      </c>
      <c r="K102" s="61">
        <v>293.10000000000002</v>
      </c>
      <c r="L102" s="61">
        <v>81</v>
      </c>
      <c r="M102" s="61">
        <v>91.5</v>
      </c>
      <c r="N102" s="61">
        <v>99.2</v>
      </c>
      <c r="O102" s="61">
        <v>117</v>
      </c>
      <c r="P102" s="61">
        <v>115</v>
      </c>
      <c r="Q102" s="61">
        <v>119</v>
      </c>
      <c r="R102" s="4">
        <f t="shared" si="81"/>
        <v>178.98248262846508</v>
      </c>
      <c r="S102" s="4">
        <f t="shared" si="82"/>
        <v>184.13333333333333</v>
      </c>
      <c r="T102" s="7">
        <f t="shared" si="83"/>
        <v>181.55790798089919</v>
      </c>
      <c r="U102">
        <f t="shared" si="84"/>
        <v>20661274.230000004</v>
      </c>
      <c r="V102" s="4">
        <f t="shared" si="85"/>
        <v>91.663945020284899</v>
      </c>
      <c r="W102" s="4">
        <f t="shared" si="86"/>
        <v>94.61999999999999</v>
      </c>
      <c r="X102" s="7">
        <f t="shared" si="87"/>
        <v>93.141972510142438</v>
      </c>
      <c r="Y102" s="7">
        <f t="shared" si="88"/>
        <v>1.9492598566250994</v>
      </c>
      <c r="Z102" s="4">
        <f t="shared" si="89"/>
        <v>0.28095089295823872</v>
      </c>
      <c r="AA102" s="4">
        <f t="shared" si="36"/>
        <v>238.6205857175174</v>
      </c>
      <c r="AB102" s="4">
        <f t="shared" si="90"/>
        <v>9.1953240067929602</v>
      </c>
      <c r="AC102" s="4">
        <f t="shared" si="91"/>
        <v>7.0858731604541951</v>
      </c>
      <c r="AD102" s="4">
        <f t="shared" si="92"/>
        <v>5.0752624422677268</v>
      </c>
      <c r="AE102" s="4">
        <f t="shared" si="57"/>
        <v>1.8117928109909345</v>
      </c>
      <c r="AF102" s="4">
        <f t="shared" si="93"/>
        <v>0.19002266857667482</v>
      </c>
      <c r="AG102" s="8">
        <f t="shared" si="94"/>
        <v>7.6433244050163829E-2</v>
      </c>
      <c r="AH102" s="8">
        <f t="shared" si="95"/>
        <v>1.5868544008949347E-2</v>
      </c>
      <c r="AI102" s="8">
        <f t="shared" si="96"/>
        <v>1.4185145560859137E-2</v>
      </c>
      <c r="AX102"/>
      <c r="AY102"/>
    </row>
    <row r="103" spans="1:51">
      <c r="A103" s="62" t="s">
        <v>639</v>
      </c>
      <c r="G103" s="57">
        <v>9</v>
      </c>
      <c r="H103">
        <v>3.6549999999999998</v>
      </c>
      <c r="I103" s="60">
        <v>418</v>
      </c>
      <c r="J103" s="61">
        <v>267.7</v>
      </c>
      <c r="K103" s="61">
        <v>301.89999999999998</v>
      </c>
      <c r="L103" s="61">
        <v>83.5</v>
      </c>
      <c r="M103" s="61">
        <v>92</v>
      </c>
      <c r="N103" s="61">
        <v>101.5</v>
      </c>
      <c r="O103" s="61">
        <v>124</v>
      </c>
      <c r="P103" s="61">
        <v>123</v>
      </c>
      <c r="Q103" s="61">
        <v>123</v>
      </c>
      <c r="R103" s="4">
        <f t="shared" si="81"/>
        <v>186.11624147874005</v>
      </c>
      <c r="S103" s="4">
        <f t="shared" si="82"/>
        <v>191.95555555555555</v>
      </c>
      <c r="T103" s="7">
        <f t="shared" si="83"/>
        <v>189.03589851714781</v>
      </c>
      <c r="U103">
        <f t="shared" si="84"/>
        <v>22518209.639999993</v>
      </c>
      <c r="V103" s="4">
        <f t="shared" si="85"/>
        <v>93.654841980230657</v>
      </c>
      <c r="W103" s="4">
        <f t="shared" si="86"/>
        <v>96.573333333333323</v>
      </c>
      <c r="X103" s="7">
        <f t="shared" si="87"/>
        <v>95.11408765678199</v>
      </c>
      <c r="Y103" s="7">
        <f t="shared" si="88"/>
        <v>1.9874647717726266</v>
      </c>
      <c r="Z103" s="4">
        <f t="shared" si="89"/>
        <v>0.2845568733876695</v>
      </c>
      <c r="AA103" s="4">
        <f t="shared" si="36"/>
        <v>244.35891011103323</v>
      </c>
      <c r="AB103" s="4">
        <f t="shared" si="90"/>
        <v>9.2960824907209325</v>
      </c>
      <c r="AC103" s="4">
        <f t="shared" si="91"/>
        <v>7.1916484950132986</v>
      </c>
      <c r="AD103" s="4">
        <f t="shared" si="92"/>
        <v>5.101274958169375</v>
      </c>
      <c r="AE103" s="4">
        <f t="shared" si="57"/>
        <v>1.82230571120928</v>
      </c>
      <c r="AF103" s="4">
        <f t="shared" si="93"/>
        <v>0.18718557733985008</v>
      </c>
      <c r="AG103" s="8">
        <f t="shared" si="94"/>
        <v>7.5250613924507367E-2</v>
      </c>
      <c r="AH103" s="8">
        <f t="shared" si="95"/>
        <v>1.534205618222406E-2</v>
      </c>
      <c r="AI103" s="8">
        <f t="shared" si="96"/>
        <v>1.5444987228935784E-2</v>
      </c>
      <c r="AX103"/>
      <c r="AY103"/>
    </row>
    <row r="104" spans="1:51">
      <c r="A104" s="53" t="s">
        <v>640</v>
      </c>
      <c r="G104" s="57">
        <v>9</v>
      </c>
      <c r="H104">
        <v>3.7040000000000002</v>
      </c>
      <c r="I104" s="60">
        <v>434.4</v>
      </c>
      <c r="J104" s="61">
        <v>279.89999999999998</v>
      </c>
      <c r="K104" s="61">
        <v>310.8</v>
      </c>
      <c r="L104" s="61">
        <v>85.9</v>
      </c>
      <c r="M104" s="61">
        <v>92.9</v>
      </c>
      <c r="N104" s="61">
        <v>104.1</v>
      </c>
      <c r="O104" s="61">
        <v>134</v>
      </c>
      <c r="P104" s="61">
        <v>132</v>
      </c>
      <c r="Q104" s="61">
        <v>134</v>
      </c>
      <c r="R104" s="4">
        <f t="shared" si="81"/>
        <v>196.83376595320226</v>
      </c>
      <c r="S104" s="4">
        <f t="shared" si="82"/>
        <v>202.78888888888889</v>
      </c>
      <c r="T104" s="7">
        <f t="shared" si="83"/>
        <v>199.81132742104558</v>
      </c>
      <c r="U104">
        <f t="shared" si="84"/>
        <v>24272319.647999994</v>
      </c>
      <c r="V104" s="4">
        <f t="shared" si="85"/>
        <v>95.162671797373761</v>
      </c>
      <c r="W104" s="4">
        <f t="shared" si="86"/>
        <v>98.253333333333316</v>
      </c>
      <c r="X104" s="7">
        <f t="shared" si="87"/>
        <v>96.708002565353539</v>
      </c>
      <c r="Y104" s="7">
        <f t="shared" si="88"/>
        <v>2.0661302283233143</v>
      </c>
      <c r="Z104" s="4">
        <f t="shared" si="89"/>
        <v>0.29162009042771714</v>
      </c>
      <c r="AA104" s="4">
        <f t="shared" si="36"/>
        <v>249.81999803709169</v>
      </c>
      <c r="AB104" s="4">
        <f t="shared" si="90"/>
        <v>9.4210847984776773</v>
      </c>
      <c r="AC104" s="4">
        <f t="shared" si="91"/>
        <v>7.3447084914417369</v>
      </c>
      <c r="AD104" s="4">
        <f t="shared" si="92"/>
        <v>5.109703706369686</v>
      </c>
      <c r="AE104" s="4">
        <f t="shared" si="57"/>
        <v>1.843763423451243</v>
      </c>
      <c r="AF104" s="4">
        <f t="shared" si="93"/>
        <v>0.19264291353585072</v>
      </c>
      <c r="AG104" s="8">
        <f t="shared" si="94"/>
        <v>7.7434192761914197E-2</v>
      </c>
      <c r="AH104" s="8">
        <f t="shared" si="95"/>
        <v>1.597934738581195E-2</v>
      </c>
      <c r="AI104" s="8">
        <f t="shared" si="96"/>
        <v>1.4901865205914735E-2</v>
      </c>
      <c r="AX104"/>
      <c r="AY104"/>
    </row>
    <row r="105" spans="1:51">
      <c r="A105" s="53" t="s">
        <v>641</v>
      </c>
      <c r="G105" s="57">
        <v>9</v>
      </c>
      <c r="H105">
        <v>3.7519999999999998</v>
      </c>
      <c r="I105" s="60">
        <v>449</v>
      </c>
      <c r="J105" s="61">
        <v>284</v>
      </c>
      <c r="K105" s="61">
        <v>326.3</v>
      </c>
      <c r="L105" s="61">
        <v>87.9</v>
      </c>
      <c r="M105" s="61">
        <v>93.1</v>
      </c>
      <c r="N105" s="61">
        <v>106.4</v>
      </c>
      <c r="O105" s="61">
        <v>137</v>
      </c>
      <c r="P105" s="61">
        <v>143</v>
      </c>
      <c r="Q105" s="61">
        <v>141</v>
      </c>
      <c r="R105" s="4">
        <f t="shared" si="81"/>
        <v>204.49053574361017</v>
      </c>
      <c r="S105" s="4">
        <f t="shared" si="82"/>
        <v>211.25555555555556</v>
      </c>
      <c r="T105" s="7">
        <f t="shared" si="83"/>
        <v>207.87304564958288</v>
      </c>
      <c r="U105">
        <f t="shared" si="84"/>
        <v>26274723.100000001</v>
      </c>
      <c r="V105" s="4">
        <f t="shared" si="85"/>
        <v>96.768297718333656</v>
      </c>
      <c r="W105" s="4">
        <f t="shared" si="86"/>
        <v>100.03333333333333</v>
      </c>
      <c r="X105" s="7">
        <f t="shared" si="87"/>
        <v>98.400815525833494</v>
      </c>
      <c r="Y105" s="7">
        <f t="shared" si="88"/>
        <v>2.1125134434989441</v>
      </c>
      <c r="Z105" s="4">
        <f t="shared" si="89"/>
        <v>0.29557182210425637</v>
      </c>
      <c r="AA105" s="4">
        <f t="shared" si="36"/>
        <v>254.97064773469779</v>
      </c>
      <c r="AB105" s="4">
        <f t="shared" si="90"/>
        <v>9.5063963011030097</v>
      </c>
      <c r="AC105" s="4">
        <f t="shared" si="91"/>
        <v>7.4433368703747584</v>
      </c>
      <c r="AD105" s="4">
        <f t="shared" si="92"/>
        <v>5.1211551578534023</v>
      </c>
      <c r="AE105" s="4">
        <f t="shared" si="57"/>
        <v>1.8562992153293276</v>
      </c>
      <c r="AF105" s="4">
        <f t="shared" si="93"/>
        <v>0.20178609733838915</v>
      </c>
      <c r="AG105" s="8">
        <f t="shared" si="94"/>
        <v>8.1025901208913606E-2</v>
      </c>
      <c r="AH105" s="8">
        <f t="shared" si="95"/>
        <v>1.6590490625265675E-2</v>
      </c>
      <c r="AI105" s="8">
        <f t="shared" si="96"/>
        <v>1.6271998591268461E-2</v>
      </c>
      <c r="AX105"/>
      <c r="AY105"/>
    </row>
    <row r="106" spans="1:51">
      <c r="A106" s="53" t="s">
        <v>642</v>
      </c>
      <c r="G106" s="57">
        <v>9</v>
      </c>
      <c r="H106">
        <v>3.3809999999999998</v>
      </c>
      <c r="I106" s="60">
        <v>332</v>
      </c>
      <c r="J106" s="61">
        <v>204</v>
      </c>
      <c r="K106" s="61">
        <v>240</v>
      </c>
      <c r="L106" s="61">
        <v>66.099999999999994</v>
      </c>
      <c r="M106" s="61">
        <v>79.400000000000006</v>
      </c>
      <c r="N106" s="61">
        <v>82</v>
      </c>
      <c r="O106" s="61">
        <v>77</v>
      </c>
      <c r="P106" s="61">
        <v>79</v>
      </c>
      <c r="Q106" s="61">
        <v>82</v>
      </c>
      <c r="R106" s="4">
        <f t="shared" si="81"/>
        <v>134.56324248777079</v>
      </c>
      <c r="S106" s="4">
        <f t="shared" si="82"/>
        <v>139.11111111111111</v>
      </c>
      <c r="T106" s="7">
        <f t="shared" si="83"/>
        <v>136.83717679944095</v>
      </c>
      <c r="U106">
        <f t="shared" si="84"/>
        <v>12323840</v>
      </c>
      <c r="V106" s="4">
        <f t="shared" si="85"/>
        <v>78.412171600295522</v>
      </c>
      <c r="W106" s="4">
        <f t="shared" si="86"/>
        <v>81.36666666666666</v>
      </c>
      <c r="X106" s="7">
        <f t="shared" si="87"/>
        <v>79.889419133481084</v>
      </c>
      <c r="Y106" s="7">
        <f t="shared" si="88"/>
        <v>1.7128322909797384</v>
      </c>
      <c r="Z106" s="4">
        <f t="shared" si="89"/>
        <v>0.25564050433705365</v>
      </c>
      <c r="AA106" s="4">
        <f t="shared" si="36"/>
        <v>200.62478106391688</v>
      </c>
      <c r="AB106" s="4">
        <f t="shared" si="90"/>
        <v>8.4839637219288111</v>
      </c>
      <c r="AC106" s="4">
        <f t="shared" si="91"/>
        <v>6.3617920236344565</v>
      </c>
      <c r="AD106" s="4">
        <f t="shared" si="92"/>
        <v>4.8609599887541641</v>
      </c>
      <c r="AE106" s="4">
        <f t="shared" si="57"/>
        <v>1.7453267958502992</v>
      </c>
      <c r="AF106" s="4">
        <f t="shared" si="93"/>
        <v>0.22219243989806792</v>
      </c>
      <c r="AG106" s="8">
        <f t="shared" si="94"/>
        <v>8.9133745105397025E-2</v>
      </c>
      <c r="AH106" s="8">
        <f t="shared" si="95"/>
        <v>1.8491153762394359E-2</v>
      </c>
      <c r="AI106" s="8">
        <f t="shared" si="96"/>
        <v>1.6617810779617388E-2</v>
      </c>
      <c r="AX106"/>
      <c r="AY106"/>
    </row>
    <row r="107" spans="1:51">
      <c r="A107" s="53" t="s">
        <v>643</v>
      </c>
      <c r="G107" s="57">
        <v>9</v>
      </c>
      <c r="H107">
        <v>3.4820000000000002</v>
      </c>
      <c r="I107" s="60">
        <v>361</v>
      </c>
      <c r="J107" s="61">
        <v>226</v>
      </c>
      <c r="K107" s="61">
        <v>260</v>
      </c>
      <c r="L107" s="61">
        <v>73.099999999999994</v>
      </c>
      <c r="M107" s="61">
        <v>85</v>
      </c>
      <c r="N107" s="61">
        <v>90</v>
      </c>
      <c r="O107" s="61">
        <v>93</v>
      </c>
      <c r="P107" s="61">
        <v>94</v>
      </c>
      <c r="Q107" s="61">
        <v>95</v>
      </c>
      <c r="R107" s="4">
        <f t="shared" si="81"/>
        <v>151.76592740342838</v>
      </c>
      <c r="S107" s="4">
        <f t="shared" si="82"/>
        <v>156.77777777777777</v>
      </c>
      <c r="T107" s="7">
        <f t="shared" si="83"/>
        <v>154.27185259060309</v>
      </c>
      <c r="U107">
        <f t="shared" si="84"/>
        <v>15369639</v>
      </c>
      <c r="V107" s="4">
        <f t="shared" si="85"/>
        <v>84.474060220933211</v>
      </c>
      <c r="W107" s="4">
        <f t="shared" si="86"/>
        <v>87.286666666666662</v>
      </c>
      <c r="X107" s="7">
        <f t="shared" si="87"/>
        <v>85.880363443799936</v>
      </c>
      <c r="Y107" s="7">
        <f t="shared" si="88"/>
        <v>1.7963577051179866</v>
      </c>
      <c r="Z107" s="4">
        <f t="shared" si="89"/>
        <v>0.26522416117053643</v>
      </c>
      <c r="AA107" s="4">
        <f t="shared" si="36"/>
        <v>217.31582159840514</v>
      </c>
      <c r="AB107" s="4">
        <f t="shared" si="90"/>
        <v>8.7858399313634976</v>
      </c>
      <c r="AC107" s="4">
        <f t="shared" si="91"/>
        <v>6.6562398676681003</v>
      </c>
      <c r="AD107" s="4">
        <f t="shared" si="92"/>
        <v>4.9662954596666236</v>
      </c>
      <c r="AE107" s="4">
        <f t="shared" si="57"/>
        <v>1.7690932814442883</v>
      </c>
      <c r="AF107" s="4">
        <f t="shared" si="93"/>
        <v>0.19950107661280114</v>
      </c>
      <c r="AG107" s="8">
        <f t="shared" si="94"/>
        <v>8.0121561123735141E-2</v>
      </c>
      <c r="AH107" s="8">
        <f t="shared" si="95"/>
        <v>1.6375142890341976E-2</v>
      </c>
      <c r="AI107" s="8">
        <f t="shared" si="96"/>
        <v>1.6243567086892792E-2</v>
      </c>
      <c r="AX107"/>
      <c r="AY107"/>
    </row>
    <row r="108" spans="1:51">
      <c r="A108" s="53" t="s">
        <v>644</v>
      </c>
      <c r="G108" s="57">
        <v>9</v>
      </c>
      <c r="H108">
        <v>3.5259999999999998</v>
      </c>
      <c r="I108" s="60">
        <v>371</v>
      </c>
      <c r="J108" s="61">
        <v>238</v>
      </c>
      <c r="K108" s="61">
        <v>271</v>
      </c>
      <c r="L108" s="61">
        <v>76.3</v>
      </c>
      <c r="M108" s="61">
        <v>87</v>
      </c>
      <c r="N108" s="61">
        <v>93</v>
      </c>
      <c r="O108" s="61">
        <v>100</v>
      </c>
      <c r="P108" s="61">
        <v>100</v>
      </c>
      <c r="Q108" s="61">
        <v>103</v>
      </c>
      <c r="R108" s="4">
        <f t="shared" si="81"/>
        <v>160.47774876539705</v>
      </c>
      <c r="S108" s="4">
        <f t="shared" si="82"/>
        <v>165.11111111111111</v>
      </c>
      <c r="T108" s="7">
        <f t="shared" si="83"/>
        <v>162.7944299382541</v>
      </c>
      <c r="U108">
        <f t="shared" si="84"/>
        <v>16962819</v>
      </c>
      <c r="V108" s="4">
        <f t="shared" si="85"/>
        <v>87.01770951717323</v>
      </c>
      <c r="W108" s="4">
        <f t="shared" si="86"/>
        <v>89.726666666666674</v>
      </c>
      <c r="X108" s="7">
        <f t="shared" si="87"/>
        <v>88.372188091919952</v>
      </c>
      <c r="Y108" s="7">
        <f t="shared" si="88"/>
        <v>1.8421455149319621</v>
      </c>
      <c r="Z108" s="4">
        <f t="shared" si="89"/>
        <v>0.27016554291084244</v>
      </c>
      <c r="AA108" s="4">
        <f t="shared" si="36"/>
        <v>224.49461653198517</v>
      </c>
      <c r="AB108" s="4">
        <f t="shared" si="90"/>
        <v>8.9211586403523899</v>
      </c>
      <c r="AC108" s="4">
        <f t="shared" si="91"/>
        <v>6.7948303298225214</v>
      </c>
      <c r="AD108" s="4">
        <f t="shared" si="92"/>
        <v>5.0062974548505954</v>
      </c>
      <c r="AE108" s="4">
        <f t="shared" si="57"/>
        <v>1.7819873311180683</v>
      </c>
      <c r="AF108" s="4">
        <f t="shared" si="93"/>
        <v>0.18452781161568588</v>
      </c>
      <c r="AG108" s="8">
        <f t="shared" si="94"/>
        <v>7.4224142857568259E-2</v>
      </c>
      <c r="AH108" s="8">
        <f t="shared" si="95"/>
        <v>1.53269779100396E-2</v>
      </c>
      <c r="AI108" s="8">
        <f t="shared" si="96"/>
        <v>1.4230715226164183E-2</v>
      </c>
      <c r="AX108"/>
      <c r="AY108"/>
    </row>
    <row r="109" spans="1:51">
      <c r="A109" s="53" t="s">
        <v>645</v>
      </c>
      <c r="G109" s="57">
        <v>9</v>
      </c>
      <c r="H109">
        <v>3.5790000000000002</v>
      </c>
      <c r="I109" s="60">
        <v>385</v>
      </c>
      <c r="J109" s="61">
        <v>250</v>
      </c>
      <c r="K109" s="61">
        <v>281</v>
      </c>
      <c r="L109" s="61">
        <v>79</v>
      </c>
      <c r="M109" s="61">
        <v>88.6</v>
      </c>
      <c r="N109" s="61">
        <v>96</v>
      </c>
      <c r="O109" s="61">
        <v>109</v>
      </c>
      <c r="P109" s="61">
        <v>108</v>
      </c>
      <c r="Q109" s="61">
        <v>109</v>
      </c>
      <c r="R109" s="4">
        <f t="shared" si="81"/>
        <v>169.34394749416251</v>
      </c>
      <c r="S109" s="4">
        <f t="shared" si="82"/>
        <v>174.22222222222223</v>
      </c>
      <c r="T109" s="7">
        <f t="shared" si="83"/>
        <v>171.78308485819235</v>
      </c>
      <c r="U109">
        <f t="shared" si="84"/>
        <v>18783800</v>
      </c>
      <c r="V109" s="4">
        <f t="shared" si="85"/>
        <v>89.445674904762512</v>
      </c>
      <c r="W109" s="4">
        <f t="shared" si="86"/>
        <v>92.053333333333342</v>
      </c>
      <c r="X109" s="7">
        <f t="shared" si="87"/>
        <v>90.749504119047927</v>
      </c>
      <c r="Y109" s="7">
        <f t="shared" si="88"/>
        <v>1.8929368983971762</v>
      </c>
      <c r="Z109" s="4">
        <f t="shared" si="89"/>
        <v>0.27540911571577575</v>
      </c>
      <c r="AA109" s="4">
        <f t="shared" si="36"/>
        <v>231.48548960024007</v>
      </c>
      <c r="AB109" s="4">
        <f t="shared" si="90"/>
        <v>9.0446476245358944</v>
      </c>
      <c r="AC109" s="4">
        <f t="shared" si="91"/>
        <v>6.9280234584711584</v>
      </c>
      <c r="AD109" s="4">
        <f t="shared" si="92"/>
        <v>5.0354847043926263</v>
      </c>
      <c r="AE109" s="4">
        <f t="shared" si="57"/>
        <v>1.796182126548004</v>
      </c>
      <c r="AF109" s="4">
        <f t="shared" si="93"/>
        <v>0.17457462388620115</v>
      </c>
      <c r="AG109" s="8">
        <f t="shared" si="94"/>
        <v>7.0253303364771175E-2</v>
      </c>
      <c r="AH109" s="8">
        <f t="shared" si="95"/>
        <v>1.4367342576054326E-2</v>
      </c>
      <c r="AI109" s="8">
        <f t="shared" si="96"/>
        <v>1.4198937957386078E-2</v>
      </c>
      <c r="AX109"/>
      <c r="AY109"/>
    </row>
    <row r="110" spans="1:51">
      <c r="A110" s="53" t="s">
        <v>646</v>
      </c>
      <c r="G110" s="57">
        <v>9</v>
      </c>
      <c r="H110">
        <v>3.657</v>
      </c>
      <c r="I110" s="60">
        <v>402</v>
      </c>
      <c r="J110" s="61">
        <v>263</v>
      </c>
      <c r="K110" s="61">
        <v>290</v>
      </c>
      <c r="L110" s="61">
        <v>81.099999999999994</v>
      </c>
      <c r="M110" s="61">
        <v>90.6</v>
      </c>
      <c r="N110" s="61">
        <v>98</v>
      </c>
      <c r="O110" s="61">
        <v>120</v>
      </c>
      <c r="P110" s="61">
        <v>117</v>
      </c>
      <c r="Q110" s="61">
        <v>119</v>
      </c>
      <c r="R110" s="4">
        <f t="shared" si="81"/>
        <v>180.12466445602399</v>
      </c>
      <c r="S110" s="4">
        <f t="shared" si="82"/>
        <v>185.22222222222223</v>
      </c>
      <c r="T110" s="7">
        <f t="shared" si="83"/>
        <v>182.67344333912311</v>
      </c>
      <c r="U110">
        <f t="shared" si="84"/>
        <v>20533131</v>
      </c>
      <c r="V110" s="4">
        <f t="shared" si="85"/>
        <v>91.17766833941721</v>
      </c>
      <c r="W110" s="4">
        <f t="shared" si="86"/>
        <v>93.873333333333321</v>
      </c>
      <c r="X110" s="7">
        <f t="shared" si="87"/>
        <v>92.525500836375272</v>
      </c>
      <c r="Y110" s="7">
        <f t="shared" si="88"/>
        <v>1.9743037507267107</v>
      </c>
      <c r="Z110" s="4">
        <f t="shared" si="89"/>
        <v>0.28332814832378117</v>
      </c>
      <c r="AA110" s="4">
        <f t="shared" si="36"/>
        <v>237.48115932215188</v>
      </c>
      <c r="AB110" s="4">
        <f t="shared" si="90"/>
        <v>9.1480213255200375</v>
      </c>
      <c r="AC110" s="4">
        <f t="shared" si="91"/>
        <v>7.0676531396312319</v>
      </c>
      <c r="AD110" s="4">
        <f t="shared" si="92"/>
        <v>5.0300029773870545</v>
      </c>
      <c r="AE110" s="4">
        <f t="shared" si="57"/>
        <v>1.8186910358991832</v>
      </c>
      <c r="AF110" s="4">
        <f t="shared" si="93"/>
        <v>0.17612501329974961</v>
      </c>
      <c r="AG110" s="8">
        <f t="shared" si="94"/>
        <v>7.0876247520621521E-2</v>
      </c>
      <c r="AH110" s="8">
        <f t="shared" si="95"/>
        <v>1.4567146189693162E-2</v>
      </c>
      <c r="AI110" s="8">
        <f t="shared" si="96"/>
        <v>1.3952651444618861E-2</v>
      </c>
      <c r="AX110"/>
      <c r="AY110"/>
    </row>
    <row r="111" spans="1:51">
      <c r="A111" s="53" t="s">
        <v>647</v>
      </c>
      <c r="G111" s="57">
        <v>9</v>
      </c>
      <c r="H111">
        <v>3.3839999999999999</v>
      </c>
      <c r="I111" s="60">
        <v>333</v>
      </c>
      <c r="J111" s="61">
        <v>205</v>
      </c>
      <c r="K111" s="61">
        <v>238</v>
      </c>
      <c r="L111" s="61">
        <v>66.099999999999994</v>
      </c>
      <c r="M111" s="61">
        <v>78.900000000000006</v>
      </c>
      <c r="N111" s="61">
        <v>80</v>
      </c>
      <c r="O111" s="61">
        <v>78</v>
      </c>
      <c r="P111" s="61">
        <v>80</v>
      </c>
      <c r="Q111" s="61">
        <v>84</v>
      </c>
      <c r="R111" s="4">
        <f t="shared" si="81"/>
        <v>135.5161753094383</v>
      </c>
      <c r="S111" s="4">
        <f t="shared" si="82"/>
        <v>140</v>
      </c>
      <c r="T111" s="7">
        <f t="shared" si="83"/>
        <v>137.75808765471913</v>
      </c>
      <c r="U111">
        <f t="shared" si="84"/>
        <v>12185750</v>
      </c>
      <c r="V111" s="4">
        <f t="shared" si="85"/>
        <v>77.644798019692743</v>
      </c>
      <c r="W111" s="4">
        <f t="shared" si="86"/>
        <v>80.599999999999994</v>
      </c>
      <c r="X111" s="7">
        <f t="shared" si="87"/>
        <v>79.122399009846362</v>
      </c>
      <c r="Y111" s="7">
        <f t="shared" si="88"/>
        <v>1.7410757178580476</v>
      </c>
      <c r="Z111" s="4">
        <f t="shared" si="89"/>
        <v>0.25896749982225614</v>
      </c>
      <c r="AA111" s="4">
        <f t="shared" si="36"/>
        <v>199.22505772273047</v>
      </c>
      <c r="AB111" s="4">
        <f t="shared" si="90"/>
        <v>8.4784286785305305</v>
      </c>
      <c r="AC111" s="4">
        <f t="shared" si="91"/>
        <v>6.3803334351977519</v>
      </c>
      <c r="AD111" s="4">
        <f t="shared" si="92"/>
        <v>4.8354238267674079</v>
      </c>
      <c r="AE111" s="4">
        <f t="shared" si="57"/>
        <v>1.7533992845873358</v>
      </c>
      <c r="AF111" s="4">
        <f t="shared" si="93"/>
        <v>0.22338964551213181</v>
      </c>
      <c r="AG111" s="8">
        <f t="shared" si="94"/>
        <v>8.9645058887424009E-2</v>
      </c>
      <c r="AH111" s="8">
        <f t="shared" si="95"/>
        <v>1.8674875997753127E-2</v>
      </c>
      <c r="AI111" s="8">
        <f t="shared" si="96"/>
        <v>1.6274270233048286E-2</v>
      </c>
      <c r="AX111"/>
      <c r="AY111"/>
    </row>
    <row r="112" spans="1:51">
      <c r="A112" s="53" t="s">
        <v>648</v>
      </c>
      <c r="G112" s="57">
        <v>9</v>
      </c>
      <c r="H112">
        <v>3.427</v>
      </c>
      <c r="I112" s="60">
        <v>344</v>
      </c>
      <c r="J112" s="61">
        <v>214</v>
      </c>
      <c r="K112" s="61">
        <v>248</v>
      </c>
      <c r="L112" s="61">
        <v>68.3</v>
      </c>
      <c r="M112" s="61">
        <v>80.900000000000006</v>
      </c>
      <c r="N112" s="61">
        <v>83</v>
      </c>
      <c r="O112" s="61">
        <v>84</v>
      </c>
      <c r="P112" s="61">
        <v>87</v>
      </c>
      <c r="Q112" s="61">
        <v>88</v>
      </c>
      <c r="R112" s="4">
        <f t="shared" si="81"/>
        <v>142.35540943529438</v>
      </c>
      <c r="S112" s="4">
        <f t="shared" si="82"/>
        <v>147.11111111111111</v>
      </c>
      <c r="T112" s="7">
        <f t="shared" si="83"/>
        <v>144.73326027320275</v>
      </c>
      <c r="U112">
        <f t="shared" si="84"/>
        <v>13509386</v>
      </c>
      <c r="V112" s="4">
        <f t="shared" si="85"/>
        <v>80.075246333539013</v>
      </c>
      <c r="W112" s="4">
        <f t="shared" si="86"/>
        <v>82.906666666666666</v>
      </c>
      <c r="X112" s="7">
        <f t="shared" si="87"/>
        <v>81.49095650010284</v>
      </c>
      <c r="Y112" s="7">
        <f t="shared" si="88"/>
        <v>1.7760653020807295</v>
      </c>
      <c r="Z112" s="4">
        <f t="shared" si="89"/>
        <v>0.26296561891827869</v>
      </c>
      <c r="AA112" s="4">
        <f t="shared" si="36"/>
        <v>205.84055262478981</v>
      </c>
      <c r="AB112" s="4">
        <f t="shared" si="90"/>
        <v>8.5987605892274406</v>
      </c>
      <c r="AC112" s="4">
        <f t="shared" si="91"/>
        <v>6.4987094468236402</v>
      </c>
      <c r="AD112" s="4">
        <f t="shared" si="92"/>
        <v>4.8763812809769256</v>
      </c>
      <c r="AE112" s="4">
        <f t="shared" si="57"/>
        <v>1.7633486993258205</v>
      </c>
      <c r="AF112" s="4">
        <f t="shared" si="93"/>
        <v>0.21020472123591905</v>
      </c>
      <c r="AG112" s="8">
        <f t="shared" si="94"/>
        <v>8.4363680641310362E-2</v>
      </c>
      <c r="AH112" s="8">
        <f t="shared" si="95"/>
        <v>1.7372604609961106E-2</v>
      </c>
      <c r="AI112" s="8">
        <f t="shared" si="96"/>
        <v>1.6429194183975874E-2</v>
      </c>
      <c r="AX112"/>
      <c r="AY112"/>
    </row>
    <row r="113" spans="1:51">
      <c r="A113" s="53" t="s">
        <v>649</v>
      </c>
      <c r="G113" s="57">
        <v>9</v>
      </c>
      <c r="H113">
        <v>3.5089999999999999</v>
      </c>
      <c r="I113" s="60">
        <v>368</v>
      </c>
      <c r="J113" s="61">
        <v>233</v>
      </c>
      <c r="K113" s="61">
        <v>267</v>
      </c>
      <c r="L113" s="61">
        <v>74.3</v>
      </c>
      <c r="M113" s="61">
        <v>85.8</v>
      </c>
      <c r="N113" s="61">
        <v>89</v>
      </c>
      <c r="O113" s="61">
        <v>99</v>
      </c>
      <c r="P113" s="61">
        <v>99</v>
      </c>
      <c r="Q113" s="61">
        <v>101</v>
      </c>
      <c r="R113" s="4">
        <f t="shared" si="81"/>
        <v>157.97196844258303</v>
      </c>
      <c r="S113" s="4">
        <f t="shared" si="82"/>
        <v>162.88888888888889</v>
      </c>
      <c r="T113" s="7">
        <f t="shared" si="83"/>
        <v>160.43042866573597</v>
      </c>
      <c r="U113">
        <f t="shared" si="84"/>
        <v>16218982</v>
      </c>
      <c r="V113" s="4">
        <f t="shared" si="85"/>
        <v>85.011564370826989</v>
      </c>
      <c r="W113" s="4">
        <f t="shared" si="86"/>
        <v>87.75333333333333</v>
      </c>
      <c r="X113" s="7">
        <f t="shared" si="87"/>
        <v>86.382448852080159</v>
      </c>
      <c r="Y113" s="7">
        <f t="shared" si="88"/>
        <v>1.8572109357591184</v>
      </c>
      <c r="Z113" s="4">
        <f t="shared" si="89"/>
        <v>0.27174622441793822</v>
      </c>
      <c r="AA113" s="4">
        <f t="shared" si="36"/>
        <v>219.71310636721725</v>
      </c>
      <c r="AB113" s="4">
        <f t="shared" si="90"/>
        <v>8.8624430855826244</v>
      </c>
      <c r="AC113" s="4">
        <f t="shared" si="91"/>
        <v>6.7616344465823834</v>
      </c>
      <c r="AD113" s="4">
        <f t="shared" si="92"/>
        <v>4.9615922637784706</v>
      </c>
      <c r="AE113" s="4">
        <f t="shared" si="57"/>
        <v>1.7862094695450619</v>
      </c>
      <c r="AF113" s="4">
        <f t="shared" si="93"/>
        <v>0.19238385949393688</v>
      </c>
      <c r="AG113" s="8">
        <f t="shared" si="94"/>
        <v>7.7313730196630778E-2</v>
      </c>
      <c r="AH113" s="8">
        <f t="shared" si="95"/>
        <v>1.5869942325907549E-2</v>
      </c>
      <c r="AI113" s="8">
        <f t="shared" si="96"/>
        <v>1.5324151681195334E-2</v>
      </c>
      <c r="AX113"/>
      <c r="AY113"/>
    </row>
    <row r="114" spans="1:51">
      <c r="A114" s="53" t="s">
        <v>650</v>
      </c>
      <c r="G114" s="57">
        <v>9</v>
      </c>
      <c r="H114">
        <v>3.5419999999999998</v>
      </c>
      <c r="I114" s="60">
        <v>373</v>
      </c>
      <c r="J114" s="61">
        <v>237</v>
      </c>
      <c r="K114" s="61">
        <v>272</v>
      </c>
      <c r="L114" s="61">
        <v>75.599999999999994</v>
      </c>
      <c r="M114" s="61">
        <v>86.3</v>
      </c>
      <c r="N114" s="61">
        <v>92</v>
      </c>
      <c r="O114" s="61">
        <v>103</v>
      </c>
      <c r="P114" s="61">
        <v>103</v>
      </c>
      <c r="Q114" s="61">
        <v>104</v>
      </c>
      <c r="R114" s="4">
        <f t="shared" si="81"/>
        <v>161.83799259009768</v>
      </c>
      <c r="S114" s="4">
        <f t="shared" si="82"/>
        <v>166.88888888888889</v>
      </c>
      <c r="T114" s="7">
        <f t="shared" si="83"/>
        <v>164.36344073949329</v>
      </c>
      <c r="U114">
        <f t="shared" si="84"/>
        <v>16817395</v>
      </c>
      <c r="V114" s="4">
        <f t="shared" si="85"/>
        <v>86.206027706427648</v>
      </c>
      <c r="W114" s="4">
        <f t="shared" si="86"/>
        <v>88.913333333333327</v>
      </c>
      <c r="X114" s="7">
        <f t="shared" si="87"/>
        <v>87.559680519880487</v>
      </c>
      <c r="Y114" s="7">
        <f t="shared" si="88"/>
        <v>1.8771589818920644</v>
      </c>
      <c r="Z114" s="4">
        <f t="shared" si="89"/>
        <v>0.27380604467334851</v>
      </c>
      <c r="AA114" s="4">
        <f t="shared" si="36"/>
        <v>223.06810063178199</v>
      </c>
      <c r="AB114" s="4">
        <f t="shared" si="90"/>
        <v>8.9086854097086103</v>
      </c>
      <c r="AC114" s="4">
        <f t="shared" si="91"/>
        <v>6.8120579465257602</v>
      </c>
      <c r="AD114" s="4">
        <f t="shared" si="92"/>
        <v>4.9719620570502885</v>
      </c>
      <c r="AE114" s="4">
        <f t="shared" si="57"/>
        <v>1.7917846732309655</v>
      </c>
      <c r="AF114" s="4">
        <f t="shared" si="93"/>
        <v>0.18823489218217837</v>
      </c>
      <c r="AG114" s="8">
        <f t="shared" si="94"/>
        <v>7.5665963732738747E-2</v>
      </c>
      <c r="AH114" s="8">
        <f t="shared" si="95"/>
        <v>1.545977332735347E-2</v>
      </c>
      <c r="AI114" s="8">
        <f t="shared" si="96"/>
        <v>1.5365023621027091E-2</v>
      </c>
      <c r="AX114"/>
      <c r="AY114"/>
    </row>
    <row r="115" spans="1:51">
      <c r="A115" s="53" t="s">
        <v>651</v>
      </c>
      <c r="G115" s="57">
        <v>9</v>
      </c>
      <c r="H115">
        <v>3.59</v>
      </c>
      <c r="I115" s="60">
        <v>384</v>
      </c>
      <c r="J115" s="61">
        <v>245</v>
      </c>
      <c r="K115" s="61">
        <v>278</v>
      </c>
      <c r="L115" s="61">
        <v>77.400000000000006</v>
      </c>
      <c r="M115" s="61">
        <v>88.3</v>
      </c>
      <c r="N115" s="61">
        <v>93</v>
      </c>
      <c r="O115" s="61">
        <v>105</v>
      </c>
      <c r="P115" s="61">
        <v>106</v>
      </c>
      <c r="Q115" s="61">
        <v>112</v>
      </c>
      <c r="R115" s="4">
        <f t="shared" si="81"/>
        <v>167.83316095970184</v>
      </c>
      <c r="S115" s="4">
        <f t="shared" si="82"/>
        <v>172.55555555555554</v>
      </c>
      <c r="T115" s="7">
        <f t="shared" si="83"/>
        <v>170.19435825762869</v>
      </c>
      <c r="U115">
        <f t="shared" si="84"/>
        <v>18012694</v>
      </c>
      <c r="V115" s="4">
        <f t="shared" si="85"/>
        <v>87.684988729553979</v>
      </c>
      <c r="W115" s="4">
        <f t="shared" si="86"/>
        <v>90.673333333333332</v>
      </c>
      <c r="X115" s="7">
        <f t="shared" si="87"/>
        <v>89.179161031443655</v>
      </c>
      <c r="Y115" s="7">
        <f t="shared" si="88"/>
        <v>1.9084543551337056</v>
      </c>
      <c r="Z115" s="4">
        <f t="shared" si="89"/>
        <v>0.27696371401615383</v>
      </c>
      <c r="AA115" s="4">
        <f t="shared" si="36"/>
        <v>227.75710536711387</v>
      </c>
      <c r="AB115" s="4">
        <f t="shared" si="90"/>
        <v>8.9738075425351429</v>
      </c>
      <c r="AC115" s="4">
        <f t="shared" si="91"/>
        <v>6.8853394423302232</v>
      </c>
      <c r="AD115" s="4">
        <f t="shared" si="92"/>
        <v>4.9840738287834636</v>
      </c>
      <c r="AE115" s="4">
        <f t="shared" si="57"/>
        <v>1.8004965116508944</v>
      </c>
      <c r="AF115" s="4">
        <f t="shared" si="93"/>
        <v>0.19853972623885063</v>
      </c>
      <c r="AG115" s="8">
        <f t="shared" si="94"/>
        <v>7.9909108738708837E-2</v>
      </c>
      <c r="AH115" s="8">
        <f t="shared" si="95"/>
        <v>1.6754724810237303E-2</v>
      </c>
      <c r="AI115" s="8">
        <f t="shared" si="96"/>
        <v>1.3873534481986938E-2</v>
      </c>
      <c r="AX115"/>
      <c r="AY115"/>
    </row>
    <row r="116" spans="1:51">
      <c r="A116" s="53" t="s">
        <v>652</v>
      </c>
      <c r="G116" s="57">
        <v>9</v>
      </c>
      <c r="H116">
        <v>3.3780000000000001</v>
      </c>
      <c r="I116" s="60">
        <v>330</v>
      </c>
      <c r="J116" s="61">
        <v>203</v>
      </c>
      <c r="K116" s="61">
        <v>236</v>
      </c>
      <c r="L116" s="61">
        <v>65.3</v>
      </c>
      <c r="M116" s="61">
        <v>78.2</v>
      </c>
      <c r="N116" s="61">
        <v>78</v>
      </c>
      <c r="O116" s="61">
        <v>73</v>
      </c>
      <c r="P116" s="61">
        <v>79</v>
      </c>
      <c r="Q116" s="61">
        <v>84</v>
      </c>
      <c r="R116" s="4">
        <f t="shared" si="81"/>
        <v>133.61548200600546</v>
      </c>
      <c r="S116" s="4">
        <f t="shared" si="82"/>
        <v>137.88888888888889</v>
      </c>
      <c r="T116" s="7">
        <f t="shared" si="83"/>
        <v>135.75218544744718</v>
      </c>
      <c r="U116">
        <f t="shared" si="84"/>
        <v>11925449</v>
      </c>
      <c r="V116" s="4">
        <f t="shared" si="85"/>
        <v>76.758325892041711</v>
      </c>
      <c r="W116" s="4">
        <f t="shared" si="86"/>
        <v>79.833333333333329</v>
      </c>
      <c r="X116" s="7">
        <f t="shared" si="87"/>
        <v>78.295829612687527</v>
      </c>
      <c r="Y116" s="7">
        <f t="shared" si="88"/>
        <v>1.7338367333098552</v>
      </c>
      <c r="Z116" s="4">
        <f t="shared" si="89"/>
        <v>0.25812343257662684</v>
      </c>
      <c r="AA116" s="4">
        <f t="shared" si="36"/>
        <v>197.01163581749825</v>
      </c>
      <c r="AB116" s="4">
        <f t="shared" si="90"/>
        <v>8.4315694394498593</v>
      </c>
      <c r="AC116" s="4">
        <f t="shared" si="91"/>
        <v>6.3393333918483812</v>
      </c>
      <c r="AD116" s="4">
        <f t="shared" si="92"/>
        <v>4.8143703139087339</v>
      </c>
      <c r="AE116" s="4">
        <f t="shared" si="57"/>
        <v>1.7513337964657649</v>
      </c>
      <c r="AF116" s="4">
        <f t="shared" si="93"/>
        <v>0.2322873606916005</v>
      </c>
      <c r="AG116" s="8">
        <f t="shared" si="94"/>
        <v>9.3302865944465171E-2</v>
      </c>
      <c r="AH116" s="8">
        <f t="shared" si="95"/>
        <v>1.9637108748339547E-2</v>
      </c>
      <c r="AI116" s="8">
        <f t="shared" si="96"/>
        <v>1.5739735123961433E-2</v>
      </c>
      <c r="AX116"/>
      <c r="AY116"/>
    </row>
    <row r="117" spans="1:51">
      <c r="A117" s="53" t="s">
        <v>653</v>
      </c>
      <c r="G117" s="57">
        <v>9</v>
      </c>
      <c r="H117">
        <v>3.4750000000000001</v>
      </c>
      <c r="I117" s="60">
        <v>356</v>
      </c>
      <c r="J117" s="61">
        <v>223</v>
      </c>
      <c r="K117" s="61">
        <v>258</v>
      </c>
      <c r="L117" s="61">
        <v>71.400000000000006</v>
      </c>
      <c r="M117" s="61">
        <v>82.6</v>
      </c>
      <c r="N117" s="61">
        <v>84</v>
      </c>
      <c r="O117" s="61">
        <v>91</v>
      </c>
      <c r="P117" s="61">
        <v>93</v>
      </c>
      <c r="Q117" s="61">
        <v>96</v>
      </c>
      <c r="R117" s="4">
        <f t="shared" si="81"/>
        <v>150.47994739632182</v>
      </c>
      <c r="S117" s="4">
        <f t="shared" si="82"/>
        <v>155.22222222222223</v>
      </c>
      <c r="T117" s="7">
        <f t="shared" si="83"/>
        <v>152.85108480927204</v>
      </c>
      <c r="U117">
        <f t="shared" si="84"/>
        <v>14760879</v>
      </c>
      <c r="V117" s="4">
        <f t="shared" si="85"/>
        <v>81.912393417211248</v>
      </c>
      <c r="W117" s="4">
        <f t="shared" si="86"/>
        <v>84.733333333333334</v>
      </c>
      <c r="X117" s="7">
        <f t="shared" si="87"/>
        <v>83.322863375272291</v>
      </c>
      <c r="Y117" s="7">
        <f t="shared" si="88"/>
        <v>1.83444349626892</v>
      </c>
      <c r="Z117" s="4">
        <f t="shared" si="89"/>
        <v>0.26934895088266969</v>
      </c>
      <c r="AA117" s="4">
        <f t="shared" si="36"/>
        <v>211.5315784198838</v>
      </c>
      <c r="AB117" s="4">
        <f t="shared" si="90"/>
        <v>8.7152927030395926</v>
      </c>
      <c r="AC117" s="4">
        <f t="shared" si="91"/>
        <v>6.6321884537550231</v>
      </c>
      <c r="AD117" s="4">
        <f t="shared" si="92"/>
        <v>4.8967134294494201</v>
      </c>
      <c r="AE117" s="4">
        <f t="shared" si="57"/>
        <v>1.7798249435273832</v>
      </c>
      <c r="AF117" s="4">
        <f t="shared" si="93"/>
        <v>0.20370682797857409</v>
      </c>
      <c r="AG117" s="8">
        <f t="shared" si="94"/>
        <v>8.1821842709243364E-2</v>
      </c>
      <c r="AH117" s="8">
        <f t="shared" si="95"/>
        <v>1.6927766292770343E-2</v>
      </c>
      <c r="AI117" s="8">
        <f t="shared" si="96"/>
        <v>1.5512728718339919E-2</v>
      </c>
      <c r="AX117"/>
      <c r="AY117"/>
    </row>
    <row r="118" spans="1:51">
      <c r="A118" s="53" t="s">
        <v>654</v>
      </c>
      <c r="G118" s="57">
        <v>9</v>
      </c>
      <c r="H118">
        <v>3.51</v>
      </c>
      <c r="I118" s="60">
        <v>364</v>
      </c>
      <c r="J118" s="61">
        <v>231</v>
      </c>
      <c r="K118" s="61">
        <v>263</v>
      </c>
      <c r="L118" s="61">
        <v>73.400000000000006</v>
      </c>
      <c r="M118" s="61">
        <v>84.7</v>
      </c>
      <c r="N118" s="61">
        <v>87</v>
      </c>
      <c r="O118" s="61">
        <v>97</v>
      </c>
      <c r="P118" s="61">
        <v>97</v>
      </c>
      <c r="Q118" s="61">
        <v>99</v>
      </c>
      <c r="R118" s="4">
        <f t="shared" si="81"/>
        <v>155.63496326724069</v>
      </c>
      <c r="S118" s="4">
        <f t="shared" si="82"/>
        <v>160.44444444444446</v>
      </c>
      <c r="T118" s="7">
        <f t="shared" si="83"/>
        <v>158.03970385584256</v>
      </c>
      <c r="U118">
        <f t="shared" si="84"/>
        <v>15761464</v>
      </c>
      <c r="V118" s="4">
        <f t="shared" si="85"/>
        <v>83.98309844410025</v>
      </c>
      <c r="W118" s="4">
        <f t="shared" si="86"/>
        <v>86.686666666666682</v>
      </c>
      <c r="X118" s="7">
        <f t="shared" si="87"/>
        <v>85.334882555383473</v>
      </c>
      <c r="Y118" s="7">
        <f t="shared" si="88"/>
        <v>1.8519941567069327</v>
      </c>
      <c r="Z118" s="4">
        <f t="shared" si="89"/>
        <v>0.27120134063257167</v>
      </c>
      <c r="AA118" s="4">
        <f t="shared" si="36"/>
        <v>216.95563421425305</v>
      </c>
      <c r="AB118" s="4">
        <f t="shared" si="90"/>
        <v>8.8000833210090121</v>
      </c>
      <c r="AC118" s="4">
        <f t="shared" si="91"/>
        <v>6.7101085426456555</v>
      </c>
      <c r="AD118" s="4">
        <f t="shared" si="92"/>
        <v>4.9307131686969079</v>
      </c>
      <c r="AE118" s="4">
        <f t="shared" si="57"/>
        <v>1.7847485789433386</v>
      </c>
      <c r="AF118" s="4">
        <f t="shared" si="93"/>
        <v>0.19186138465109526</v>
      </c>
      <c r="AG118" s="8">
        <f t="shared" si="94"/>
        <v>7.7109005153656096E-2</v>
      </c>
      <c r="AH118" s="8">
        <f t="shared" si="95"/>
        <v>1.5840932462828316E-2</v>
      </c>
      <c r="AI118" s="8">
        <f t="shared" si="96"/>
        <v>1.521605349751471E-2</v>
      </c>
      <c r="AX118"/>
      <c r="AY118"/>
    </row>
    <row r="119" spans="1:51">
      <c r="A119" s="53" t="s">
        <v>655</v>
      </c>
      <c r="G119" s="57">
        <v>9</v>
      </c>
      <c r="H119">
        <v>3.5779999999999998</v>
      </c>
      <c r="I119" s="60">
        <v>381</v>
      </c>
      <c r="J119" s="61">
        <v>247</v>
      </c>
      <c r="K119" s="61">
        <v>279</v>
      </c>
      <c r="L119" s="61">
        <v>76.7</v>
      </c>
      <c r="M119" s="61">
        <v>86.7</v>
      </c>
      <c r="N119" s="61">
        <v>92</v>
      </c>
      <c r="O119" s="61">
        <v>100</v>
      </c>
      <c r="P119" s="61">
        <v>104</v>
      </c>
      <c r="Q119" s="61">
        <v>112</v>
      </c>
      <c r="R119" s="4">
        <f t="shared" si="81"/>
        <v>166.86803110929185</v>
      </c>
      <c r="S119" s="4">
        <f t="shared" si="82"/>
        <v>171</v>
      </c>
      <c r="T119" s="7">
        <f t="shared" si="83"/>
        <v>168.93401555464592</v>
      </c>
      <c r="U119">
        <f t="shared" si="84"/>
        <v>18344637</v>
      </c>
      <c r="V119" s="4">
        <f t="shared" si="85"/>
        <v>87.456395422995115</v>
      </c>
      <c r="W119" s="4">
        <f t="shared" si="86"/>
        <v>90.48</v>
      </c>
      <c r="X119" s="7">
        <f t="shared" si="87"/>
        <v>88.968197711497567</v>
      </c>
      <c r="Y119" s="7">
        <f t="shared" si="88"/>
        <v>1.898813507523871</v>
      </c>
      <c r="Z119" s="4">
        <f t="shared" si="89"/>
        <v>0.27600039977298862</v>
      </c>
      <c r="AA119" s="4">
        <f t="shared" si="36"/>
        <v>227.04691169390637</v>
      </c>
      <c r="AB119" s="4">
        <f t="shared" si="90"/>
        <v>8.964844685634894</v>
      </c>
      <c r="AC119" s="4">
        <f t="shared" si="91"/>
        <v>6.8712916835485975</v>
      </c>
      <c r="AD119" s="4">
        <f t="shared" si="92"/>
        <v>4.9865161313149331</v>
      </c>
      <c r="AE119" s="4">
        <f t="shared" si="57"/>
        <v>1.7978172434530728</v>
      </c>
      <c r="AF119" s="4">
        <f t="shared" si="93"/>
        <v>0.19762544523096714</v>
      </c>
      <c r="AG119" s="8">
        <f t="shared" si="94"/>
        <v>7.9839818685344732E-2</v>
      </c>
      <c r="AH119" s="8">
        <f t="shared" si="95"/>
        <v>1.6992614522830452E-2</v>
      </c>
      <c r="AI119" s="8">
        <f t="shared" si="96"/>
        <v>1.2229534937478482E-2</v>
      </c>
      <c r="AX119"/>
      <c r="AY119"/>
    </row>
    <row r="120" spans="1:51">
      <c r="AA120" s="4"/>
      <c r="AG120" s="8"/>
      <c r="AX120"/>
      <c r="AY120"/>
    </row>
    <row r="121" spans="1:51">
      <c r="A121" s="82" t="s">
        <v>981</v>
      </c>
      <c r="AA121" s="4"/>
      <c r="AG121" s="8"/>
      <c r="AX121"/>
      <c r="AY121"/>
    </row>
    <row r="122" spans="1:51">
      <c r="A122" s="53" t="s">
        <v>657</v>
      </c>
      <c r="B122" t="s">
        <v>311</v>
      </c>
      <c r="C122" t="s">
        <v>328</v>
      </c>
      <c r="E122" s="57" t="s">
        <v>23</v>
      </c>
      <c r="F122" s="57">
        <v>3</v>
      </c>
      <c r="G122" s="57">
        <v>9</v>
      </c>
      <c r="I122">
        <v>515</v>
      </c>
      <c r="J122">
        <v>525</v>
      </c>
      <c r="K122">
        <v>435</v>
      </c>
      <c r="L122">
        <v>179</v>
      </c>
      <c r="M122">
        <v>202</v>
      </c>
      <c r="N122">
        <v>175</v>
      </c>
      <c r="O122">
        <v>117</v>
      </c>
      <c r="P122">
        <v>117</v>
      </c>
      <c r="Q122">
        <v>130</v>
      </c>
      <c r="R122" s="4">
        <f>U122/(I122*(J122+K122-2*Q122)+J122*(K122-2*P122)-2*K122*O122+O122*(2*Q122-O122)+P122*(2*O122-P122)+Q122*(2*P122-Q122) )</f>
        <v>243.34495008268513</v>
      </c>
      <c r="S122" s="4">
        <f>(I122+J122+K122+2*(O122+P122+Q122))/9</f>
        <v>244.77777777777777</v>
      </c>
      <c r="T122" s="7">
        <f>0.5*(R122+S122)</f>
        <v>244.06136393023144</v>
      </c>
      <c r="U122">
        <f>P122*(O122*Q122-P122*J122)+Q122*(O122*P122-Q122*I122)+K122*(I122*J122-O122*O122)</f>
        <v>99327325</v>
      </c>
      <c r="V122" s="4">
        <f>15/(4*(I122*(J122+K122+Q122)+J122*(K122+P122)+K122*O122-O122*(O122+Q122)-P122*(P122+O122)-Q122*(Q122+P122))/U122 +3*(1/L122 + 1/M122 +1/N122))</f>
        <v>184.0020013116247</v>
      </c>
      <c r="W122" s="4">
        <f>(I122+J122+K122-(O122+P122+Q122)+3*(L122+M122+N122))/15</f>
        <v>185.26666666666668</v>
      </c>
      <c r="X122" s="7">
        <f>0.5*(V122+W122)</f>
        <v>184.63433398914569</v>
      </c>
      <c r="Y122" s="7">
        <f>T122/X122</f>
        <v>1.3218633753383018</v>
      </c>
      <c r="Z122" s="4">
        <f>(3*T122-2*X122)/(2*(3*T122+X122))</f>
        <v>0.19792110062780935</v>
      </c>
      <c r="AA122" s="4">
        <f t="shared" si="36"/>
        <v>442.35472917191987</v>
      </c>
      <c r="AB122" s="4" t="e">
        <f>SQRT((T122+4/3*X122)/H122)</f>
        <v>#DIV/0!</v>
      </c>
      <c r="AC122" s="4" t="e">
        <f>SQRT(T122/H122)</f>
        <v>#DIV/0!</v>
      </c>
      <c r="AD122" s="4" t="e">
        <f>SQRT(X122/H122)</f>
        <v>#DIV/0!</v>
      </c>
      <c r="AE122" s="4" t="e">
        <f>AB122/AD122</f>
        <v>#DIV/0!</v>
      </c>
      <c r="AF122" s="4">
        <f>5*W122/V122 + S122/R122 - 6</f>
        <v>4.0253584501187767E-2</v>
      </c>
      <c r="AG122" s="8">
        <f>SQRT((LN(S122/R122))^2+5*(LN(W122/V122))^2)</f>
        <v>1.6402769104383284E-2</v>
      </c>
      <c r="AH122" s="8">
        <f>(W122-V122)/(W122+V122)</f>
        <v>3.4247838084013439E-3</v>
      </c>
      <c r="AI122" s="8">
        <f>(S122-R122)/(S122+R122)</f>
        <v>2.935384101807765E-3</v>
      </c>
      <c r="AJ122" s="7">
        <v>9.3000000000000007</v>
      </c>
      <c r="AK122" s="7">
        <v>8.1999999999999993</v>
      </c>
      <c r="AX122"/>
      <c r="AY122"/>
    </row>
  </sheetData>
  <sortState ref="A1:AN68">
    <sortCondition ref="A1:A68"/>
  </sortState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Cubic</vt:lpstr>
      <vt:lpstr>Cubic Refs</vt:lpstr>
      <vt:lpstr>Hexagonal</vt:lpstr>
      <vt:lpstr>Hexagonal Refs</vt:lpstr>
      <vt:lpstr>Trigonal</vt:lpstr>
      <vt:lpstr>Trigonal Refs</vt:lpstr>
      <vt:lpstr>Tetragonal</vt:lpstr>
      <vt:lpstr>Tetragonal Refs</vt:lpstr>
      <vt:lpstr>Orthorhombic</vt:lpstr>
      <vt:lpstr>Ortho Refs</vt:lpstr>
      <vt:lpstr>Monoclinic</vt:lpstr>
      <vt:lpstr>Mono Refs</vt:lpstr>
      <vt:lpstr>Triclinic</vt:lpstr>
      <vt:lpstr>Triclinic Refs</vt:lpstr>
      <vt:lpstr>Key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Duffy</dc:creator>
  <cp:lastModifiedBy>Robbie</cp:lastModifiedBy>
  <dcterms:created xsi:type="dcterms:W3CDTF">2012-10-29T11:37:01Z</dcterms:created>
  <dcterms:modified xsi:type="dcterms:W3CDTF">2018-11-05T19:50:07Z</dcterms:modified>
</cp:coreProperties>
</file>