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icero.sharepoint.com/sites/Group-ClimateMitigation/Shared Documents/SmallJobs/2019/201903_bilsalg/"/>
    </mc:Choice>
  </mc:AlternateContent>
  <xr:revisionPtr revIDLastSave="33" documentId="13_ncr:1_{7435FA22-33C1-46FC-9CEE-C650859A0CD2}" xr6:coauthVersionLast="47" xr6:coauthVersionMax="47" xr10:uidLastSave="{EA2ABF9B-1C21-460A-9740-079A4DAB6B04}"/>
  <bookViews>
    <workbookView xWindow="-120" yWindow="-120" windowWidth="29040" windowHeight="17520" xr2:uid="{94A590A3-A19D-4EDC-866B-407362CF22C8}"/>
  </bookViews>
  <sheets>
    <sheet name="Data" sheetId="1" r:id="rId1"/>
    <sheet name="Not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123" i="1" l="1"/>
  <c r="Q123" i="1"/>
  <c r="O123" i="1"/>
  <c r="M123" i="1"/>
  <c r="K123" i="1"/>
  <c r="H123" i="1"/>
  <c r="H122" i="1"/>
  <c r="K122" i="1"/>
  <c r="M122" i="1"/>
  <c r="Q122" i="1"/>
  <c r="O122" i="1"/>
  <c r="S122" i="1"/>
  <c r="H121" i="1"/>
  <c r="K121" i="1"/>
  <c r="Q121" i="1"/>
  <c r="O121" i="1"/>
  <c r="M121" i="1"/>
  <c r="S121" i="1"/>
  <c r="E121" i="1" s="1"/>
  <c r="Q120" i="1"/>
  <c r="O120" i="1"/>
  <c r="S120" i="1"/>
  <c r="M120" i="1"/>
  <c r="K120" i="1"/>
  <c r="H120" i="1"/>
  <c r="H119" i="1"/>
  <c r="K119" i="1"/>
  <c r="M119" i="1"/>
  <c r="O119" i="1"/>
  <c r="Q119" i="1"/>
  <c r="S119" i="1"/>
  <c r="S118" i="1"/>
  <c r="H118" i="1"/>
  <c r="K118" i="1"/>
  <c r="Q118" i="1"/>
  <c r="O118" i="1"/>
  <c r="M118" i="1"/>
  <c r="M117" i="1"/>
  <c r="H117" i="1"/>
  <c r="K117" i="1"/>
  <c r="O117" i="1"/>
  <c r="Q117" i="1"/>
  <c r="S117" i="1"/>
  <c r="S116" i="1"/>
  <c r="Q116" i="1"/>
  <c r="O116" i="1"/>
  <c r="M116" i="1"/>
  <c r="K116" i="1"/>
  <c r="H116" i="1"/>
  <c r="H115" i="1"/>
  <c r="K115" i="1"/>
  <c r="M115" i="1"/>
  <c r="O115" i="1"/>
  <c r="Q115" i="1"/>
  <c r="S115" i="1"/>
  <c r="S114" i="1"/>
  <c r="Q114" i="1"/>
  <c r="O114" i="1"/>
  <c r="M114" i="1"/>
  <c r="K114" i="1"/>
  <c r="H114" i="1"/>
  <c r="S113" i="1"/>
  <c r="Q113" i="1"/>
  <c r="O113" i="1"/>
  <c r="M113" i="1"/>
  <c r="K113" i="1"/>
  <c r="H113" i="1"/>
  <c r="Q112" i="1"/>
  <c r="O112" i="1"/>
  <c r="M112" i="1"/>
  <c r="H112" i="1"/>
  <c r="K112" i="1"/>
  <c r="S112" i="1"/>
  <c r="E112" i="1" s="1"/>
  <c r="S111" i="1"/>
  <c r="Q111" i="1"/>
  <c r="O111" i="1"/>
  <c r="M111" i="1"/>
  <c r="K111" i="1"/>
  <c r="H111" i="1"/>
  <c r="H110" i="1"/>
  <c r="K110" i="1"/>
  <c r="M110" i="1"/>
  <c r="Q110" i="1"/>
  <c r="O110" i="1"/>
  <c r="S110" i="1"/>
  <c r="H109" i="1"/>
  <c r="K109" i="1"/>
  <c r="M109" i="1"/>
  <c r="Q108" i="1"/>
  <c r="O108" i="1"/>
  <c r="S108" i="1"/>
  <c r="M108" i="1"/>
  <c r="K108" i="1"/>
  <c r="H108" i="1"/>
  <c r="Q109" i="1"/>
  <c r="O109" i="1"/>
  <c r="S109" i="1"/>
  <c r="H107" i="1"/>
  <c r="K107" i="1"/>
  <c r="M107" i="1"/>
  <c r="Q107" i="1"/>
  <c r="O107" i="1"/>
  <c r="S107" i="1"/>
  <c r="M106" i="1"/>
  <c r="K106" i="1"/>
  <c r="H106" i="1"/>
  <c r="O106" i="1"/>
  <c r="Q106" i="1"/>
  <c r="S106" i="1"/>
  <c r="M105" i="1"/>
  <c r="H105" i="1"/>
  <c r="K105" i="1"/>
  <c r="O105" i="1"/>
  <c r="Q105" i="1"/>
  <c r="S105" i="1"/>
  <c r="M104" i="1"/>
  <c r="H104" i="1"/>
  <c r="K104" i="1"/>
  <c r="Q104" i="1"/>
  <c r="O104" i="1"/>
  <c r="S104" i="1"/>
  <c r="H103" i="1"/>
  <c r="K103" i="1"/>
  <c r="M103" i="1"/>
  <c r="Q103" i="1"/>
  <c r="O103" i="1"/>
  <c r="S103" i="1"/>
  <c r="E123" i="1" l="1"/>
  <c r="E122" i="1"/>
  <c r="E120" i="1"/>
  <c r="E119" i="1"/>
  <c r="E118" i="1"/>
  <c r="E117" i="1"/>
  <c r="E116" i="1"/>
  <c r="E104" i="1"/>
  <c r="E103" i="1"/>
  <c r="E115" i="1"/>
  <c r="E114" i="1"/>
  <c r="E113" i="1"/>
  <c r="E111" i="1"/>
  <c r="E110" i="1"/>
  <c r="E109" i="1"/>
  <c r="E108" i="1"/>
  <c r="E107" i="1"/>
  <c r="E106" i="1"/>
  <c r="E105" i="1"/>
  <c r="S102" i="1"/>
  <c r="Q102" i="1"/>
  <c r="O102" i="1"/>
  <c r="M102" i="1"/>
  <c r="K102" i="1"/>
  <c r="H102" i="1"/>
  <c r="E102" i="1" l="1"/>
  <c r="M101" i="1"/>
  <c r="K101" i="1"/>
  <c r="H101" i="1"/>
  <c r="Q101" i="1"/>
  <c r="O101" i="1"/>
  <c r="S101" i="1"/>
  <c r="E101" i="1" l="1"/>
  <c r="H100" i="1"/>
  <c r="K100" i="1"/>
  <c r="Q100" i="1"/>
  <c r="O100" i="1"/>
  <c r="M100" i="1"/>
  <c r="S100" i="1"/>
  <c r="E100" i="1" l="1"/>
  <c r="K99" i="1"/>
  <c r="H99" i="1"/>
  <c r="M99" i="1"/>
  <c r="O99" i="1"/>
  <c r="Q99" i="1"/>
  <c r="S99" i="1"/>
  <c r="E99" i="1" l="1"/>
  <c r="K98" i="1"/>
  <c r="H98" i="1"/>
  <c r="M98" i="1"/>
  <c r="Q98" i="1"/>
  <c r="O98" i="1"/>
  <c r="S98" i="1"/>
  <c r="M96" i="1"/>
  <c r="S96" i="1"/>
  <c r="S97" i="1"/>
  <c r="E97" i="1" s="1"/>
  <c r="O97" i="1"/>
  <c r="Q97" i="1" s="1"/>
  <c r="E98" i="1" l="1"/>
  <c r="O96" i="1"/>
  <c r="Q96" i="1" s="1"/>
  <c r="E96" i="1"/>
  <c r="O95" i="1" l="1"/>
  <c r="Q95" i="1" s="1"/>
  <c r="E95" i="1"/>
  <c r="O94" i="1" l="1"/>
  <c r="Q94" i="1" s="1"/>
  <c r="E94" i="1"/>
  <c r="O93" i="1" l="1"/>
  <c r="Q93" i="1" s="1"/>
  <c r="E93" i="1"/>
  <c r="O92" i="1"/>
  <c r="Q92" i="1" s="1"/>
  <c r="E92" i="1"/>
  <c r="O91" i="1" l="1"/>
  <c r="Q91" i="1" s="1"/>
  <c r="E91" i="1"/>
  <c r="M43" i="1" l="1"/>
  <c r="M42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0" i="1"/>
  <c r="M41" i="1"/>
  <c r="Q29" i="1"/>
  <c r="Q27" i="1"/>
  <c r="Q25" i="1"/>
  <c r="O90" i="1"/>
  <c r="Q90" i="1" s="1"/>
  <c r="O89" i="1"/>
  <c r="Q89" i="1" s="1"/>
  <c r="O88" i="1"/>
  <c r="Q88" i="1" s="1"/>
  <c r="O87" i="1"/>
  <c r="Q87" i="1" s="1"/>
  <c r="O86" i="1"/>
  <c r="Q86" i="1" s="1"/>
  <c r="O85" i="1"/>
  <c r="Q85" i="1" s="1"/>
  <c r="O84" i="1"/>
  <c r="Q84" i="1" s="1"/>
  <c r="O83" i="1"/>
  <c r="Q83" i="1" s="1"/>
  <c r="O82" i="1"/>
  <c r="Q82" i="1" s="1"/>
  <c r="O81" i="1"/>
  <c r="Q81" i="1" s="1"/>
  <c r="O80" i="1"/>
  <c r="Q80" i="1" s="1"/>
  <c r="O79" i="1"/>
  <c r="Q79" i="1" s="1"/>
  <c r="O78" i="1"/>
  <c r="Q78" i="1" s="1"/>
  <c r="O77" i="1"/>
  <c r="Q77" i="1" s="1"/>
  <c r="O76" i="1"/>
  <c r="Q76" i="1" s="1"/>
  <c r="O75" i="1"/>
  <c r="Q75" i="1" s="1"/>
  <c r="O74" i="1"/>
  <c r="Q74" i="1" s="1"/>
  <c r="O73" i="1"/>
  <c r="Q73" i="1" s="1"/>
  <c r="O72" i="1"/>
  <c r="Q72" i="1" s="1"/>
  <c r="O71" i="1"/>
  <c r="Q71" i="1" s="1"/>
  <c r="O70" i="1"/>
  <c r="Q70" i="1" s="1"/>
  <c r="O69" i="1"/>
  <c r="Q69" i="1" s="1"/>
  <c r="O68" i="1"/>
  <c r="Q68" i="1" s="1"/>
  <c r="O55" i="1"/>
  <c r="Q55" i="1" s="1"/>
  <c r="O54" i="1"/>
  <c r="Q54" i="1" s="1"/>
  <c r="O53" i="1"/>
  <c r="Q53" i="1" s="1"/>
  <c r="O52" i="1"/>
  <c r="Q52" i="1" s="1"/>
  <c r="O51" i="1"/>
  <c r="Q51" i="1" s="1"/>
  <c r="O50" i="1"/>
  <c r="Q50" i="1" s="1"/>
  <c r="O49" i="1"/>
  <c r="Q49" i="1" s="1"/>
  <c r="O48" i="1"/>
  <c r="Q48" i="1" s="1"/>
  <c r="O47" i="1"/>
  <c r="Q47" i="1" s="1"/>
  <c r="O46" i="1"/>
  <c r="Q46" i="1" s="1"/>
  <c r="O45" i="1"/>
  <c r="Q45" i="1" s="1"/>
  <c r="O44" i="1"/>
  <c r="Q44" i="1" s="1"/>
  <c r="O31" i="1"/>
  <c r="Q31" i="1" s="1"/>
  <c r="O30" i="1"/>
  <c r="Q30" i="1" s="1"/>
  <c r="E41" i="1" l="1"/>
  <c r="M18" i="1"/>
  <c r="Q18" i="1" s="1"/>
  <c r="M22" i="1"/>
  <c r="Q22" i="1" s="1"/>
  <c r="M26" i="1" l="1"/>
  <c r="Q26" i="1" s="1"/>
  <c r="M28" i="1"/>
  <c r="Q28" i="1" s="1"/>
  <c r="S31" i="1"/>
  <c r="S30" i="1"/>
  <c r="S28" i="1"/>
  <c r="S26" i="1"/>
  <c r="C24" i="1"/>
  <c r="B24" i="1"/>
  <c r="L25" i="1"/>
  <c r="Y30" i="1"/>
  <c r="B19" i="1"/>
  <c r="B20" i="1"/>
  <c r="M20" i="1" s="1"/>
  <c r="Q20" i="1" s="1"/>
  <c r="C19" i="1"/>
  <c r="W42" i="1"/>
  <c r="V40" i="1"/>
  <c r="V42" i="1"/>
  <c r="Y67" i="1"/>
  <c r="W67" i="1"/>
  <c r="V67" i="1"/>
  <c r="U67" i="1"/>
  <c r="B67" i="1"/>
  <c r="R67" i="1"/>
  <c r="N67" i="1"/>
  <c r="L67" i="1"/>
  <c r="Y66" i="1"/>
  <c r="W66" i="1"/>
  <c r="V66" i="1"/>
  <c r="U66" i="1"/>
  <c r="R66" i="1"/>
  <c r="N66" i="1"/>
  <c r="L66" i="1"/>
  <c r="B66" i="1"/>
  <c r="Y65" i="1"/>
  <c r="W65" i="1"/>
  <c r="V65" i="1"/>
  <c r="U65" i="1"/>
  <c r="R65" i="1"/>
  <c r="N65" i="1"/>
  <c r="L65" i="1"/>
  <c r="B65" i="1"/>
  <c r="Y64" i="1"/>
  <c r="W64" i="1"/>
  <c r="V64" i="1"/>
  <c r="U64" i="1"/>
  <c r="R64" i="1"/>
  <c r="N64" i="1"/>
  <c r="L64" i="1"/>
  <c r="B64" i="1"/>
  <c r="Y63" i="1"/>
  <c r="W63" i="1"/>
  <c r="V63" i="1"/>
  <c r="U63" i="1"/>
  <c r="R63" i="1"/>
  <c r="N63" i="1"/>
  <c r="L63" i="1"/>
  <c r="B63" i="1"/>
  <c r="Y62" i="1"/>
  <c r="W62" i="1"/>
  <c r="V62" i="1"/>
  <c r="U62" i="1"/>
  <c r="R62" i="1"/>
  <c r="N62" i="1"/>
  <c r="L62" i="1"/>
  <c r="B61" i="1"/>
  <c r="B62" i="1"/>
  <c r="Y61" i="1"/>
  <c r="W61" i="1"/>
  <c r="V61" i="1"/>
  <c r="U61" i="1"/>
  <c r="R61" i="1"/>
  <c r="N61" i="1"/>
  <c r="L61" i="1"/>
  <c r="Y60" i="1"/>
  <c r="W60" i="1"/>
  <c r="V60" i="1"/>
  <c r="U60" i="1"/>
  <c r="R60" i="1"/>
  <c r="L60" i="1"/>
  <c r="B60" i="1"/>
  <c r="O60" i="1" s="1"/>
  <c r="Q60" i="1" s="1"/>
  <c r="Y59" i="1"/>
  <c r="W59" i="1"/>
  <c r="V59" i="1"/>
  <c r="U59" i="1"/>
  <c r="R59" i="1"/>
  <c r="L59" i="1"/>
  <c r="B59" i="1"/>
  <c r="O59" i="1" s="1"/>
  <c r="Q59" i="1" s="1"/>
  <c r="Y58" i="1"/>
  <c r="X58" i="1"/>
  <c r="W58" i="1"/>
  <c r="V58" i="1"/>
  <c r="U58" i="1"/>
  <c r="R58" i="1"/>
  <c r="N58" i="1"/>
  <c r="L58" i="1"/>
  <c r="B58" i="1"/>
  <c r="Y57" i="1"/>
  <c r="X57" i="1"/>
  <c r="W57" i="1"/>
  <c r="V57" i="1"/>
  <c r="U57" i="1"/>
  <c r="R57" i="1"/>
  <c r="N57" i="1"/>
  <c r="L57" i="1"/>
  <c r="B57" i="1"/>
  <c r="Y56" i="1"/>
  <c r="X56" i="1"/>
  <c r="W56" i="1"/>
  <c r="V56" i="1"/>
  <c r="U56" i="1"/>
  <c r="R56" i="1"/>
  <c r="N56" i="1"/>
  <c r="L56" i="1"/>
  <c r="B56" i="1"/>
  <c r="Y36" i="1"/>
  <c r="Y43" i="1"/>
  <c r="W43" i="1"/>
  <c r="V43" i="1"/>
  <c r="U43" i="1"/>
  <c r="R43" i="1"/>
  <c r="D41" i="1"/>
  <c r="D43" i="1"/>
  <c r="C43" i="1"/>
  <c r="B43" i="1"/>
  <c r="Y42" i="1"/>
  <c r="U42" i="1"/>
  <c r="R42" i="1"/>
  <c r="D42" i="1"/>
  <c r="B42" i="1"/>
  <c r="C42" i="1"/>
  <c r="Y41" i="1"/>
  <c r="W41" i="1"/>
  <c r="V41" i="1"/>
  <c r="U41" i="1"/>
  <c r="R41" i="1"/>
  <c r="C41" i="1"/>
  <c r="B41" i="1"/>
  <c r="Y32" i="1"/>
  <c r="W38" i="1"/>
  <c r="W39" i="1"/>
  <c r="Y40" i="1"/>
  <c r="W40" i="1"/>
  <c r="U40" i="1"/>
  <c r="R40" i="1"/>
  <c r="L40" i="1"/>
  <c r="D40" i="1"/>
  <c r="C40" i="1"/>
  <c r="B40" i="1"/>
  <c r="O40" i="1" s="1"/>
  <c r="Q40" i="1" s="1"/>
  <c r="Y39" i="1"/>
  <c r="V39" i="1"/>
  <c r="U39" i="1"/>
  <c r="R39" i="1"/>
  <c r="L39" i="1"/>
  <c r="D39" i="1"/>
  <c r="C39" i="1"/>
  <c r="B39" i="1"/>
  <c r="O39" i="1" s="1"/>
  <c r="Q39" i="1" s="1"/>
  <c r="Y38" i="1"/>
  <c r="V38" i="1"/>
  <c r="U38" i="1"/>
  <c r="R38" i="1"/>
  <c r="L38" i="1"/>
  <c r="D38" i="1"/>
  <c r="C38" i="1"/>
  <c r="B38" i="1"/>
  <c r="O38" i="1" s="1"/>
  <c r="Q38" i="1" s="1"/>
  <c r="U37" i="1"/>
  <c r="R37" i="1"/>
  <c r="L37" i="1"/>
  <c r="D36" i="1"/>
  <c r="D37" i="1"/>
  <c r="C37" i="1"/>
  <c r="B37" i="1"/>
  <c r="O37" i="1" s="1"/>
  <c r="Q37" i="1" s="1"/>
  <c r="U36" i="1"/>
  <c r="R36" i="1"/>
  <c r="L36" i="1"/>
  <c r="C36" i="1"/>
  <c r="B36" i="1"/>
  <c r="O36" i="1" s="1"/>
  <c r="Q36" i="1" s="1"/>
  <c r="U35" i="1"/>
  <c r="R35" i="1"/>
  <c r="L35" i="1"/>
  <c r="D35" i="1"/>
  <c r="C35" i="1"/>
  <c r="B35" i="1"/>
  <c r="O35" i="1" s="1"/>
  <c r="Q35" i="1" s="1"/>
  <c r="D34" i="1"/>
  <c r="C34" i="1"/>
  <c r="U34" i="1"/>
  <c r="R34" i="1"/>
  <c r="L34" i="1"/>
  <c r="B34" i="1"/>
  <c r="O34" i="1" s="1"/>
  <c r="Q34" i="1" s="1"/>
  <c r="U33" i="1"/>
  <c r="R33" i="1"/>
  <c r="L33" i="1"/>
  <c r="D33" i="1"/>
  <c r="C33" i="1"/>
  <c r="B33" i="1"/>
  <c r="O33" i="1" s="1"/>
  <c r="D32" i="1"/>
  <c r="C32" i="1"/>
  <c r="B32" i="1"/>
  <c r="O32" i="1" s="1"/>
  <c r="Q32" i="1" s="1"/>
  <c r="L32" i="1"/>
  <c r="U32" i="1"/>
  <c r="R32" i="1"/>
  <c r="O56" i="1" l="1"/>
  <c r="Q56" i="1" s="1"/>
  <c r="O67" i="1"/>
  <c r="Q67" i="1" s="1"/>
  <c r="M33" i="1"/>
  <c r="Q33" i="1" s="1"/>
  <c r="O62" i="1"/>
  <c r="Q62" i="1" s="1"/>
  <c r="O61" i="1"/>
  <c r="Q61" i="1" s="1"/>
  <c r="O63" i="1"/>
  <c r="Q63" i="1" s="1"/>
  <c r="O64" i="1"/>
  <c r="Q64" i="1" s="1"/>
  <c r="O65" i="1"/>
  <c r="Q65" i="1" s="1"/>
  <c r="O66" i="1"/>
  <c r="Q66" i="1" s="1"/>
  <c r="O57" i="1"/>
  <c r="Q57" i="1" s="1"/>
  <c r="L43" i="1"/>
  <c r="O43" i="1"/>
  <c r="Q43" i="1" s="1"/>
  <c r="O58" i="1"/>
  <c r="Q58" i="1" s="1"/>
  <c r="L41" i="1"/>
  <c r="O41" i="1"/>
  <c r="Q41" i="1" s="1"/>
  <c r="L42" i="1"/>
  <c r="O42" i="1"/>
  <c r="Q42" i="1" s="1"/>
  <c r="M24" i="1"/>
  <c r="Q24" i="1" s="1"/>
  <c r="S2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Robbie Andrew</author>
  </authors>
  <commentList>
    <comment ref="B15" authorId="0" shapeId="0" xr:uid="{81D56E2B-9854-47C7-98FE-651689E08E4A}">
      <text>
        <r>
          <rPr>
            <b/>
            <sz val="9"/>
            <color indexed="81"/>
            <rFont val="Tahoma"/>
          </rPr>
          <t>Robbie Andrew:</t>
        </r>
        <r>
          <rPr>
            <sz val="9"/>
            <color indexed="81"/>
            <rFont val="Tahoma"/>
          </rPr>
          <t xml:space="preserve">
Avgiftsomleggingen påvirket nybilsalget sterkt i desember 2006. Desember 2006 er spesiell; bare to ganger tidligere er det registrert flere personbiler i desember, i 2004 og i toppåret 1985.</t>
        </r>
      </text>
    </comment>
    <comment ref="L18" authorId="0" shapeId="0" xr:uid="{C63293EA-F76B-4085-A0D4-4D840355866B}">
      <text>
        <r>
          <rPr>
            <b/>
            <sz val="9"/>
            <color indexed="81"/>
            <rFont val="Tahoma"/>
            <family val="2"/>
          </rPr>
          <t>Robbie Andrew:</t>
        </r>
        <r>
          <rPr>
            <sz val="9"/>
            <color indexed="81"/>
            <rFont val="Tahoma"/>
            <family val="2"/>
          </rPr>
          <t xml:space="preserve">
Pixel-readings from TØI report 1292/2013
Fridstrøm et al
Vrakpant som klimatiltak</t>
        </r>
      </text>
    </comment>
    <comment ref="R24" authorId="0" shapeId="0" xr:uid="{08F62231-B4C7-435B-8971-7E1BC7ECC78B}">
      <text>
        <r>
          <rPr>
            <b/>
            <sz val="9"/>
            <color indexed="81"/>
            <rFont val="Tahoma"/>
          </rPr>
          <t>Robbie Andrew:</t>
        </r>
        <r>
          <rPr>
            <sz val="9"/>
            <color indexed="81"/>
            <rFont val="Tahoma"/>
          </rPr>
          <t xml:space="preserve">
https://elbil.no/elbilsalget-i-2010/</t>
        </r>
      </text>
    </comment>
    <comment ref="V26" authorId="0" shapeId="0" xr:uid="{A1C28058-33C0-47A0-ADF8-BA0D331D67E5}">
      <text>
        <r>
          <rPr>
            <b/>
            <sz val="9"/>
            <color indexed="81"/>
            <rFont val="Tahoma"/>
          </rPr>
          <t>Robbie Andrew:</t>
        </r>
        <r>
          <rPr>
            <sz val="9"/>
            <color indexed="81"/>
            <rFont val="Tahoma"/>
          </rPr>
          <t xml:space="preserve">
"Elektriske varebiler kom i salg i 2011 da Ford forhandler Røhne og Selmer i Oslo-området inngikk en avtale med AzureDynamics om import og salg av den lille elvarebilen Ford Transit Connect. Denne bilen ble utviklet i samarbeid med Ford."
https://www.regeringen.se/4a4b1d/contentassets/7bb237f0adf546daa36aaf044922f473/underlagsrapport-10--elbil-i-norge.pdf#page=45 </t>
        </r>
      </text>
    </comment>
    <comment ref="T97" authorId="0" shapeId="0" xr:uid="{24672E49-FB62-4BA8-ABE3-B37C2C9B9653}">
      <text>
        <r>
          <rPr>
            <b/>
            <sz val="9"/>
            <color indexed="81"/>
            <rFont val="Tahoma"/>
            <charset val="1"/>
          </rPr>
          <t>Robbie Andrew:</t>
        </r>
        <r>
          <rPr>
            <sz val="9"/>
            <color indexed="81"/>
            <rFont val="Tahoma"/>
            <charset val="1"/>
          </rPr>
          <t xml:space="preserve">
Not stated, so I've assumed zero.</t>
        </r>
      </text>
    </comment>
    <comment ref="T99" authorId="0" shapeId="0" xr:uid="{306E2F66-552C-488B-B93B-902C7FAC4A1A}">
      <text>
        <r>
          <rPr>
            <b/>
            <sz val="9"/>
            <color indexed="81"/>
            <rFont val="Tahoma"/>
            <charset val="1"/>
          </rPr>
          <t>Robbie Andrew:</t>
        </r>
        <r>
          <rPr>
            <sz val="9"/>
            <color indexed="81"/>
            <rFont val="Tahoma"/>
            <charset val="1"/>
          </rPr>
          <t xml:space="preserve">
Elbiler stated as 5704, same as total nullutslipsbiler</t>
        </r>
      </text>
    </comment>
    <comment ref="T104" authorId="0" shapeId="0" xr:uid="{79039CCA-6BFD-4711-9413-CE6990A089B6}">
      <text>
        <r>
          <rPr>
            <b/>
            <sz val="9"/>
            <color indexed="81"/>
            <rFont val="Tahoma"/>
            <charset val="1"/>
          </rPr>
          <t>Robbie Andrew:</t>
        </r>
        <r>
          <rPr>
            <sz val="9"/>
            <color indexed="81"/>
            <rFont val="Tahoma"/>
            <charset val="1"/>
          </rPr>
          <t xml:space="preserve">
5461 is also reported as the number of elbiler</t>
        </r>
      </text>
    </comment>
    <comment ref="T108" authorId="0" shapeId="0" xr:uid="{1A2D129D-EE51-4872-B9FD-714C5DAEB5CD}">
      <text>
        <r>
          <rPr>
            <b/>
            <sz val="9"/>
            <color indexed="81"/>
            <rFont val="Tahoma"/>
            <charset val="1"/>
          </rPr>
          <t>Robbie Andrew:</t>
        </r>
        <r>
          <rPr>
            <sz val="9"/>
            <color indexed="81"/>
            <rFont val="Tahoma"/>
            <charset val="1"/>
          </rPr>
          <t xml:space="preserve">
Number of elbiler is the same as number of nullutslippsbiler</t>
        </r>
      </text>
    </comment>
  </commentList>
</comments>
</file>

<file path=xl/sharedStrings.xml><?xml version="1.0" encoding="utf-8"?>
<sst xmlns="http://schemas.openxmlformats.org/spreadsheetml/2006/main" count="29" uniqueCount="29">
  <si>
    <t>Hydrogenbil</t>
  </si>
  <si>
    <t>Bruktimport nullutslippsvarebiler</t>
  </si>
  <si>
    <t>Nye nullutslippsvarebiler</t>
  </si>
  <si>
    <t>Bruktimport nullutslippspersonbiler</t>
  </si>
  <si>
    <t>Nye nullutslippspersonbiler</t>
  </si>
  <si>
    <t>Hybridspersonbiler</t>
  </si>
  <si>
    <t>Ladbare hybridspersonbiler</t>
  </si>
  <si>
    <t>Nye personbiler</t>
  </si>
  <si>
    <t>Bruktimportert personbiler</t>
  </si>
  <si>
    <t>Nye varebiler</t>
  </si>
  <si>
    <t>Nye ikkehybridsdiesel Andel</t>
  </si>
  <si>
    <t>Nye ikkehybridsbensin</t>
  </si>
  <si>
    <t>Lastebiler (uten campingbiler)</t>
  </si>
  <si>
    <t>Busser</t>
  </si>
  <si>
    <t>Nye bensinbiler Andel</t>
  </si>
  <si>
    <t>Nye diesel personbiler Andel</t>
  </si>
  <si>
    <t>Source:</t>
  </si>
  <si>
    <t>Hybrid Andel</t>
  </si>
  <si>
    <t>Nullutslipp Andel</t>
  </si>
  <si>
    <t>Opplysningsrådet for veitrafikk (OFV)</t>
  </si>
  <si>
    <t>Ladbare Andel</t>
  </si>
  <si>
    <t>Total Andel</t>
  </si>
  <si>
    <t>Ikke-ladbare Andel</t>
  </si>
  <si>
    <t>Firehjulsdrift personbiler</t>
  </si>
  <si>
    <t>Nye ikkehybridsdiesel</t>
  </si>
  <si>
    <t>Nye ikkehybridsbensin Andel</t>
  </si>
  <si>
    <t>Ikke-ladbare hybridspersonbiler</t>
  </si>
  <si>
    <t>https://ofv.no</t>
  </si>
  <si>
    <t>Data collated by Robbie Andrew, CICERO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</si>
</sst>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</font>
    <font>
      <b/>
      <sz val="9"/>
      <color indexed="81"/>
      <name val="Tahoma"/>
    </font>
    <font>
      <u/>
      <sz val="11"/>
      <color theme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19">
    <xf numFmtId="0" fontId="0" fillId="0" borderId="0" xfId="0"/>
    <xf numFmtId="10" fontId="0" fillId="0" borderId="0" xfId="0" applyNumberFormat="1"/>
    <xf numFmtId="9" fontId="0" fillId="0" borderId="0" xfId="0" applyNumberFormat="1"/>
    <xf numFmtId="0" fontId="0" fillId="0" borderId="0" xfId="0" applyAlignment="1">
      <alignment wrapText="1"/>
    </xf>
    <xf numFmtId="10" fontId="0" fillId="0" borderId="0" xfId="0" applyNumberFormat="1" applyAlignment="1">
      <alignment wrapText="1"/>
    </xf>
    <xf numFmtId="9" fontId="0" fillId="0" borderId="0" xfId="0" applyNumberFormat="1" applyAlignment="1">
      <alignment wrapText="1"/>
    </xf>
    <xf numFmtId="0" fontId="4" fillId="0" borderId="0" xfId="2"/>
    <xf numFmtId="164" fontId="0" fillId="0" borderId="0" xfId="1" applyNumberFormat="1" applyFont="1" applyAlignment="1">
      <alignment wrapText="1"/>
    </xf>
    <xf numFmtId="2" fontId="0" fillId="0" borderId="0" xfId="0" applyNumberFormat="1" applyAlignment="1">
      <alignment wrapText="1"/>
    </xf>
    <xf numFmtId="1" fontId="0" fillId="0" borderId="0" xfId="0" applyNumberFormat="1" applyAlignment="1">
      <alignment wrapText="1"/>
    </xf>
    <xf numFmtId="1" fontId="0" fillId="2" borderId="0" xfId="0" applyNumberFormat="1" applyFill="1"/>
    <xf numFmtId="1" fontId="0" fillId="2" borderId="0" xfId="0" applyNumberFormat="1" applyFill="1" applyAlignment="1">
      <alignment wrapText="1"/>
    </xf>
    <xf numFmtId="0" fontId="0" fillId="3" borderId="0" xfId="0" applyFill="1" applyAlignment="1">
      <alignment wrapText="1"/>
    </xf>
    <xf numFmtId="164" fontId="0" fillId="0" borderId="0" xfId="0" applyNumberFormat="1"/>
    <xf numFmtId="164" fontId="0" fillId="0" borderId="0" xfId="0" applyNumberFormat="1" applyAlignment="1">
      <alignment wrapText="1"/>
    </xf>
    <xf numFmtId="1" fontId="0" fillId="0" borderId="0" xfId="0" applyNumberFormat="1"/>
    <xf numFmtId="9" fontId="0" fillId="0" borderId="0" xfId="0" applyNumberFormat="1" applyFill="1"/>
    <xf numFmtId="164" fontId="0" fillId="0" borderId="0" xfId="1" applyNumberFormat="1" applyFont="1"/>
    <xf numFmtId="0" fontId="0" fillId="2" borderId="0" xfId="0" applyFill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fv.n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23E6F8-FBFE-40A4-8A3E-1BC2B49C4A9C}">
  <dimension ref="A1:Z123"/>
  <sheetViews>
    <sheetView tabSelected="1" zoomScaleNormal="100" workbookViewId="0">
      <pane xSplit="1" ySplit="1" topLeftCell="B103" activePane="bottomRight" state="frozen"/>
      <selection pane="topRight" activeCell="B1" sqref="B1"/>
      <selection pane="bottomLeft" activeCell="A2" sqref="A2"/>
      <selection pane="bottomRight" activeCell="B123" sqref="B123"/>
    </sheetView>
  </sheetViews>
  <sheetFormatPr defaultRowHeight="15" x14ac:dyDescent="0.25"/>
  <cols>
    <col min="12" max="12" width="11.140625" bestFit="1" customWidth="1"/>
    <col min="13" max="13" width="10.5703125" bestFit="1" customWidth="1"/>
    <col min="14" max="14" width="11.140625" bestFit="1" customWidth="1"/>
    <col min="15" max="17" width="11.140625" customWidth="1"/>
    <col min="18" max="18" width="11.140625" bestFit="1" customWidth="1"/>
    <col min="19" max="20" width="11.5703125" bestFit="1" customWidth="1"/>
    <col min="21" max="21" width="11.42578125" customWidth="1"/>
    <col min="22" max="22" width="10.42578125" customWidth="1"/>
    <col min="23" max="23" width="11.42578125" customWidth="1"/>
  </cols>
  <sheetData>
    <row r="1" spans="1:26" ht="58.7" customHeight="1" x14ac:dyDescent="0.25">
      <c r="B1" s="3" t="s">
        <v>7</v>
      </c>
      <c r="C1" s="3" t="s">
        <v>8</v>
      </c>
      <c r="D1" s="3" t="s">
        <v>9</v>
      </c>
      <c r="E1" s="3" t="s">
        <v>21</v>
      </c>
      <c r="F1" s="3" t="s">
        <v>15</v>
      </c>
      <c r="G1" s="3" t="s">
        <v>24</v>
      </c>
      <c r="H1" s="3" t="s">
        <v>10</v>
      </c>
      <c r="I1" s="3" t="s">
        <v>14</v>
      </c>
      <c r="J1" s="3" t="s">
        <v>11</v>
      </c>
      <c r="K1" s="3" t="s">
        <v>25</v>
      </c>
      <c r="L1" s="3" t="s">
        <v>5</v>
      </c>
      <c r="M1" s="3" t="s">
        <v>17</v>
      </c>
      <c r="N1" s="3" t="s">
        <v>6</v>
      </c>
      <c r="O1" s="3" t="s">
        <v>20</v>
      </c>
      <c r="P1" s="3" t="s">
        <v>26</v>
      </c>
      <c r="Q1" s="3" t="s">
        <v>22</v>
      </c>
      <c r="R1" s="3" t="s">
        <v>4</v>
      </c>
      <c r="S1" s="3" t="s">
        <v>18</v>
      </c>
      <c r="T1" s="3" t="s">
        <v>0</v>
      </c>
      <c r="U1" s="3" t="s">
        <v>3</v>
      </c>
      <c r="V1" s="3" t="s">
        <v>2</v>
      </c>
      <c r="W1" s="3" t="s">
        <v>1</v>
      </c>
      <c r="X1" s="3" t="s">
        <v>12</v>
      </c>
      <c r="Y1" s="3" t="s">
        <v>13</v>
      </c>
      <c r="Z1" s="3" t="s">
        <v>23</v>
      </c>
    </row>
    <row r="2" spans="1:26" ht="15" customHeight="1" x14ac:dyDescent="0.25">
      <c r="A2">
        <v>1994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spans="1:26" ht="15" customHeight="1" x14ac:dyDescent="0.25">
      <c r="A3">
        <v>1995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spans="1:26" ht="15" customHeight="1" x14ac:dyDescent="0.25">
      <c r="A4">
        <v>1996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 spans="1:26" ht="15" customHeight="1" x14ac:dyDescent="0.25">
      <c r="A5">
        <v>1997</v>
      </c>
      <c r="B5" s="3">
        <v>127733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spans="1:26" ht="15" customHeight="1" x14ac:dyDescent="0.25">
      <c r="A6">
        <v>1998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 spans="1:26" ht="15" customHeight="1" x14ac:dyDescent="0.25">
      <c r="A7">
        <v>1999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 spans="1:26" ht="15" customHeight="1" x14ac:dyDescent="0.25">
      <c r="A8">
        <v>2000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 spans="1:26" ht="15" customHeight="1" x14ac:dyDescent="0.25">
      <c r="A9">
        <v>2001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 spans="1:26" ht="15" customHeight="1" x14ac:dyDescent="0.25">
      <c r="A10">
        <v>2002</v>
      </c>
      <c r="B10" s="3"/>
      <c r="C10" s="3">
        <v>33502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 spans="1:26" ht="15" customHeight="1" x14ac:dyDescent="0.25">
      <c r="A11">
        <v>2003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 spans="1:26" ht="15" customHeight="1" x14ac:dyDescent="0.25">
      <c r="A12">
        <v>2004</v>
      </c>
      <c r="B12" s="3">
        <v>115645</v>
      </c>
      <c r="C12" s="3">
        <v>27633</v>
      </c>
      <c r="D12" s="3">
        <v>30994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6" ht="15" customHeight="1" x14ac:dyDescent="0.25">
      <c r="A13">
        <v>200512</v>
      </c>
      <c r="B13" s="3">
        <v>9939</v>
      </c>
      <c r="C13" s="3">
        <v>2219</v>
      </c>
      <c r="D13" s="3">
        <v>3474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>
        <v>145</v>
      </c>
    </row>
    <row r="14" spans="1:26" ht="15" customHeight="1" x14ac:dyDescent="0.25">
      <c r="A14">
        <v>2005</v>
      </c>
      <c r="B14" s="3">
        <v>109907</v>
      </c>
      <c r="C14" s="3">
        <v>30043</v>
      </c>
      <c r="D14" s="3">
        <v>35043</v>
      </c>
      <c r="E14" s="3"/>
      <c r="F14" s="4">
        <v>0.39300000000000002</v>
      </c>
      <c r="G14" s="4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>
        <v>1168</v>
      </c>
    </row>
    <row r="15" spans="1:26" ht="15" customHeight="1" x14ac:dyDescent="0.25">
      <c r="A15">
        <v>200612</v>
      </c>
      <c r="B15" s="3">
        <v>11033</v>
      </c>
      <c r="C15" s="3">
        <v>3354</v>
      </c>
      <c r="D15" s="3">
        <v>6171</v>
      </c>
      <c r="E15" s="3"/>
      <c r="F15" s="4">
        <v>0.41099999999999998</v>
      </c>
      <c r="G15" s="4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 spans="1:26" ht="15" customHeight="1" x14ac:dyDescent="0.25">
      <c r="A16">
        <v>2006</v>
      </c>
      <c r="B16" s="3">
        <v>109164</v>
      </c>
      <c r="C16" s="3">
        <v>32990</v>
      </c>
      <c r="D16" s="3"/>
      <c r="E16" s="3"/>
      <c r="F16" s="4">
        <v>0.48299999999999998</v>
      </c>
      <c r="G16" s="4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</row>
    <row r="17" spans="1:25" ht="15" customHeight="1" x14ac:dyDescent="0.25">
      <c r="A17">
        <v>200712</v>
      </c>
      <c r="B17" s="3">
        <v>9222</v>
      </c>
      <c r="C17" s="3">
        <v>2097</v>
      </c>
      <c r="D17" s="3"/>
      <c r="E17" s="3"/>
      <c r="F17" s="4">
        <v>0.76400000000000001</v>
      </c>
      <c r="G17" s="4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 spans="1:25" ht="15" customHeight="1" x14ac:dyDescent="0.25">
      <c r="A18">
        <v>2007</v>
      </c>
      <c r="B18" s="3">
        <v>129195</v>
      </c>
      <c r="C18" s="3">
        <v>33356</v>
      </c>
      <c r="D18" s="3"/>
      <c r="E18" s="3"/>
      <c r="F18" s="4">
        <v>0.74299999999999999</v>
      </c>
      <c r="G18" s="4"/>
      <c r="H18" s="3"/>
      <c r="I18" s="3"/>
      <c r="J18" s="3"/>
      <c r="K18" s="3"/>
      <c r="L18" s="10">
        <v>1064.4545454545455</v>
      </c>
      <c r="M18" s="7">
        <f>L18/B18</f>
        <v>8.2391311231436622E-3</v>
      </c>
      <c r="N18" s="3"/>
      <c r="O18" s="3"/>
      <c r="P18" s="3"/>
      <c r="Q18" s="14">
        <f>M18</f>
        <v>8.2391311231436622E-3</v>
      </c>
      <c r="R18" s="3"/>
      <c r="S18" s="3"/>
      <c r="T18" s="3"/>
      <c r="U18" s="3"/>
      <c r="V18" s="3"/>
      <c r="W18" s="3"/>
      <c r="X18" s="3"/>
      <c r="Y18" s="3"/>
    </row>
    <row r="19" spans="1:25" ht="15" customHeight="1" x14ac:dyDescent="0.25">
      <c r="A19">
        <v>200812</v>
      </c>
      <c r="B19" s="3">
        <f>B21-2431</f>
        <v>7819</v>
      </c>
      <c r="C19" s="3">
        <f>C21-1334</f>
        <v>1061</v>
      </c>
      <c r="D19" s="3"/>
      <c r="E19" s="3"/>
      <c r="F19" s="5">
        <v>0.75</v>
      </c>
      <c r="G19" s="5"/>
      <c r="H19" s="3"/>
      <c r="I19" s="3"/>
      <c r="J19" s="3"/>
      <c r="K19" s="3"/>
      <c r="L19" s="3"/>
      <c r="M19" s="14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 spans="1:25" ht="15" customHeight="1" x14ac:dyDescent="0.25">
      <c r="A20">
        <v>2008</v>
      </c>
      <c r="B20" s="3">
        <f>B22+11942</f>
        <v>110617</v>
      </c>
      <c r="C20" s="3">
        <v>27218</v>
      </c>
      <c r="D20" s="3"/>
      <c r="E20" s="3"/>
      <c r="F20" s="4">
        <v>0.72399999999999998</v>
      </c>
      <c r="G20" s="4"/>
      <c r="H20" s="3"/>
      <c r="I20" s="3"/>
      <c r="J20" s="3"/>
      <c r="K20" s="3"/>
      <c r="L20" s="11">
        <v>1976.8441558441561</v>
      </c>
      <c r="M20" s="7">
        <f>L20/B20</f>
        <v>1.7871070051114712E-2</v>
      </c>
      <c r="N20" s="3"/>
      <c r="O20" s="3"/>
      <c r="P20" s="3"/>
      <c r="Q20" s="14">
        <f>M20</f>
        <v>1.7871070051114712E-2</v>
      </c>
      <c r="R20" s="3"/>
      <c r="S20" s="3"/>
      <c r="T20" s="3"/>
      <c r="U20" s="3"/>
      <c r="V20" s="3"/>
      <c r="W20" s="3"/>
      <c r="X20" s="3"/>
      <c r="Y20" s="3"/>
    </row>
    <row r="21" spans="1:25" ht="15" customHeight="1" x14ac:dyDescent="0.25">
      <c r="A21">
        <v>200912</v>
      </c>
      <c r="B21" s="3">
        <v>10250</v>
      </c>
      <c r="C21" s="3">
        <v>2395</v>
      </c>
      <c r="D21" s="3"/>
      <c r="E21" s="3"/>
      <c r="F21" s="4">
        <v>0.81399999999999995</v>
      </c>
      <c r="G21" s="4"/>
      <c r="H21" s="3"/>
      <c r="I21" s="3"/>
      <c r="J21" s="3"/>
      <c r="K21" s="3"/>
      <c r="L21" s="9"/>
      <c r="M21" s="14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 spans="1:25" ht="15" customHeight="1" x14ac:dyDescent="0.25">
      <c r="A22">
        <v>2009</v>
      </c>
      <c r="B22" s="3">
        <v>98675</v>
      </c>
      <c r="C22" s="3">
        <v>25105</v>
      </c>
      <c r="D22" s="3"/>
      <c r="E22" s="3"/>
      <c r="F22" s="4">
        <v>0.72699999999999998</v>
      </c>
      <c r="G22" s="4"/>
      <c r="H22" s="3"/>
      <c r="I22" s="3"/>
      <c r="J22" s="3"/>
      <c r="K22" s="3"/>
      <c r="L22" s="11">
        <v>3446.8051948051952</v>
      </c>
      <c r="M22" s="7">
        <f>L22/B22</f>
        <v>3.4930886190070384E-2</v>
      </c>
      <c r="N22" s="3"/>
      <c r="O22" s="3"/>
      <c r="P22" s="3"/>
      <c r="Q22" s="14">
        <f>M22</f>
        <v>3.4930886190070384E-2</v>
      </c>
      <c r="R22" s="3"/>
      <c r="S22" s="3"/>
      <c r="T22" s="3"/>
      <c r="U22" s="3"/>
      <c r="V22" s="3"/>
      <c r="W22" s="3"/>
      <c r="X22" s="3"/>
      <c r="Y22" s="3"/>
    </row>
    <row r="23" spans="1:25" ht="15" customHeight="1" x14ac:dyDescent="0.25">
      <c r="A23">
        <v>201012</v>
      </c>
      <c r="B23" s="3">
        <v>10136</v>
      </c>
      <c r="C23" s="3">
        <v>1755</v>
      </c>
      <c r="D23" s="3">
        <v>2829</v>
      </c>
      <c r="E23" s="3"/>
      <c r="F23" s="4">
        <v>0.78800000000000003</v>
      </c>
      <c r="G23" s="4"/>
      <c r="H23" s="3"/>
      <c r="I23" s="3"/>
      <c r="J23" s="3"/>
      <c r="K23" s="3"/>
      <c r="L23" s="9"/>
      <c r="M23" s="14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>
        <v>303</v>
      </c>
    </row>
    <row r="24" spans="1:25" ht="15" customHeight="1" x14ac:dyDescent="0.25">
      <c r="A24">
        <v>2010</v>
      </c>
      <c r="B24" s="3">
        <f>B26-10591</f>
        <v>127754</v>
      </c>
      <c r="C24" s="3">
        <f>C26+1945</f>
        <v>29014</v>
      </c>
      <c r="D24" s="3"/>
      <c r="E24" s="3"/>
      <c r="F24" s="4">
        <v>0.749</v>
      </c>
      <c r="G24" s="4"/>
      <c r="H24" s="3"/>
      <c r="I24" s="3"/>
      <c r="J24" s="3"/>
      <c r="K24" s="3"/>
      <c r="L24" s="11">
        <v>2483.727272727273</v>
      </c>
      <c r="M24" s="7">
        <f>L24/B24</f>
        <v>1.9441483419127957E-2</v>
      </c>
      <c r="N24" s="3"/>
      <c r="O24" s="3"/>
      <c r="P24" s="3"/>
      <c r="Q24" s="14">
        <f t="shared" ref="Q24:Q29" si="0">M24</f>
        <v>1.9441483419127957E-2</v>
      </c>
      <c r="R24" s="12">
        <v>680</v>
      </c>
      <c r="S24" s="14">
        <f>R24/B24</f>
        <v>5.3227296209903407E-3</v>
      </c>
      <c r="T24" s="3"/>
      <c r="U24" s="3"/>
      <c r="V24" s="3"/>
      <c r="W24" s="3"/>
      <c r="X24" s="3"/>
      <c r="Y24" s="3"/>
    </row>
    <row r="25" spans="1:25" ht="15" customHeight="1" x14ac:dyDescent="0.25">
      <c r="A25">
        <v>201112</v>
      </c>
      <c r="B25" s="3">
        <v>11550</v>
      </c>
      <c r="C25" s="3">
        <v>1699</v>
      </c>
      <c r="D25" s="3">
        <v>3995</v>
      </c>
      <c r="E25" s="3"/>
      <c r="F25" s="4">
        <v>0.79800000000000004</v>
      </c>
      <c r="G25" s="4"/>
      <c r="H25" s="3"/>
      <c r="I25" s="3"/>
      <c r="J25" s="3"/>
      <c r="K25" s="3"/>
      <c r="L25" s="3">
        <f>L27-152</f>
        <v>160</v>
      </c>
      <c r="M25" s="14">
        <v>1.2999999999999999E-2</v>
      </c>
      <c r="N25" s="3"/>
      <c r="O25" s="3"/>
      <c r="P25" s="3"/>
      <c r="Q25" s="14">
        <f t="shared" si="0"/>
        <v>1.2999999999999999E-2</v>
      </c>
      <c r="R25" s="3">
        <v>228</v>
      </c>
      <c r="S25" s="14">
        <v>0.02</v>
      </c>
      <c r="T25" s="3"/>
      <c r="U25" s="3"/>
      <c r="V25" s="3">
        <v>2</v>
      </c>
      <c r="W25" s="3"/>
      <c r="X25" s="3"/>
      <c r="Y25" s="3"/>
    </row>
    <row r="26" spans="1:25" ht="15" customHeight="1" x14ac:dyDescent="0.25">
      <c r="A26">
        <v>2011</v>
      </c>
      <c r="B26" s="3">
        <v>138345</v>
      </c>
      <c r="C26" s="3">
        <v>27069</v>
      </c>
      <c r="D26" s="3">
        <v>35512</v>
      </c>
      <c r="E26" s="3"/>
      <c r="F26" s="4">
        <v>0.75700000000000001</v>
      </c>
      <c r="G26" s="4"/>
      <c r="H26" s="3"/>
      <c r="I26" s="3"/>
      <c r="J26" s="3"/>
      <c r="K26" s="3"/>
      <c r="L26" s="3">
        <v>3903</v>
      </c>
      <c r="M26" s="7">
        <f>L26/B26</f>
        <v>2.8212078499403666E-2</v>
      </c>
      <c r="N26" s="3"/>
      <c r="O26" s="3"/>
      <c r="P26" s="3"/>
      <c r="Q26" s="14">
        <f t="shared" si="0"/>
        <v>2.8212078499403666E-2</v>
      </c>
      <c r="R26" s="3">
        <v>1996</v>
      </c>
      <c r="S26" s="7">
        <f>R26/B26</f>
        <v>1.4427698868770104E-2</v>
      </c>
      <c r="T26" s="3"/>
      <c r="U26" s="3"/>
      <c r="V26" s="3">
        <v>42</v>
      </c>
      <c r="W26" s="3"/>
      <c r="X26" s="3"/>
      <c r="Y26" s="3"/>
    </row>
    <row r="27" spans="1:25" ht="15" customHeight="1" x14ac:dyDescent="0.25">
      <c r="A27">
        <v>201212</v>
      </c>
      <c r="B27" s="3">
        <v>9369</v>
      </c>
      <c r="C27" s="3">
        <v>1856</v>
      </c>
      <c r="D27" s="3">
        <v>2611</v>
      </c>
      <c r="E27" s="3"/>
      <c r="F27" s="4">
        <v>0.64500000000000002</v>
      </c>
      <c r="G27" s="4"/>
      <c r="H27" s="3"/>
      <c r="I27" s="3"/>
      <c r="J27" s="3"/>
      <c r="K27" s="3"/>
      <c r="L27" s="3">
        <v>312</v>
      </c>
      <c r="M27" s="14">
        <v>3.3000000000000002E-2</v>
      </c>
      <c r="N27" s="3"/>
      <c r="O27" s="3"/>
      <c r="P27" s="3"/>
      <c r="Q27" s="14">
        <f t="shared" si="0"/>
        <v>3.3000000000000002E-2</v>
      </c>
      <c r="R27" s="3">
        <v>232</v>
      </c>
      <c r="S27" s="14">
        <v>2.5000000000000001E-2</v>
      </c>
      <c r="T27" s="3"/>
      <c r="U27" s="3"/>
      <c r="V27" s="3">
        <v>32</v>
      </c>
      <c r="W27" s="3"/>
      <c r="X27" s="3"/>
      <c r="Y27" s="3">
        <v>57</v>
      </c>
    </row>
    <row r="28" spans="1:25" ht="15" customHeight="1" x14ac:dyDescent="0.25">
      <c r="A28">
        <v>2012</v>
      </c>
      <c r="B28" s="3">
        <v>137967</v>
      </c>
      <c r="C28" s="3">
        <v>30566</v>
      </c>
      <c r="D28" s="3">
        <v>31850</v>
      </c>
      <c r="E28" s="3"/>
      <c r="F28" s="4">
        <v>0.64300000000000002</v>
      </c>
      <c r="G28" s="4"/>
      <c r="H28" s="3"/>
      <c r="I28" s="3"/>
      <c r="J28" s="3"/>
      <c r="K28" s="3"/>
      <c r="L28" s="3">
        <v>6164</v>
      </c>
      <c r="M28" s="7">
        <f>L28/B28</f>
        <v>4.4677350380888187E-2</v>
      </c>
      <c r="N28" s="3"/>
      <c r="O28" s="3"/>
      <c r="P28" s="3"/>
      <c r="Q28" s="14">
        <f t="shared" si="0"/>
        <v>4.4677350380888187E-2</v>
      </c>
      <c r="R28" s="3">
        <v>3950</v>
      </c>
      <c r="S28" s="7">
        <f>R28/B28</f>
        <v>2.8630034718447165E-2</v>
      </c>
      <c r="T28" s="3"/>
      <c r="U28" s="8"/>
      <c r="V28" s="3">
        <v>59</v>
      </c>
      <c r="W28" s="3"/>
      <c r="X28" s="3"/>
      <c r="Y28" s="3"/>
    </row>
    <row r="29" spans="1:25" ht="15" customHeight="1" x14ac:dyDescent="0.25">
      <c r="A29">
        <v>201312</v>
      </c>
      <c r="B29" s="3">
        <v>11395</v>
      </c>
      <c r="C29" s="3">
        <v>1361</v>
      </c>
      <c r="D29" s="3">
        <v>3210</v>
      </c>
      <c r="E29" s="3"/>
      <c r="F29" s="4">
        <v>0.56699999999999995</v>
      </c>
      <c r="G29" s="4"/>
      <c r="H29" s="3"/>
      <c r="I29" s="3"/>
      <c r="J29" s="3"/>
      <c r="K29" s="3"/>
      <c r="L29" s="3">
        <v>513</v>
      </c>
      <c r="M29" s="14">
        <v>4.4999999999999998E-2</v>
      </c>
      <c r="N29" s="3"/>
      <c r="O29" s="3"/>
      <c r="P29" s="3"/>
      <c r="Q29" s="14">
        <f t="shared" si="0"/>
        <v>4.4999999999999998E-2</v>
      </c>
      <c r="R29" s="3">
        <v>1273</v>
      </c>
      <c r="S29" s="14">
        <v>0.112</v>
      </c>
      <c r="T29" s="3"/>
      <c r="U29" s="3"/>
      <c r="V29" s="3">
        <v>175</v>
      </c>
      <c r="W29" s="3"/>
      <c r="X29" s="3">
        <v>563</v>
      </c>
      <c r="Y29" s="3">
        <v>169</v>
      </c>
    </row>
    <row r="30" spans="1:25" ht="15" customHeight="1" x14ac:dyDescent="0.25">
      <c r="A30">
        <v>2013</v>
      </c>
      <c r="B30" s="3">
        <v>142151</v>
      </c>
      <c r="C30" s="3">
        <v>30312</v>
      </c>
      <c r="D30" s="3">
        <v>30859</v>
      </c>
      <c r="E30" s="3"/>
      <c r="F30" s="4">
        <v>0.52800000000000002</v>
      </c>
      <c r="G30" s="4"/>
      <c r="H30" s="3"/>
      <c r="I30" s="3"/>
      <c r="J30" s="3"/>
      <c r="K30" s="3"/>
      <c r="L30" s="3">
        <v>9788</v>
      </c>
      <c r="M30" s="14">
        <v>6.9000000000000006E-2</v>
      </c>
      <c r="N30" s="3">
        <v>328</v>
      </c>
      <c r="O30" s="7">
        <f t="shared" ref="O30:O61" si="1">N30/B30</f>
        <v>2.3074055054132579E-3</v>
      </c>
      <c r="P30" s="3"/>
      <c r="Q30" s="14">
        <f t="shared" ref="Q30:Q61" si="2">M30-O30</f>
        <v>6.6692594494586754E-2</v>
      </c>
      <c r="R30" s="3">
        <v>7885</v>
      </c>
      <c r="S30" s="7">
        <f>R30/B30</f>
        <v>5.5469184177388831E-2</v>
      </c>
      <c r="T30" s="3">
        <v>3</v>
      </c>
      <c r="U30" s="3">
        <v>2086</v>
      </c>
      <c r="V30" s="3">
        <v>340</v>
      </c>
      <c r="W30" s="3"/>
      <c r="X30" s="3">
        <v>4750</v>
      </c>
      <c r="Y30" s="3">
        <f>Y31+244</f>
        <v>1259</v>
      </c>
    </row>
    <row r="31" spans="1:25" ht="15" customHeight="1" x14ac:dyDescent="0.25">
      <c r="A31">
        <v>2014</v>
      </c>
      <c r="B31" s="3">
        <v>144202</v>
      </c>
      <c r="C31" s="3">
        <v>24757</v>
      </c>
      <c r="D31" s="3">
        <v>29611</v>
      </c>
      <c r="E31" s="3"/>
      <c r="F31" s="4">
        <v>0.48799999999999999</v>
      </c>
      <c r="G31" s="4"/>
      <c r="H31" s="3"/>
      <c r="I31" s="3"/>
      <c r="J31" s="3"/>
      <c r="K31" s="3"/>
      <c r="L31" s="3">
        <v>11565</v>
      </c>
      <c r="M31" s="14">
        <v>0.08</v>
      </c>
      <c r="N31" s="3">
        <v>1678</v>
      </c>
      <c r="O31" s="7">
        <f t="shared" si="1"/>
        <v>1.1636454418107931E-2</v>
      </c>
      <c r="P31" s="3"/>
      <c r="Q31" s="14">
        <f t="shared" si="2"/>
        <v>6.8363545581892074E-2</v>
      </c>
      <c r="R31" s="3">
        <v>18094</v>
      </c>
      <c r="S31" s="7">
        <f>R31/B31</f>
        <v>0.12547676176474667</v>
      </c>
      <c r="T31" s="3">
        <v>4</v>
      </c>
      <c r="U31" s="3">
        <v>3063</v>
      </c>
      <c r="V31" s="3">
        <v>555</v>
      </c>
      <c r="W31" s="3"/>
      <c r="X31" s="3">
        <v>4743</v>
      </c>
      <c r="Y31" s="3">
        <v>1015</v>
      </c>
    </row>
    <row r="32" spans="1:25" x14ac:dyDescent="0.25">
      <c r="A32">
        <v>201501</v>
      </c>
      <c r="B32">
        <f>B44-468</f>
        <v>10523</v>
      </c>
      <c r="C32">
        <f>C44+406</f>
        <v>1625</v>
      </c>
      <c r="D32">
        <f>D44+379</f>
        <v>2268</v>
      </c>
      <c r="F32" s="1">
        <v>0.437</v>
      </c>
      <c r="G32" s="1"/>
      <c r="H32" s="1"/>
      <c r="I32" s="1"/>
      <c r="J32" s="1"/>
      <c r="K32" s="1"/>
      <c r="L32">
        <f>L44-877</f>
        <v>1115</v>
      </c>
      <c r="M32" s="13">
        <v>0.106</v>
      </c>
      <c r="N32">
        <v>330</v>
      </c>
      <c r="O32" s="7">
        <f t="shared" si="1"/>
        <v>3.1359878361683934E-2</v>
      </c>
      <c r="Q32" s="14">
        <f t="shared" si="2"/>
        <v>7.464012163831607E-2</v>
      </c>
      <c r="R32">
        <f>R44-11</f>
        <v>1895</v>
      </c>
      <c r="S32" s="13">
        <v>0.18</v>
      </c>
      <c r="U32">
        <f>U44-138</f>
        <v>266</v>
      </c>
      <c r="V32">
        <v>38</v>
      </c>
      <c r="W32">
        <v>3</v>
      </c>
      <c r="X32">
        <v>378</v>
      </c>
      <c r="Y32">
        <f>Y44+21</f>
        <v>60</v>
      </c>
    </row>
    <row r="33" spans="1:25" x14ac:dyDescent="0.25">
      <c r="A33">
        <v>201502</v>
      </c>
      <c r="B33">
        <f>B45-1537</f>
        <v>10685</v>
      </c>
      <c r="C33">
        <f>C45+406</f>
        <v>1639</v>
      </c>
      <c r="D33">
        <f>D45-18</f>
        <v>2468</v>
      </c>
      <c r="F33" s="1">
        <v>0.434</v>
      </c>
      <c r="G33" s="1"/>
      <c r="H33" s="1"/>
      <c r="I33" s="1"/>
      <c r="J33" s="1"/>
      <c r="K33" s="1"/>
      <c r="L33">
        <f>L45-1675</f>
        <v>1119</v>
      </c>
      <c r="M33" s="7">
        <f>L33/B33</f>
        <v>0.10472625175479644</v>
      </c>
      <c r="N33">
        <v>219</v>
      </c>
      <c r="O33" s="7">
        <f t="shared" si="1"/>
        <v>2.0496022461394477E-2</v>
      </c>
      <c r="Q33" s="14">
        <f t="shared" si="2"/>
        <v>8.4230229293401959E-2</v>
      </c>
      <c r="R33">
        <f>R45-8</f>
        <v>1919</v>
      </c>
      <c r="S33" s="13">
        <v>0.18</v>
      </c>
      <c r="U33">
        <f>U45-94</f>
        <v>277</v>
      </c>
      <c r="V33">
        <v>30</v>
      </c>
      <c r="W33">
        <v>3</v>
      </c>
    </row>
    <row r="34" spans="1:25" x14ac:dyDescent="0.25">
      <c r="A34">
        <v>201503</v>
      </c>
      <c r="B34">
        <f>B46+284</f>
        <v>14159</v>
      </c>
      <c r="C34">
        <f>C46+803</f>
        <v>2056</v>
      </c>
      <c r="D34">
        <f>D46+92</f>
        <v>2870</v>
      </c>
      <c r="F34" s="1">
        <v>0.41599999999999998</v>
      </c>
      <c r="G34" s="1"/>
      <c r="H34" s="1"/>
      <c r="L34">
        <f>L46-1993</f>
        <v>1403</v>
      </c>
      <c r="M34" s="13">
        <v>9.9000000000000005E-2</v>
      </c>
      <c r="N34">
        <v>361</v>
      </c>
      <c r="O34" s="7">
        <f t="shared" si="1"/>
        <v>2.5496150858111449E-2</v>
      </c>
      <c r="Q34" s="14">
        <f t="shared" si="2"/>
        <v>7.3503849141888553E-2</v>
      </c>
      <c r="R34">
        <f>R46+794</f>
        <v>3391</v>
      </c>
      <c r="S34" s="13">
        <v>0.23899999999999999</v>
      </c>
      <c r="U34">
        <f>U46-145</f>
        <v>320</v>
      </c>
      <c r="V34">
        <v>73</v>
      </c>
      <c r="W34">
        <v>1</v>
      </c>
    </row>
    <row r="35" spans="1:25" x14ac:dyDescent="0.25">
      <c r="A35">
        <v>201504</v>
      </c>
      <c r="B35">
        <f>B47-1334</f>
        <v>12782</v>
      </c>
      <c r="C35">
        <f>C47+361</f>
        <v>1812</v>
      </c>
      <c r="D35">
        <f>D47-234</f>
        <v>2887</v>
      </c>
      <c r="F35" s="2"/>
      <c r="G35" s="2"/>
      <c r="H35" s="2"/>
      <c r="K35" s="13">
        <v>0.36</v>
      </c>
      <c r="L35">
        <f>L47-1996</f>
        <v>1554</v>
      </c>
      <c r="M35" s="13">
        <v>0.122</v>
      </c>
      <c r="N35">
        <v>584</v>
      </c>
      <c r="O35" s="7">
        <f t="shared" si="1"/>
        <v>4.5689250508527617E-2</v>
      </c>
      <c r="Q35" s="14">
        <f t="shared" si="2"/>
        <v>7.6310749491472374E-2</v>
      </c>
      <c r="R35">
        <f>R47-16</f>
        <v>1977</v>
      </c>
      <c r="S35" s="13">
        <v>0.155</v>
      </c>
      <c r="U35">
        <f>U47-15</f>
        <v>418</v>
      </c>
      <c r="V35">
        <v>33</v>
      </c>
      <c r="W35">
        <v>1</v>
      </c>
    </row>
    <row r="36" spans="1:25" x14ac:dyDescent="0.25">
      <c r="A36">
        <v>201505</v>
      </c>
      <c r="B36">
        <f>B48-828</f>
        <v>12036</v>
      </c>
      <c r="C36">
        <f>C48-423</f>
        <v>1009</v>
      </c>
      <c r="D36">
        <f>D48+89</f>
        <v>2684</v>
      </c>
      <c r="F36" s="1">
        <v>0.41599999999999998</v>
      </c>
      <c r="G36" s="1"/>
      <c r="H36" s="1"/>
      <c r="I36" s="1">
        <v>0.58399999999999996</v>
      </c>
      <c r="J36" s="1"/>
      <c r="K36" s="13"/>
      <c r="L36">
        <f>L48-1764</f>
        <v>1685</v>
      </c>
      <c r="M36" s="13">
        <v>0.14000000000000001</v>
      </c>
      <c r="N36">
        <v>806</v>
      </c>
      <c r="O36" s="7">
        <f t="shared" si="1"/>
        <v>6.6965769358590888E-2</v>
      </c>
      <c r="Q36" s="14">
        <f t="shared" si="2"/>
        <v>7.3034230641409126E-2</v>
      </c>
      <c r="R36">
        <f>R48+445</f>
        <v>1868</v>
      </c>
      <c r="S36" s="13">
        <v>0.155</v>
      </c>
      <c r="U36">
        <f>U48-206</f>
        <v>260</v>
      </c>
      <c r="V36">
        <v>48</v>
      </c>
      <c r="W36">
        <v>5</v>
      </c>
      <c r="X36">
        <v>398</v>
      </c>
      <c r="Y36">
        <f>Y49-13</f>
        <v>100</v>
      </c>
    </row>
    <row r="37" spans="1:25" x14ac:dyDescent="0.25">
      <c r="A37">
        <v>201506</v>
      </c>
      <c r="B37">
        <f>B49-526</f>
        <v>13155</v>
      </c>
      <c r="C37">
        <f>C49+494</f>
        <v>2006</v>
      </c>
      <c r="D37">
        <f>D49-312</f>
        <v>2599</v>
      </c>
      <c r="F37" s="1">
        <v>0.40500000000000003</v>
      </c>
      <c r="G37" s="1"/>
      <c r="H37" s="1"/>
      <c r="K37" s="13">
        <v>0.28000000000000003</v>
      </c>
      <c r="L37">
        <f>L49-1239</f>
        <v>1935</v>
      </c>
      <c r="M37" s="13">
        <v>0.13600000000000001</v>
      </c>
      <c r="N37">
        <v>987</v>
      </c>
      <c r="O37" s="7">
        <f t="shared" si="1"/>
        <v>7.5028506271379705E-2</v>
      </c>
      <c r="Q37" s="14">
        <f t="shared" si="2"/>
        <v>6.0971493728620305E-2</v>
      </c>
      <c r="R37">
        <f>R49+712</f>
        <v>2618</v>
      </c>
      <c r="S37" s="13">
        <v>0.184</v>
      </c>
      <c r="U37">
        <f>U49-154</f>
        <v>286</v>
      </c>
      <c r="V37">
        <v>57</v>
      </c>
      <c r="W37">
        <v>2</v>
      </c>
    </row>
    <row r="38" spans="1:25" x14ac:dyDescent="0.25">
      <c r="A38">
        <v>201507</v>
      </c>
      <c r="B38">
        <f>B50+1354</f>
        <v>12394</v>
      </c>
      <c r="C38">
        <f>C50+885</f>
        <v>2286</v>
      </c>
      <c r="D38">
        <f>D50-116</f>
        <v>2085</v>
      </c>
      <c r="F38" s="1">
        <v>0.40400000000000003</v>
      </c>
      <c r="G38" s="1"/>
      <c r="H38" s="13">
        <v>0.39700000000000002</v>
      </c>
      <c r="I38" s="1">
        <v>0.45300000000000001</v>
      </c>
      <c r="J38" s="1"/>
      <c r="K38" s="13">
        <v>0.33300000000000002</v>
      </c>
      <c r="L38">
        <f>L50-1333</f>
        <v>1584</v>
      </c>
      <c r="M38" s="13">
        <v>0.128</v>
      </c>
      <c r="N38">
        <v>776</v>
      </c>
      <c r="O38" s="7">
        <f t="shared" si="1"/>
        <v>6.2610940777795707E-2</v>
      </c>
      <c r="Q38" s="14">
        <f t="shared" si="2"/>
        <v>6.5389059222204296E-2</v>
      </c>
      <c r="R38">
        <f>R50+661</f>
        <v>1764</v>
      </c>
      <c r="S38" s="13">
        <v>0.14199999999999999</v>
      </c>
      <c r="U38">
        <f>U50+27</f>
        <v>369</v>
      </c>
      <c r="V38">
        <f>V50+5</f>
        <v>35</v>
      </c>
      <c r="W38">
        <f>W50-7</f>
        <v>1</v>
      </c>
      <c r="X38">
        <v>271</v>
      </c>
      <c r="Y38">
        <f>Y50-58</f>
        <v>109</v>
      </c>
    </row>
    <row r="39" spans="1:25" x14ac:dyDescent="0.25">
      <c r="A39">
        <v>201508</v>
      </c>
      <c r="B39">
        <f>B51-638</f>
        <v>12594</v>
      </c>
      <c r="C39">
        <f>C51+513</f>
        <v>1998</v>
      </c>
      <c r="D39">
        <f>D51-1002</f>
        <v>2554</v>
      </c>
      <c r="F39" s="1">
        <v>0.38500000000000001</v>
      </c>
      <c r="G39" s="1"/>
      <c r="H39" s="13">
        <v>0.38100000000000001</v>
      </c>
      <c r="I39" s="1">
        <v>0.443</v>
      </c>
      <c r="J39" s="1"/>
      <c r="K39" s="13">
        <v>0.33900000000000002</v>
      </c>
      <c r="L39">
        <f>L51-2316</f>
        <v>1360</v>
      </c>
      <c r="M39" s="13">
        <v>0.108</v>
      </c>
      <c r="N39">
        <v>468</v>
      </c>
      <c r="O39" s="7">
        <f t="shared" si="1"/>
        <v>3.7160552644116246E-2</v>
      </c>
      <c r="Q39" s="14">
        <f t="shared" si="2"/>
        <v>7.0839447355883753E-2</v>
      </c>
      <c r="R39">
        <f>R51+152</f>
        <v>2166</v>
      </c>
      <c r="S39" s="13">
        <v>0.17199999999999999</v>
      </c>
      <c r="U39">
        <f>U51+78</f>
        <v>572</v>
      </c>
      <c r="V39">
        <f>V51-22</f>
        <v>28</v>
      </c>
      <c r="W39">
        <f>W51-11</f>
        <v>3</v>
      </c>
      <c r="X39">
        <v>340</v>
      </c>
      <c r="Y39">
        <f>Y51-9</f>
        <v>44</v>
      </c>
    </row>
    <row r="40" spans="1:25" x14ac:dyDescent="0.25">
      <c r="A40">
        <v>201509</v>
      </c>
      <c r="B40">
        <f>B52-1433</f>
        <v>12421</v>
      </c>
      <c r="C40">
        <f>C52+372</f>
        <v>1898</v>
      </c>
      <c r="D40">
        <f>D52-393</f>
        <v>2450</v>
      </c>
      <c r="E40" s="2">
        <f t="shared" ref="E40:E71" si="3">H40+K40+M40+S40</f>
        <v>0.999</v>
      </c>
      <c r="F40" s="1">
        <v>0.39900000000000002</v>
      </c>
      <c r="G40" s="1"/>
      <c r="H40" s="13">
        <v>0.39200000000000002</v>
      </c>
      <c r="I40" s="1">
        <v>0.42799999999999999</v>
      </c>
      <c r="J40" s="1"/>
      <c r="K40" s="13">
        <v>0.31</v>
      </c>
      <c r="L40">
        <f>L52-2425</f>
        <v>1566</v>
      </c>
      <c r="M40" s="13">
        <v>0.126</v>
      </c>
      <c r="N40">
        <v>528</v>
      </c>
      <c r="O40" s="7">
        <f t="shared" si="1"/>
        <v>4.2508654697689399E-2</v>
      </c>
      <c r="Q40" s="14">
        <f t="shared" si="2"/>
        <v>8.3491345302310602E-2</v>
      </c>
      <c r="R40">
        <f>R52-499</f>
        <v>2130</v>
      </c>
      <c r="S40" s="13">
        <v>0.17100000000000001</v>
      </c>
      <c r="U40">
        <f>U52+53</f>
        <v>570</v>
      </c>
      <c r="V40">
        <f>V52+1</f>
        <v>37</v>
      </c>
      <c r="W40">
        <f>W52-21</f>
        <v>3</v>
      </c>
      <c r="X40">
        <v>424</v>
      </c>
      <c r="Y40">
        <f>Y52-9</f>
        <v>36</v>
      </c>
    </row>
    <row r="41" spans="1:25" x14ac:dyDescent="0.25">
      <c r="A41">
        <v>201510</v>
      </c>
      <c r="B41">
        <f>B53+1265</f>
        <v>13197</v>
      </c>
      <c r="C41">
        <f>C53+443</f>
        <v>1808</v>
      </c>
      <c r="D41">
        <f>D53+28</f>
        <v>2892</v>
      </c>
      <c r="E41" s="2">
        <f t="shared" si="3"/>
        <v>1</v>
      </c>
      <c r="F41" s="1">
        <v>0.40400000000000003</v>
      </c>
      <c r="G41" s="1"/>
      <c r="H41" s="13">
        <v>0.39600000000000002</v>
      </c>
      <c r="I41" s="2">
        <v>0.44</v>
      </c>
      <c r="J41" s="2"/>
      <c r="K41" s="13">
        <v>0.29699999999999999</v>
      </c>
      <c r="L41" s="15">
        <f>B41*M41</f>
        <v>2005.944</v>
      </c>
      <c r="M41" s="13">
        <f>100%-H41-K41-S41</f>
        <v>0.152</v>
      </c>
      <c r="N41">
        <v>945</v>
      </c>
      <c r="O41" s="7">
        <f t="shared" si="1"/>
        <v>7.1607183450784276E-2</v>
      </c>
      <c r="Q41" s="14">
        <f t="shared" si="2"/>
        <v>8.039281654921572E-2</v>
      </c>
      <c r="R41">
        <f>R53+184</f>
        <v>2045</v>
      </c>
      <c r="S41" s="13">
        <v>0.155</v>
      </c>
      <c r="U41">
        <f>U53+260</f>
        <v>746</v>
      </c>
      <c r="V41">
        <f>V53-16</f>
        <v>40</v>
      </c>
      <c r="W41">
        <f>W53-1</f>
        <v>9</v>
      </c>
      <c r="X41">
        <v>417</v>
      </c>
      <c r="Y41">
        <f>Y53-29</f>
        <v>35</v>
      </c>
    </row>
    <row r="42" spans="1:25" x14ac:dyDescent="0.25">
      <c r="A42">
        <v>201511</v>
      </c>
      <c r="B42">
        <f>B54-594</f>
        <v>12600</v>
      </c>
      <c r="C42">
        <f>C54+233</f>
        <v>1538</v>
      </c>
      <c r="D42">
        <f>D54-400</f>
        <v>3032</v>
      </c>
      <c r="E42" s="2">
        <f t="shared" si="3"/>
        <v>1</v>
      </c>
      <c r="F42" s="1">
        <v>0.40500000000000003</v>
      </c>
      <c r="G42" s="1"/>
      <c r="H42" s="13">
        <v>0.39600000000000002</v>
      </c>
      <c r="I42" s="1">
        <v>0.436</v>
      </c>
      <c r="J42" s="1"/>
      <c r="K42" s="13">
        <v>0.28699999999999998</v>
      </c>
      <c r="L42" s="15">
        <f>B42*M42</f>
        <v>1953</v>
      </c>
      <c r="M42" s="13">
        <f>100%-H42-K42-S42</f>
        <v>0.155</v>
      </c>
      <c r="N42">
        <v>1062</v>
      </c>
      <c r="O42" s="7">
        <f t="shared" si="1"/>
        <v>8.4285714285714283E-2</v>
      </c>
      <c r="Q42" s="14">
        <f t="shared" si="2"/>
        <v>7.0714285714285716E-2</v>
      </c>
      <c r="R42">
        <f>R54-527</f>
        <v>2040</v>
      </c>
      <c r="S42" s="13">
        <v>0.16200000000000001</v>
      </c>
      <c r="U42">
        <f>U54+159</f>
        <v>661</v>
      </c>
      <c r="V42">
        <f>V54+108</f>
        <v>167</v>
      </c>
      <c r="W42">
        <f>W54</f>
        <v>8</v>
      </c>
      <c r="X42">
        <v>388</v>
      </c>
      <c r="Y42">
        <f>Y54+17</f>
        <v>48</v>
      </c>
    </row>
    <row r="43" spans="1:25" x14ac:dyDescent="0.25">
      <c r="A43">
        <v>201512</v>
      </c>
      <c r="B43">
        <f>B55-524</f>
        <v>13078</v>
      </c>
      <c r="C43">
        <f>C55+96</f>
        <v>1233</v>
      </c>
      <c r="D43">
        <f>D55-867</f>
        <v>4465</v>
      </c>
      <c r="E43" s="2">
        <f t="shared" si="3"/>
        <v>1</v>
      </c>
      <c r="F43" s="1">
        <v>0.42499999999999999</v>
      </c>
      <c r="G43" s="1"/>
      <c r="H43" s="13">
        <v>0.41399999999999998</v>
      </c>
      <c r="I43" s="1">
        <v>0.42299999999999999</v>
      </c>
      <c r="J43" s="1"/>
      <c r="K43" s="13">
        <v>0.32300000000000001</v>
      </c>
      <c r="L43" s="15">
        <f>B43*M43</f>
        <v>1464.736000000001</v>
      </c>
      <c r="M43" s="13">
        <f>100%-H43-K43-S43</f>
        <v>0.11200000000000007</v>
      </c>
      <c r="N43">
        <v>822</v>
      </c>
      <c r="O43" s="7">
        <f t="shared" si="1"/>
        <v>6.2853647346689093E-2</v>
      </c>
      <c r="Q43" s="14">
        <f t="shared" si="2"/>
        <v>4.9146352653310979E-2</v>
      </c>
      <c r="R43">
        <f>R55-341</f>
        <v>1978</v>
      </c>
      <c r="S43" s="13">
        <v>0.151</v>
      </c>
      <c r="U43">
        <f>U55+152</f>
        <v>513</v>
      </c>
      <c r="V43">
        <f>V55+40</f>
        <v>101</v>
      </c>
      <c r="W43">
        <f>W55-7</f>
        <v>1</v>
      </c>
      <c r="X43">
        <v>252</v>
      </c>
      <c r="Y43">
        <f>Y55+84</f>
        <v>194</v>
      </c>
    </row>
    <row r="44" spans="1:25" x14ac:dyDescent="0.25">
      <c r="A44">
        <v>201601</v>
      </c>
      <c r="B44">
        <v>10991</v>
      </c>
      <c r="C44">
        <v>1219</v>
      </c>
      <c r="D44">
        <v>1889</v>
      </c>
      <c r="E44" s="2">
        <f t="shared" si="3"/>
        <v>0.35399999999999998</v>
      </c>
      <c r="F44" s="2">
        <v>0.38</v>
      </c>
      <c r="G44" s="2"/>
      <c r="H44" s="13"/>
      <c r="K44" s="13"/>
      <c r="L44">
        <v>1992</v>
      </c>
      <c r="M44" s="13">
        <v>0.18099999999999999</v>
      </c>
      <c r="N44">
        <v>897</v>
      </c>
      <c r="O44" s="7">
        <f t="shared" si="1"/>
        <v>8.1612228186698207E-2</v>
      </c>
      <c r="Q44" s="14">
        <f t="shared" si="2"/>
        <v>9.9387771813301787E-2</v>
      </c>
      <c r="R44">
        <v>1906</v>
      </c>
      <c r="S44" s="13">
        <v>0.17299999999999999</v>
      </c>
      <c r="T44">
        <v>1</v>
      </c>
      <c r="U44">
        <v>404</v>
      </c>
      <c r="V44">
        <v>62</v>
      </c>
      <c r="W44">
        <v>6</v>
      </c>
      <c r="X44">
        <v>429</v>
      </c>
      <c r="Y44">
        <v>39</v>
      </c>
    </row>
    <row r="45" spans="1:25" x14ac:dyDescent="0.25">
      <c r="A45">
        <v>201602</v>
      </c>
      <c r="B45">
        <v>12222</v>
      </c>
      <c r="C45">
        <v>1233</v>
      </c>
      <c r="D45">
        <v>2486</v>
      </c>
      <c r="E45" s="2">
        <f t="shared" si="3"/>
        <v>1.0010000000000001</v>
      </c>
      <c r="F45" s="1">
        <v>0.34200000000000003</v>
      </c>
      <c r="G45" s="1"/>
      <c r="H45" s="13">
        <v>0.34200000000000003</v>
      </c>
      <c r="K45" s="13">
        <v>0.27200000000000002</v>
      </c>
      <c r="L45">
        <v>2794</v>
      </c>
      <c r="M45" s="13">
        <v>0.22900000000000001</v>
      </c>
      <c r="N45">
        <v>1563</v>
      </c>
      <c r="O45" s="7">
        <f t="shared" si="1"/>
        <v>0.12788414334806086</v>
      </c>
      <c r="Q45" s="14">
        <f t="shared" si="2"/>
        <v>0.10111585665193915</v>
      </c>
      <c r="R45">
        <v>1927</v>
      </c>
      <c r="S45" s="13">
        <v>0.158</v>
      </c>
      <c r="T45">
        <v>2</v>
      </c>
      <c r="U45">
        <v>371</v>
      </c>
      <c r="V45">
        <v>67</v>
      </c>
      <c r="W45">
        <v>10</v>
      </c>
    </row>
    <row r="46" spans="1:25" x14ac:dyDescent="0.25">
      <c r="A46">
        <v>201603</v>
      </c>
      <c r="B46">
        <v>13875</v>
      </c>
      <c r="C46">
        <v>1253</v>
      </c>
      <c r="D46">
        <v>2778</v>
      </c>
      <c r="E46" s="2">
        <f t="shared" si="3"/>
        <v>1</v>
      </c>
      <c r="F46" s="1">
        <v>0.30099999999999999</v>
      </c>
      <c r="G46" s="1"/>
      <c r="H46" s="13">
        <v>0.29499999999999998</v>
      </c>
      <c r="K46" s="13">
        <v>0.27300000000000002</v>
      </c>
      <c r="L46">
        <v>3396</v>
      </c>
      <c r="M46" s="13">
        <v>0.245</v>
      </c>
      <c r="N46">
        <v>2051</v>
      </c>
      <c r="O46" s="7">
        <f t="shared" si="1"/>
        <v>0.14781981981981981</v>
      </c>
      <c r="Q46" s="14">
        <f t="shared" si="2"/>
        <v>9.7180180180180181E-2</v>
      </c>
      <c r="R46">
        <v>2597</v>
      </c>
      <c r="S46" s="13">
        <v>0.187</v>
      </c>
      <c r="T46">
        <v>2</v>
      </c>
      <c r="U46">
        <v>465</v>
      </c>
      <c r="V46">
        <v>68</v>
      </c>
      <c r="W46">
        <v>4</v>
      </c>
    </row>
    <row r="47" spans="1:25" x14ac:dyDescent="0.25">
      <c r="A47">
        <v>201604</v>
      </c>
      <c r="B47">
        <v>14116</v>
      </c>
      <c r="C47">
        <v>1451</v>
      </c>
      <c r="D47">
        <v>3121</v>
      </c>
      <c r="E47" s="2">
        <f t="shared" si="3"/>
        <v>0.999</v>
      </c>
      <c r="F47" s="1">
        <v>0.30299999999999999</v>
      </c>
      <c r="G47" s="1"/>
      <c r="H47" s="13">
        <v>0.30499999999999999</v>
      </c>
      <c r="I47" s="1">
        <v>0.39800000000000002</v>
      </c>
      <c r="J47" s="1"/>
      <c r="K47" s="13">
        <v>0.30199999999999999</v>
      </c>
      <c r="L47">
        <v>3550</v>
      </c>
      <c r="M47" s="13">
        <v>0.251</v>
      </c>
      <c r="N47">
        <v>2224</v>
      </c>
      <c r="O47" s="7">
        <f t="shared" si="1"/>
        <v>0.15755171436667612</v>
      </c>
      <c r="Q47" s="14">
        <f t="shared" si="2"/>
        <v>9.3448285633323885E-2</v>
      </c>
      <c r="R47">
        <v>1993</v>
      </c>
      <c r="S47" s="13">
        <v>0.14099999999999999</v>
      </c>
      <c r="T47">
        <v>2</v>
      </c>
      <c r="U47">
        <v>433</v>
      </c>
      <c r="V47">
        <v>50</v>
      </c>
      <c r="W47">
        <v>4</v>
      </c>
    </row>
    <row r="48" spans="1:25" x14ac:dyDescent="0.25">
      <c r="A48">
        <v>201605</v>
      </c>
      <c r="B48">
        <v>12864</v>
      </c>
      <c r="C48">
        <v>1432</v>
      </c>
      <c r="D48">
        <v>2595</v>
      </c>
      <c r="E48" s="2">
        <f t="shared" si="3"/>
        <v>1</v>
      </c>
      <c r="F48" s="1">
        <v>0.30499999999999999</v>
      </c>
      <c r="G48" s="1"/>
      <c r="H48" s="13">
        <v>0.30099999999999999</v>
      </c>
      <c r="I48" s="1">
        <v>0.58399999999999996</v>
      </c>
      <c r="J48" s="1"/>
      <c r="K48" s="13">
        <v>0.32</v>
      </c>
      <c r="L48">
        <v>3449</v>
      </c>
      <c r="M48" s="13">
        <v>0.26800000000000002</v>
      </c>
      <c r="N48">
        <v>1872</v>
      </c>
      <c r="O48" s="7">
        <f t="shared" si="1"/>
        <v>0.1455223880597015</v>
      </c>
      <c r="Q48" s="14">
        <f t="shared" si="2"/>
        <v>0.12247761194029852</v>
      </c>
      <c r="R48">
        <v>1423</v>
      </c>
      <c r="S48" s="13">
        <v>0.111</v>
      </c>
      <c r="T48">
        <v>0</v>
      </c>
      <c r="U48">
        <v>466</v>
      </c>
      <c r="V48">
        <v>41</v>
      </c>
      <c r="W48">
        <v>8</v>
      </c>
    </row>
    <row r="49" spans="1:25" x14ac:dyDescent="0.25">
      <c r="A49">
        <v>201606</v>
      </c>
      <c r="B49">
        <v>13681</v>
      </c>
      <c r="C49">
        <v>1512</v>
      </c>
      <c r="D49">
        <v>2911</v>
      </c>
      <c r="E49" s="2">
        <f t="shared" si="3"/>
        <v>0.999</v>
      </c>
      <c r="F49" s="1">
        <v>0.311</v>
      </c>
      <c r="G49" s="1"/>
      <c r="H49" s="13">
        <v>0.30599999999999999</v>
      </c>
      <c r="I49" s="1">
        <v>0.54400000000000004</v>
      </c>
      <c r="J49" s="1"/>
      <c r="K49" s="13">
        <v>0.32200000000000001</v>
      </c>
      <c r="L49">
        <v>3174</v>
      </c>
      <c r="M49" s="13">
        <v>0.23200000000000001</v>
      </c>
      <c r="N49">
        <v>1672</v>
      </c>
      <c r="O49" s="7">
        <f t="shared" si="1"/>
        <v>0.12221328850230247</v>
      </c>
      <c r="Q49" s="14">
        <f t="shared" si="2"/>
        <v>0.10978671149769755</v>
      </c>
      <c r="R49">
        <v>1906</v>
      </c>
      <c r="S49" s="13">
        <v>0.13900000000000001</v>
      </c>
      <c r="T49">
        <v>1</v>
      </c>
      <c r="U49">
        <v>440</v>
      </c>
      <c r="V49">
        <v>45</v>
      </c>
      <c r="W49">
        <v>5</v>
      </c>
      <c r="X49">
        <v>475</v>
      </c>
      <c r="Y49">
        <v>113</v>
      </c>
    </row>
    <row r="50" spans="1:25" x14ac:dyDescent="0.25">
      <c r="A50">
        <v>201607</v>
      </c>
      <c r="B50">
        <v>11040</v>
      </c>
      <c r="C50">
        <v>1401</v>
      </c>
      <c r="D50">
        <v>2201</v>
      </c>
      <c r="E50" s="2">
        <f t="shared" si="3"/>
        <v>1</v>
      </c>
      <c r="F50" s="1">
        <v>0.32100000000000001</v>
      </c>
      <c r="G50" s="1"/>
      <c r="H50" s="13">
        <v>0.31</v>
      </c>
      <c r="I50" s="1">
        <v>0.57899999999999996</v>
      </c>
      <c r="J50" s="1"/>
      <c r="K50" s="13">
        <v>0.32600000000000001</v>
      </c>
      <c r="L50">
        <v>2917</v>
      </c>
      <c r="M50" s="13">
        <v>0.26400000000000001</v>
      </c>
      <c r="N50">
        <v>1865</v>
      </c>
      <c r="O50" s="7">
        <f t="shared" si="1"/>
        <v>0.16893115942028986</v>
      </c>
      <c r="Q50" s="14">
        <f t="shared" si="2"/>
        <v>9.5068840579710157E-2</v>
      </c>
      <c r="R50">
        <v>1103</v>
      </c>
      <c r="S50" s="13">
        <v>0.1</v>
      </c>
      <c r="T50">
        <v>0</v>
      </c>
      <c r="U50">
        <v>342</v>
      </c>
      <c r="V50">
        <v>30</v>
      </c>
      <c r="W50">
        <v>8</v>
      </c>
      <c r="X50">
        <v>275</v>
      </c>
      <c r="Y50">
        <v>167</v>
      </c>
    </row>
    <row r="51" spans="1:25" x14ac:dyDescent="0.25">
      <c r="A51">
        <v>201608</v>
      </c>
      <c r="B51">
        <v>13232</v>
      </c>
      <c r="C51">
        <v>1485</v>
      </c>
      <c r="D51">
        <v>3556</v>
      </c>
      <c r="E51" s="2">
        <f t="shared" si="3"/>
        <v>1</v>
      </c>
      <c r="F51" s="2">
        <v>0.28999999999999998</v>
      </c>
      <c r="G51" s="2"/>
      <c r="H51" s="13">
        <v>0.28299999999999997</v>
      </c>
      <c r="I51" s="1">
        <v>0.55700000000000005</v>
      </c>
      <c r="J51" s="1"/>
      <c r="K51" s="13">
        <v>0.28699999999999998</v>
      </c>
      <c r="L51">
        <v>3676</v>
      </c>
      <c r="M51" s="13">
        <v>0.27800000000000002</v>
      </c>
      <c r="N51">
        <v>1762</v>
      </c>
      <c r="O51" s="7">
        <f t="shared" si="1"/>
        <v>0.1331620314389359</v>
      </c>
      <c r="Q51" s="14">
        <f t="shared" si="2"/>
        <v>0.14483796856106412</v>
      </c>
      <c r="R51">
        <v>2014</v>
      </c>
      <c r="S51" s="13">
        <v>0.152</v>
      </c>
      <c r="T51">
        <v>4</v>
      </c>
      <c r="U51">
        <v>494</v>
      </c>
      <c r="V51">
        <v>50</v>
      </c>
      <c r="W51">
        <v>14</v>
      </c>
      <c r="X51">
        <v>387</v>
      </c>
      <c r="Y51">
        <v>53</v>
      </c>
    </row>
    <row r="52" spans="1:25" x14ac:dyDescent="0.25">
      <c r="A52">
        <v>201609</v>
      </c>
      <c r="B52">
        <v>13854</v>
      </c>
      <c r="C52">
        <v>1526</v>
      </c>
      <c r="D52">
        <v>2843</v>
      </c>
      <c r="E52" s="2">
        <f t="shared" si="3"/>
        <v>1</v>
      </c>
      <c r="F52" s="1">
        <v>0.27700000000000002</v>
      </c>
      <c r="G52" s="1"/>
      <c r="H52" s="13">
        <v>0.26400000000000001</v>
      </c>
      <c r="I52" s="1">
        <v>0.53300000000000003</v>
      </c>
      <c r="J52" s="1"/>
      <c r="K52" s="13">
        <v>0.25800000000000001</v>
      </c>
      <c r="L52">
        <v>3991</v>
      </c>
      <c r="M52" s="13">
        <v>0.28799999999999998</v>
      </c>
      <c r="N52">
        <v>1923</v>
      </c>
      <c r="O52" s="7">
        <f t="shared" si="1"/>
        <v>0.13880467734950194</v>
      </c>
      <c r="Q52" s="14">
        <f t="shared" si="2"/>
        <v>0.14919532265049804</v>
      </c>
      <c r="R52">
        <v>2629</v>
      </c>
      <c r="S52" s="13">
        <v>0.19</v>
      </c>
      <c r="T52">
        <v>1</v>
      </c>
      <c r="U52">
        <v>517</v>
      </c>
      <c r="V52">
        <v>36</v>
      </c>
      <c r="W52">
        <v>24</v>
      </c>
      <c r="X52">
        <v>535</v>
      </c>
      <c r="Y52">
        <v>45</v>
      </c>
    </row>
    <row r="53" spans="1:25" x14ac:dyDescent="0.25">
      <c r="A53">
        <v>201610</v>
      </c>
      <c r="B53">
        <v>11932</v>
      </c>
      <c r="C53">
        <v>1365</v>
      </c>
      <c r="D53">
        <v>2864</v>
      </c>
      <c r="E53" s="2">
        <f t="shared" si="3"/>
        <v>1</v>
      </c>
      <c r="F53" s="1">
        <v>0.29699999999999999</v>
      </c>
      <c r="G53" s="1"/>
      <c r="H53" s="13">
        <v>0.28799999999999998</v>
      </c>
      <c r="I53" s="1">
        <v>0.54700000000000004</v>
      </c>
      <c r="J53" s="1"/>
      <c r="K53" s="13">
        <v>0.28699999999999998</v>
      </c>
      <c r="L53">
        <v>3209</v>
      </c>
      <c r="M53" s="13">
        <v>0.26900000000000002</v>
      </c>
      <c r="N53">
        <v>1765</v>
      </c>
      <c r="O53" s="7">
        <f t="shared" si="1"/>
        <v>0.14792155548105934</v>
      </c>
      <c r="Q53" s="14">
        <f t="shared" si="2"/>
        <v>0.12107844451894068</v>
      </c>
      <c r="R53">
        <v>1861</v>
      </c>
      <c r="S53" s="13">
        <v>0.156</v>
      </c>
      <c r="T53">
        <v>4</v>
      </c>
      <c r="U53">
        <v>486</v>
      </c>
      <c r="V53">
        <v>56</v>
      </c>
      <c r="W53">
        <v>10</v>
      </c>
      <c r="X53">
        <v>436</v>
      </c>
      <c r="Y53">
        <v>64</v>
      </c>
    </row>
    <row r="54" spans="1:25" x14ac:dyDescent="0.25">
      <c r="A54">
        <v>201611</v>
      </c>
      <c r="B54">
        <v>13194</v>
      </c>
      <c r="C54">
        <v>1305</v>
      </c>
      <c r="D54">
        <v>3432</v>
      </c>
      <c r="E54" s="2">
        <f t="shared" si="3"/>
        <v>0.99900000000000011</v>
      </c>
      <c r="F54" s="1">
        <v>0.29499999999999998</v>
      </c>
      <c r="G54" s="1"/>
      <c r="H54" s="13">
        <v>0.28699999999999998</v>
      </c>
      <c r="I54" s="2">
        <v>0.51</v>
      </c>
      <c r="J54" s="2"/>
      <c r="K54" s="13">
        <v>0.27700000000000002</v>
      </c>
      <c r="L54">
        <v>3181</v>
      </c>
      <c r="M54" s="13">
        <v>0.24099999999999999</v>
      </c>
      <c r="N54">
        <v>1730</v>
      </c>
      <c r="O54" s="7">
        <f t="shared" si="1"/>
        <v>0.13112020615431258</v>
      </c>
      <c r="Q54" s="14">
        <f t="shared" si="2"/>
        <v>0.10987979384568741</v>
      </c>
      <c r="R54">
        <v>2567</v>
      </c>
      <c r="S54" s="13">
        <v>0.19400000000000001</v>
      </c>
      <c r="T54">
        <v>3</v>
      </c>
      <c r="U54">
        <v>502</v>
      </c>
      <c r="V54">
        <v>59</v>
      </c>
      <c r="W54">
        <v>8</v>
      </c>
      <c r="X54">
        <v>434</v>
      </c>
      <c r="Y54">
        <v>31</v>
      </c>
    </row>
    <row r="55" spans="1:25" x14ac:dyDescent="0.25">
      <c r="A55">
        <v>201612</v>
      </c>
      <c r="B55">
        <v>13602</v>
      </c>
      <c r="C55">
        <v>1137</v>
      </c>
      <c r="D55">
        <v>5332</v>
      </c>
      <c r="E55" s="2">
        <f t="shared" si="3"/>
        <v>0.999</v>
      </c>
      <c r="F55" s="1">
        <v>0.35499999999999998</v>
      </c>
      <c r="G55" s="1"/>
      <c r="H55" s="13">
        <v>0.35199999999999998</v>
      </c>
      <c r="I55" s="1">
        <v>0.47299999999999998</v>
      </c>
      <c r="J55" s="1"/>
      <c r="K55" s="13">
        <v>0.28599999999999998</v>
      </c>
      <c r="L55">
        <v>2597</v>
      </c>
      <c r="M55" s="13">
        <v>0.191</v>
      </c>
      <c r="N55">
        <v>1280</v>
      </c>
      <c r="O55" s="7">
        <f t="shared" si="1"/>
        <v>9.4103808263490657E-2</v>
      </c>
      <c r="Q55" s="14">
        <f t="shared" si="2"/>
        <v>9.6896191736509346E-2</v>
      </c>
      <c r="R55">
        <v>2319</v>
      </c>
      <c r="S55" s="13">
        <v>0.17</v>
      </c>
      <c r="T55">
        <v>3</v>
      </c>
      <c r="U55">
        <v>361</v>
      </c>
      <c r="V55">
        <v>61</v>
      </c>
      <c r="W55">
        <v>8</v>
      </c>
      <c r="X55">
        <v>460</v>
      </c>
      <c r="Y55">
        <v>110</v>
      </c>
    </row>
    <row r="56" spans="1:25" x14ac:dyDescent="0.25">
      <c r="A56">
        <v>201701</v>
      </c>
      <c r="B56">
        <f>B68+3848</f>
        <v>13055</v>
      </c>
      <c r="C56">
        <v>1549</v>
      </c>
      <c r="E56" s="2">
        <f t="shared" si="3"/>
        <v>1</v>
      </c>
      <c r="H56" s="13">
        <v>0.23899999999999999</v>
      </c>
      <c r="K56" s="13">
        <v>0.247</v>
      </c>
      <c r="L56">
        <f>L68+1622</f>
        <v>4419</v>
      </c>
      <c r="M56" s="13">
        <v>0.33800000000000002</v>
      </c>
      <c r="N56">
        <f>N68+1044</f>
        <v>2609</v>
      </c>
      <c r="O56" s="7">
        <f t="shared" si="1"/>
        <v>0.19984680199157412</v>
      </c>
      <c r="Q56" s="14">
        <f t="shared" si="2"/>
        <v>0.1381531980084259</v>
      </c>
      <c r="R56">
        <f>R68+167</f>
        <v>2295</v>
      </c>
      <c r="S56" s="13">
        <v>0.17599999999999999</v>
      </c>
      <c r="T56">
        <v>6</v>
      </c>
      <c r="U56">
        <f>U68-396</f>
        <v>494</v>
      </c>
      <c r="V56">
        <f>V68-1</f>
        <v>54</v>
      </c>
      <c r="W56">
        <f>W68-18</f>
        <v>11</v>
      </c>
      <c r="X56">
        <f>X68-88</f>
        <v>458</v>
      </c>
      <c r="Y56">
        <f>Y68-17</f>
        <v>49</v>
      </c>
    </row>
    <row r="57" spans="1:25" x14ac:dyDescent="0.25">
      <c r="A57">
        <v>201702</v>
      </c>
      <c r="B57">
        <f>B69+1597</f>
        <v>11788</v>
      </c>
      <c r="C57">
        <v>1432</v>
      </c>
      <c r="E57" s="2">
        <f t="shared" si="3"/>
        <v>1</v>
      </c>
      <c r="H57" s="13">
        <v>0.27300000000000002</v>
      </c>
      <c r="K57" s="13">
        <v>0.249</v>
      </c>
      <c r="L57">
        <f>L69+321</f>
        <v>3774</v>
      </c>
      <c r="M57" s="13">
        <v>0.32</v>
      </c>
      <c r="N57">
        <f>N69-197</f>
        <v>2053</v>
      </c>
      <c r="O57" s="7">
        <f t="shared" si="1"/>
        <v>0.17416016287750255</v>
      </c>
      <c r="Q57" s="14">
        <f t="shared" si="2"/>
        <v>0.14583983712249746</v>
      </c>
      <c r="R57">
        <f>R69-336</f>
        <v>1864</v>
      </c>
      <c r="S57" s="13">
        <v>0.158</v>
      </c>
      <c r="T57">
        <v>2</v>
      </c>
      <c r="U57">
        <f>U69-370</f>
        <v>503</v>
      </c>
      <c r="V57">
        <f>V69-40</f>
        <v>32</v>
      </c>
      <c r="W57">
        <f>W69+2</f>
        <v>10</v>
      </c>
      <c r="X57">
        <f>X69-22</f>
        <v>344</v>
      </c>
      <c r="Y57">
        <f>Y69+3</f>
        <v>60</v>
      </c>
    </row>
    <row r="58" spans="1:25" x14ac:dyDescent="0.25">
      <c r="A58">
        <v>201703</v>
      </c>
      <c r="B58">
        <f>B70-1003</f>
        <v>13398</v>
      </c>
      <c r="C58">
        <v>1797</v>
      </c>
      <c r="E58" s="2">
        <f t="shared" si="3"/>
        <v>1</v>
      </c>
      <c r="H58" s="13">
        <v>0.246</v>
      </c>
      <c r="K58" s="13">
        <v>0.26400000000000001</v>
      </c>
      <c r="L58">
        <f>L70-122</f>
        <v>3729</v>
      </c>
      <c r="M58" s="13">
        <v>0.27800000000000002</v>
      </c>
      <c r="N58">
        <f>N70-838</f>
        <v>1834</v>
      </c>
      <c r="O58" s="7">
        <f t="shared" si="1"/>
        <v>0.13688610240334378</v>
      </c>
      <c r="Q58" s="14">
        <f t="shared" si="2"/>
        <v>0.14111389759665624</v>
      </c>
      <c r="R58">
        <f>R70-2532</f>
        <v>2834</v>
      </c>
      <c r="S58" s="13">
        <v>0.21199999999999999</v>
      </c>
      <c r="T58">
        <v>3</v>
      </c>
      <c r="U58">
        <f>U70-257</f>
        <v>574</v>
      </c>
      <c r="V58">
        <f>V70-55</f>
        <v>102</v>
      </c>
      <c r="W58">
        <f>W70-1</f>
        <v>10</v>
      </c>
      <c r="X58">
        <f>X70+102</f>
        <v>495</v>
      </c>
      <c r="Y58">
        <f>Y70+121</f>
        <v>163</v>
      </c>
    </row>
    <row r="59" spans="1:25" x14ac:dyDescent="0.25">
      <c r="A59">
        <v>201704</v>
      </c>
      <c r="B59">
        <f>B71+2716</f>
        <v>16771</v>
      </c>
      <c r="C59">
        <v>1377</v>
      </c>
      <c r="E59" s="2">
        <f t="shared" si="3"/>
        <v>1</v>
      </c>
      <c r="H59" s="13">
        <v>0.29499999999999998</v>
      </c>
      <c r="K59" s="13">
        <v>0.28299999999999997</v>
      </c>
      <c r="L59">
        <f>L71-1003</f>
        <v>3099</v>
      </c>
      <c r="M59" s="13">
        <v>0.27300000000000002</v>
      </c>
      <c r="N59">
        <v>1674</v>
      </c>
      <c r="O59" s="7">
        <f t="shared" si="1"/>
        <v>9.9815157116451017E-2</v>
      </c>
      <c r="Q59" s="14">
        <f t="shared" si="2"/>
        <v>0.17318484288354902</v>
      </c>
      <c r="R59">
        <f>R71-1879</f>
        <v>1687</v>
      </c>
      <c r="S59" s="13">
        <v>0.14899999999999999</v>
      </c>
      <c r="T59">
        <v>4</v>
      </c>
      <c r="U59">
        <f>U71-570</f>
        <v>404</v>
      </c>
      <c r="V59">
        <f>V71-26</f>
        <v>62</v>
      </c>
      <c r="W59">
        <f>W71-16</f>
        <v>3</v>
      </c>
      <c r="X59">
        <v>376</v>
      </c>
      <c r="Y59">
        <f>Y71+22</f>
        <v>81</v>
      </c>
    </row>
    <row r="60" spans="1:25" x14ac:dyDescent="0.25">
      <c r="A60">
        <v>201705</v>
      </c>
      <c r="B60">
        <f>B72+1129</f>
        <v>14175</v>
      </c>
      <c r="C60">
        <v>1697</v>
      </c>
      <c r="E60" s="2">
        <f t="shared" si="3"/>
        <v>1</v>
      </c>
      <c r="H60" s="13">
        <v>0.26300000000000001</v>
      </c>
      <c r="K60" s="13">
        <v>0.27900000000000003</v>
      </c>
      <c r="L60">
        <f>L72-118</f>
        <v>4314</v>
      </c>
      <c r="M60" s="13">
        <v>0.30399999999999999</v>
      </c>
      <c r="N60">
        <v>2164</v>
      </c>
      <c r="O60" s="7">
        <f t="shared" si="1"/>
        <v>0.15266313932980599</v>
      </c>
      <c r="Q60" s="14">
        <f t="shared" si="2"/>
        <v>0.151336860670194</v>
      </c>
      <c r="R60">
        <f>R72-735</f>
        <v>2177</v>
      </c>
      <c r="S60" s="13">
        <v>0.154</v>
      </c>
      <c r="T60">
        <v>2</v>
      </c>
      <c r="U60">
        <f>U72-523</f>
        <v>504</v>
      </c>
      <c r="V60">
        <f>V72-44</f>
        <v>34</v>
      </c>
      <c r="W60">
        <f>W72-5</f>
        <v>7</v>
      </c>
      <c r="X60">
        <v>514</v>
      </c>
      <c r="Y60">
        <f>Y72-58</f>
        <v>83</v>
      </c>
    </row>
    <row r="61" spans="1:25" x14ac:dyDescent="0.25">
      <c r="A61">
        <v>201706</v>
      </c>
      <c r="B61">
        <f>B73-1617</f>
        <v>14228</v>
      </c>
      <c r="C61">
        <v>1814</v>
      </c>
      <c r="E61" s="2">
        <f t="shared" si="3"/>
        <v>1</v>
      </c>
      <c r="H61" s="13">
        <v>0.24199999999999999</v>
      </c>
      <c r="K61" s="13">
        <v>0.223</v>
      </c>
      <c r="L61">
        <f>L73-2113</f>
        <v>3668</v>
      </c>
      <c r="M61" s="13">
        <v>0.25800000000000001</v>
      </c>
      <c r="N61">
        <f>N73-1940</f>
        <v>2063</v>
      </c>
      <c r="O61" s="7">
        <f t="shared" si="1"/>
        <v>0.1449957829631712</v>
      </c>
      <c r="Q61" s="14">
        <f t="shared" si="2"/>
        <v>0.11300421703682881</v>
      </c>
      <c r="R61">
        <f>R73-25</f>
        <v>3948</v>
      </c>
      <c r="S61" s="13">
        <v>0.27700000000000002</v>
      </c>
      <c r="T61">
        <v>2</v>
      </c>
      <c r="U61">
        <f>U73-494</f>
        <v>579</v>
      </c>
      <c r="V61">
        <f>V73-100</f>
        <v>58</v>
      </c>
      <c r="W61">
        <f>W73-2</f>
        <v>11</v>
      </c>
      <c r="X61">
        <v>548</v>
      </c>
      <c r="Y61">
        <f>Y73-96</f>
        <v>170</v>
      </c>
    </row>
    <row r="62" spans="1:25" x14ac:dyDescent="0.25">
      <c r="A62">
        <v>201707</v>
      </c>
      <c r="B62">
        <f>B74+1865</f>
        <v>11476</v>
      </c>
      <c r="C62">
        <v>1708</v>
      </c>
      <c r="E62" s="2">
        <f t="shared" si="3"/>
        <v>1</v>
      </c>
      <c r="H62" s="13">
        <v>0.22800000000000001</v>
      </c>
      <c r="K62" s="13">
        <v>0.27300000000000002</v>
      </c>
      <c r="L62">
        <f>L74+1219</f>
        <v>3902</v>
      </c>
      <c r="M62" s="13">
        <v>0.34</v>
      </c>
      <c r="N62">
        <f>N74+696</f>
        <v>2147</v>
      </c>
      <c r="O62" s="7">
        <f t="shared" ref="O62:O93" si="4">N62/B62</f>
        <v>0.1870860927152318</v>
      </c>
      <c r="Q62" s="14">
        <f t="shared" ref="Q62:Q97" si="5">M62-O62</f>
        <v>0.15291390728476822</v>
      </c>
      <c r="R62">
        <f>R74-469</f>
        <v>1824</v>
      </c>
      <c r="S62" s="13">
        <v>0.159</v>
      </c>
      <c r="T62">
        <v>3</v>
      </c>
      <c r="U62">
        <f>U74-286</f>
        <v>522</v>
      </c>
      <c r="V62">
        <f>V74-88</f>
        <v>21</v>
      </c>
      <c r="W62">
        <f>W74</f>
        <v>7</v>
      </c>
      <c r="X62">
        <v>268</v>
      </c>
      <c r="Y62">
        <f>Y74-85</f>
        <v>81</v>
      </c>
    </row>
    <row r="63" spans="1:25" x14ac:dyDescent="0.25">
      <c r="A63">
        <v>201708</v>
      </c>
      <c r="B63">
        <f>B75-1109</f>
        <v>13416</v>
      </c>
      <c r="C63">
        <v>2177</v>
      </c>
      <c r="E63" s="2">
        <f t="shared" si="3"/>
        <v>0.998</v>
      </c>
      <c r="H63" s="13">
        <v>0.224</v>
      </c>
      <c r="K63" s="13">
        <v>0.24099999999999999</v>
      </c>
      <c r="L63">
        <f>L75+767</f>
        <v>4400</v>
      </c>
      <c r="M63" s="13">
        <v>0.32500000000000001</v>
      </c>
      <c r="N63">
        <f>N75+657</f>
        <v>2609</v>
      </c>
      <c r="O63" s="7">
        <f t="shared" si="4"/>
        <v>0.19446929039952296</v>
      </c>
      <c r="Q63" s="14">
        <f t="shared" si="5"/>
        <v>0.13053070960047705</v>
      </c>
      <c r="R63">
        <f>R75-1374</f>
        <v>2784</v>
      </c>
      <c r="S63" s="13">
        <v>0.20799999999999999</v>
      </c>
      <c r="T63">
        <v>4</v>
      </c>
      <c r="U63">
        <f>U75-372</f>
        <v>1025</v>
      </c>
      <c r="V63">
        <f>V75-123</f>
        <v>84</v>
      </c>
      <c r="W63">
        <f>W75+12</f>
        <v>20</v>
      </c>
      <c r="X63">
        <v>423</v>
      </c>
      <c r="Y63">
        <f>Y75+69</f>
        <v>120</v>
      </c>
    </row>
    <row r="64" spans="1:25" x14ac:dyDescent="0.25">
      <c r="A64">
        <v>201709</v>
      </c>
      <c r="B64">
        <f>B76+2864</f>
        <v>13484</v>
      </c>
      <c r="C64">
        <v>2030</v>
      </c>
      <c r="E64" s="2">
        <f t="shared" si="3"/>
        <v>1</v>
      </c>
      <c r="H64" s="13">
        <v>0.18</v>
      </c>
      <c r="K64" s="13">
        <v>0.22</v>
      </c>
      <c r="L64">
        <f>L76+1455</f>
        <v>4234</v>
      </c>
      <c r="M64" s="13">
        <v>0.314</v>
      </c>
      <c r="N64">
        <f>N76+1089</f>
        <v>2674</v>
      </c>
      <c r="O64" s="7">
        <f t="shared" si="4"/>
        <v>0.19830910708988431</v>
      </c>
      <c r="Q64" s="14">
        <f t="shared" si="5"/>
        <v>0.11569089291011569</v>
      </c>
      <c r="R64">
        <f>R76-954</f>
        <v>3856</v>
      </c>
      <c r="S64" s="13">
        <v>0.28599999999999998</v>
      </c>
      <c r="T64">
        <v>6</v>
      </c>
      <c r="U64">
        <f>U76-199</f>
        <v>1053</v>
      </c>
      <c r="V64">
        <f>V76-101</f>
        <v>73</v>
      </c>
      <c r="W64">
        <f>W76+4</f>
        <v>16</v>
      </c>
      <c r="X64">
        <v>420</v>
      </c>
      <c r="Y64">
        <f>Y76+88</f>
        <v>135</v>
      </c>
    </row>
    <row r="65" spans="1:26" x14ac:dyDescent="0.25">
      <c r="A65">
        <v>201710</v>
      </c>
      <c r="B65">
        <f>B77+817</f>
        <v>12472</v>
      </c>
      <c r="C65">
        <v>1918</v>
      </c>
      <c r="E65" s="2">
        <f t="shared" si="3"/>
        <v>1</v>
      </c>
      <c r="H65" s="13">
        <v>0.19900000000000001</v>
      </c>
      <c r="K65" s="13">
        <v>0.22900000000000001</v>
      </c>
      <c r="L65">
        <f>L77+1159</f>
        <v>4462</v>
      </c>
      <c r="M65" s="13">
        <v>0.35799999999999998</v>
      </c>
      <c r="N65">
        <f>N77+722</f>
        <v>2692</v>
      </c>
      <c r="O65" s="7">
        <f t="shared" si="4"/>
        <v>0.2158434894162925</v>
      </c>
      <c r="Q65" s="14">
        <f t="shared" si="5"/>
        <v>0.14215651058370748</v>
      </c>
      <c r="R65">
        <f>R77-1836</f>
        <v>2665</v>
      </c>
      <c r="S65" s="13">
        <v>0.214</v>
      </c>
      <c r="T65">
        <v>6</v>
      </c>
      <c r="U65">
        <f>U77-92</f>
        <v>1002</v>
      </c>
      <c r="V65">
        <f>V77-69</f>
        <v>62</v>
      </c>
      <c r="W65">
        <f>W77+25</f>
        <v>40</v>
      </c>
      <c r="X65">
        <v>402</v>
      </c>
      <c r="Y65">
        <f>Y77+16</f>
        <v>63</v>
      </c>
    </row>
    <row r="66" spans="1:26" x14ac:dyDescent="0.25">
      <c r="A66">
        <v>201711</v>
      </c>
      <c r="B66">
        <f>B78+1430</f>
        <v>13743</v>
      </c>
      <c r="C66">
        <v>1933</v>
      </c>
      <c r="E66" s="2">
        <f t="shared" si="3"/>
        <v>1</v>
      </c>
      <c r="H66" s="13">
        <v>0.21099999999999999</v>
      </c>
      <c r="K66" s="13">
        <v>0.24299999999999999</v>
      </c>
      <c r="L66">
        <f>L78+1744</f>
        <v>4790</v>
      </c>
      <c r="M66" s="13">
        <v>0.34899999999999998</v>
      </c>
      <c r="N66">
        <f>N78+1195</f>
        <v>3109</v>
      </c>
      <c r="O66" s="7">
        <f t="shared" si="4"/>
        <v>0.22622425962308085</v>
      </c>
      <c r="Q66" s="14">
        <f t="shared" si="5"/>
        <v>0.12277574037691913</v>
      </c>
      <c r="R66">
        <f>R78-2383</f>
        <v>2707</v>
      </c>
      <c r="S66" s="13">
        <v>0.19700000000000001</v>
      </c>
      <c r="T66">
        <v>3</v>
      </c>
      <c r="U66">
        <f>U78+22</f>
        <v>1128</v>
      </c>
      <c r="V66">
        <f>V78-93</f>
        <v>85</v>
      </c>
      <c r="W66">
        <f>W78+18</f>
        <v>27</v>
      </c>
      <c r="X66">
        <v>425</v>
      </c>
      <c r="Y66">
        <f>Y78+46</f>
        <v>92</v>
      </c>
    </row>
    <row r="67" spans="1:26" x14ac:dyDescent="0.25">
      <c r="A67">
        <v>201712</v>
      </c>
      <c r="B67">
        <f>B79+3616</f>
        <v>16077</v>
      </c>
      <c r="C67">
        <v>1512</v>
      </c>
      <c r="E67" s="2">
        <f t="shared" si="3"/>
        <v>0.99900000000000011</v>
      </c>
      <c r="H67" s="13">
        <v>0.188</v>
      </c>
      <c r="K67" s="13">
        <v>0.22700000000000001</v>
      </c>
      <c r="L67">
        <f>L79+1949</f>
        <v>4952</v>
      </c>
      <c r="M67" s="13">
        <v>0.308</v>
      </c>
      <c r="N67">
        <f>N79+1575</f>
        <v>3605</v>
      </c>
      <c r="O67" s="7">
        <f t="shared" si="4"/>
        <v>0.22423337687379485</v>
      </c>
      <c r="Q67" s="14">
        <f t="shared" si="5"/>
        <v>8.3766623126205142E-2</v>
      </c>
      <c r="R67">
        <f>R79-707</f>
        <v>4439</v>
      </c>
      <c r="S67" s="13">
        <v>0.27600000000000002</v>
      </c>
      <c r="T67">
        <v>14</v>
      </c>
      <c r="U67">
        <f>U79+199</f>
        <v>770</v>
      </c>
      <c r="V67">
        <f>V79-122</f>
        <v>74</v>
      </c>
      <c r="W67">
        <f>W79+7</f>
        <v>14</v>
      </c>
      <c r="X67">
        <v>344</v>
      </c>
      <c r="Y67">
        <f>Y79+55</f>
        <v>93</v>
      </c>
    </row>
    <row r="68" spans="1:26" x14ac:dyDescent="0.25">
      <c r="A68">
        <v>201801</v>
      </c>
      <c r="B68">
        <v>9207</v>
      </c>
      <c r="C68">
        <v>1394</v>
      </c>
      <c r="E68" s="2">
        <f t="shared" si="3"/>
        <v>0.999</v>
      </c>
      <c r="H68" s="13">
        <v>0.20200000000000001</v>
      </c>
      <c r="K68" s="13">
        <v>0.26200000000000001</v>
      </c>
      <c r="L68">
        <v>2797</v>
      </c>
      <c r="M68" s="13">
        <v>0.30399999999999999</v>
      </c>
      <c r="N68">
        <v>1565</v>
      </c>
      <c r="O68" s="7">
        <f t="shared" si="4"/>
        <v>0.16997936352775062</v>
      </c>
      <c r="Q68" s="14">
        <f t="shared" si="5"/>
        <v>0.13402063647224938</v>
      </c>
      <c r="R68">
        <v>2128</v>
      </c>
      <c r="S68" s="13">
        <v>0.23100000000000001</v>
      </c>
      <c r="T68">
        <v>2</v>
      </c>
      <c r="U68">
        <v>890</v>
      </c>
      <c r="V68">
        <v>55</v>
      </c>
      <c r="W68">
        <v>29</v>
      </c>
      <c r="X68">
        <v>546</v>
      </c>
      <c r="Y68">
        <v>66</v>
      </c>
    </row>
    <row r="69" spans="1:26" x14ac:dyDescent="0.25">
      <c r="A69">
        <v>201802</v>
      </c>
      <c r="B69">
        <v>10191</v>
      </c>
      <c r="C69">
        <v>1393</v>
      </c>
      <c r="E69" s="2">
        <f t="shared" si="3"/>
        <v>1</v>
      </c>
      <c r="H69" s="13">
        <v>0.20799999999999999</v>
      </c>
      <c r="K69" s="13">
        <v>0.23699999999999999</v>
      </c>
      <c r="L69">
        <v>3453</v>
      </c>
      <c r="M69" s="13">
        <v>0.33900000000000002</v>
      </c>
      <c r="N69">
        <v>2250</v>
      </c>
      <c r="O69" s="7">
        <f t="shared" si="4"/>
        <v>0.22078304386223138</v>
      </c>
      <c r="Q69" s="14">
        <f t="shared" si="5"/>
        <v>0.11821695613776864</v>
      </c>
      <c r="R69">
        <v>2200</v>
      </c>
      <c r="S69" s="13">
        <v>0.216</v>
      </c>
      <c r="T69">
        <v>2</v>
      </c>
      <c r="U69">
        <v>873</v>
      </c>
      <c r="V69">
        <v>72</v>
      </c>
      <c r="W69">
        <v>8</v>
      </c>
      <c r="X69">
        <v>366</v>
      </c>
      <c r="Y69">
        <v>57</v>
      </c>
    </row>
    <row r="70" spans="1:26" x14ac:dyDescent="0.25">
      <c r="A70">
        <v>201803</v>
      </c>
      <c r="B70">
        <v>14401</v>
      </c>
      <c r="C70">
        <v>1446</v>
      </c>
      <c r="E70" s="2">
        <f t="shared" si="3"/>
        <v>1</v>
      </c>
      <c r="H70" s="13">
        <v>0.16</v>
      </c>
      <c r="K70" s="13">
        <v>0.2</v>
      </c>
      <c r="L70">
        <v>3851</v>
      </c>
      <c r="M70" s="13">
        <v>0.26700000000000002</v>
      </c>
      <c r="N70">
        <v>2672</v>
      </c>
      <c r="O70" s="7">
        <f t="shared" si="4"/>
        <v>0.18554267064787167</v>
      </c>
      <c r="Q70" s="14">
        <f t="shared" si="5"/>
        <v>8.1457329352128349E-2</v>
      </c>
      <c r="R70">
        <v>5366</v>
      </c>
      <c r="S70" s="13">
        <v>0.373</v>
      </c>
      <c r="T70">
        <v>4</v>
      </c>
      <c r="U70">
        <v>831</v>
      </c>
      <c r="V70">
        <v>157</v>
      </c>
      <c r="W70">
        <v>11</v>
      </c>
      <c r="X70">
        <v>393</v>
      </c>
      <c r="Y70">
        <v>42</v>
      </c>
    </row>
    <row r="71" spans="1:26" x14ac:dyDescent="0.25">
      <c r="A71">
        <v>201804</v>
      </c>
      <c r="B71">
        <v>14055</v>
      </c>
      <c r="C71">
        <v>1723</v>
      </c>
      <c r="E71" s="2">
        <f t="shared" si="3"/>
        <v>1</v>
      </c>
      <c r="H71" s="13">
        <v>0.193</v>
      </c>
      <c r="K71" s="13">
        <v>0.26100000000000001</v>
      </c>
      <c r="L71">
        <v>4102</v>
      </c>
      <c r="M71" s="13">
        <v>0.29199999999999998</v>
      </c>
      <c r="N71">
        <v>2549</v>
      </c>
      <c r="O71" s="7">
        <f t="shared" si="4"/>
        <v>0.18135894699395233</v>
      </c>
      <c r="Q71" s="14">
        <f t="shared" si="5"/>
        <v>0.11064105300604765</v>
      </c>
      <c r="R71">
        <v>3566</v>
      </c>
      <c r="S71" s="13">
        <v>0.254</v>
      </c>
      <c r="T71">
        <v>10</v>
      </c>
      <c r="U71">
        <v>974</v>
      </c>
      <c r="V71">
        <v>88</v>
      </c>
      <c r="W71">
        <v>19</v>
      </c>
      <c r="X71">
        <v>515</v>
      </c>
      <c r="Y71">
        <v>59</v>
      </c>
    </row>
    <row r="72" spans="1:26" x14ac:dyDescent="0.25">
      <c r="A72">
        <v>201805</v>
      </c>
      <c r="B72">
        <v>13046</v>
      </c>
      <c r="C72">
        <v>1923</v>
      </c>
      <c r="E72" s="2">
        <f t="shared" ref="E72:E123" si="6">H72+K72+M72+S72</f>
        <v>1</v>
      </c>
      <c r="H72" s="13">
        <v>0.17399999999999999</v>
      </c>
      <c r="K72" s="13">
        <v>0.26300000000000001</v>
      </c>
      <c r="L72">
        <v>4432</v>
      </c>
      <c r="M72" s="13">
        <v>0.34</v>
      </c>
      <c r="N72">
        <v>2604</v>
      </c>
      <c r="O72" s="7">
        <f t="shared" si="4"/>
        <v>0.19960141039399049</v>
      </c>
      <c r="Q72" s="14">
        <f t="shared" si="5"/>
        <v>0.14039858960600954</v>
      </c>
      <c r="R72">
        <v>2912</v>
      </c>
      <c r="S72" s="13">
        <v>0.223</v>
      </c>
      <c r="T72">
        <v>1</v>
      </c>
      <c r="U72">
        <v>1027</v>
      </c>
      <c r="V72">
        <v>78</v>
      </c>
      <c r="W72">
        <v>12</v>
      </c>
      <c r="X72">
        <v>481</v>
      </c>
      <c r="Y72">
        <v>141</v>
      </c>
    </row>
    <row r="73" spans="1:26" x14ac:dyDescent="0.25">
      <c r="A73">
        <v>201806</v>
      </c>
      <c r="B73">
        <v>15845</v>
      </c>
      <c r="C73">
        <v>2275</v>
      </c>
      <c r="E73" s="2">
        <f t="shared" si="6"/>
        <v>1</v>
      </c>
      <c r="H73" s="13">
        <v>0.14599999999999999</v>
      </c>
      <c r="K73" s="13">
        <v>0.23799999999999999</v>
      </c>
      <c r="L73">
        <v>5781</v>
      </c>
      <c r="M73" s="13">
        <v>0.36499999999999999</v>
      </c>
      <c r="N73">
        <v>4003</v>
      </c>
      <c r="O73" s="7">
        <f t="shared" si="4"/>
        <v>0.25263490059955823</v>
      </c>
      <c r="Q73" s="14">
        <f t="shared" si="5"/>
        <v>0.11236509940044176</v>
      </c>
      <c r="R73">
        <v>3973</v>
      </c>
      <c r="S73" s="13">
        <v>0.251</v>
      </c>
      <c r="T73">
        <v>3</v>
      </c>
      <c r="U73">
        <v>1073</v>
      </c>
      <c r="V73">
        <v>158</v>
      </c>
      <c r="W73">
        <v>13</v>
      </c>
      <c r="X73">
        <v>508</v>
      </c>
      <c r="Y73">
        <v>266</v>
      </c>
    </row>
    <row r="74" spans="1:26" x14ac:dyDescent="0.25">
      <c r="A74">
        <v>201807</v>
      </c>
      <c r="B74">
        <v>9611</v>
      </c>
      <c r="C74">
        <v>1798</v>
      </c>
      <c r="E74" s="2">
        <f t="shared" si="6"/>
        <v>1</v>
      </c>
      <c r="H74" s="13">
        <v>0.21199999999999999</v>
      </c>
      <c r="K74" s="13">
        <v>0.27</v>
      </c>
      <c r="L74">
        <v>2683</v>
      </c>
      <c r="M74" s="13">
        <v>0.27900000000000003</v>
      </c>
      <c r="N74">
        <v>1451</v>
      </c>
      <c r="O74" s="7">
        <f t="shared" si="4"/>
        <v>0.15097284361668922</v>
      </c>
      <c r="Q74" s="14">
        <f t="shared" si="5"/>
        <v>0.1280271563833108</v>
      </c>
      <c r="R74">
        <v>2293</v>
      </c>
      <c r="S74" s="13">
        <v>0.23899999999999999</v>
      </c>
      <c r="T74">
        <v>6</v>
      </c>
      <c r="U74">
        <v>808</v>
      </c>
      <c r="V74">
        <v>109</v>
      </c>
      <c r="W74">
        <v>7</v>
      </c>
      <c r="X74">
        <v>319</v>
      </c>
      <c r="Y74">
        <v>166</v>
      </c>
    </row>
    <row r="75" spans="1:26" x14ac:dyDescent="0.25">
      <c r="A75">
        <v>201808</v>
      </c>
      <c r="B75">
        <v>14525</v>
      </c>
      <c r="C75">
        <v>2372</v>
      </c>
      <c r="E75" s="2">
        <f t="shared" si="6"/>
        <v>1</v>
      </c>
      <c r="H75" s="13">
        <v>0.21</v>
      </c>
      <c r="K75" s="13">
        <v>0.254</v>
      </c>
      <c r="L75">
        <v>3633</v>
      </c>
      <c r="M75" s="13">
        <v>0.25</v>
      </c>
      <c r="N75">
        <v>1952</v>
      </c>
      <c r="O75" s="7">
        <f t="shared" si="4"/>
        <v>0.13438898450946643</v>
      </c>
      <c r="Q75" s="14">
        <f t="shared" si="5"/>
        <v>0.11561101549053357</v>
      </c>
      <c r="R75">
        <v>4158</v>
      </c>
      <c r="S75" s="13">
        <v>0.28599999999999998</v>
      </c>
      <c r="T75">
        <v>1</v>
      </c>
      <c r="U75">
        <v>1397</v>
      </c>
      <c r="V75">
        <v>207</v>
      </c>
      <c r="W75">
        <v>8</v>
      </c>
      <c r="X75">
        <v>492</v>
      </c>
      <c r="Y75">
        <v>51</v>
      </c>
    </row>
    <row r="76" spans="1:26" x14ac:dyDescent="0.25">
      <c r="A76">
        <v>201809</v>
      </c>
      <c r="B76">
        <v>10620</v>
      </c>
      <c r="C76">
        <v>2072</v>
      </c>
      <c r="E76" s="2">
        <f t="shared" si="6"/>
        <v>1</v>
      </c>
      <c r="H76" s="13">
        <v>0.124</v>
      </c>
      <c r="K76" s="13">
        <v>0.161</v>
      </c>
      <c r="L76">
        <v>2779</v>
      </c>
      <c r="M76" s="13">
        <v>0.26200000000000001</v>
      </c>
      <c r="N76">
        <v>1585</v>
      </c>
      <c r="O76" s="7">
        <f t="shared" si="4"/>
        <v>0.1492467043314501</v>
      </c>
      <c r="Q76" s="14">
        <f t="shared" si="5"/>
        <v>0.11275329566854991</v>
      </c>
      <c r="R76">
        <v>4810</v>
      </c>
      <c r="S76" s="13">
        <v>0.45300000000000001</v>
      </c>
      <c r="T76">
        <v>8</v>
      </c>
      <c r="U76">
        <v>1252</v>
      </c>
      <c r="V76">
        <v>174</v>
      </c>
      <c r="W76">
        <v>12</v>
      </c>
      <c r="X76">
        <v>485</v>
      </c>
      <c r="Y76">
        <v>47</v>
      </c>
    </row>
    <row r="77" spans="1:26" x14ac:dyDescent="0.25">
      <c r="A77">
        <v>201810</v>
      </c>
      <c r="B77">
        <v>11655</v>
      </c>
      <c r="C77">
        <v>1961</v>
      </c>
      <c r="E77" s="2">
        <f t="shared" si="6"/>
        <v>0.99799999999999989</v>
      </c>
      <c r="H77" s="13">
        <v>0.14199999999999999</v>
      </c>
      <c r="K77" s="13">
        <v>0.187</v>
      </c>
      <c r="L77">
        <v>3303</v>
      </c>
      <c r="M77" s="13">
        <v>0.28299999999999997</v>
      </c>
      <c r="N77">
        <v>1970</v>
      </c>
      <c r="O77" s="7">
        <f t="shared" si="4"/>
        <v>0.16902616902616902</v>
      </c>
      <c r="Q77" s="14">
        <f t="shared" si="5"/>
        <v>0.11397383097383096</v>
      </c>
      <c r="R77">
        <v>4501</v>
      </c>
      <c r="S77" s="13">
        <v>0.38600000000000001</v>
      </c>
      <c r="T77">
        <v>4</v>
      </c>
      <c r="U77">
        <v>1094</v>
      </c>
      <c r="V77">
        <v>131</v>
      </c>
      <c r="W77">
        <v>15</v>
      </c>
      <c r="X77">
        <v>514</v>
      </c>
      <c r="Y77">
        <v>47</v>
      </c>
    </row>
    <row r="78" spans="1:26" x14ac:dyDescent="0.25">
      <c r="A78">
        <v>201811</v>
      </c>
      <c r="B78">
        <v>12313</v>
      </c>
      <c r="C78">
        <v>1925</v>
      </c>
      <c r="E78" s="2">
        <f t="shared" si="6"/>
        <v>0.996</v>
      </c>
      <c r="H78" s="13">
        <v>0.16600000000000001</v>
      </c>
      <c r="K78" s="13">
        <v>0.17</v>
      </c>
      <c r="L78">
        <v>3046</v>
      </c>
      <c r="M78" s="13">
        <v>0.247</v>
      </c>
      <c r="N78">
        <v>1914</v>
      </c>
      <c r="O78" s="7">
        <f t="shared" si="4"/>
        <v>0.15544546414358809</v>
      </c>
      <c r="Q78" s="14">
        <f t="shared" si="5"/>
        <v>9.1554535856411906E-2</v>
      </c>
      <c r="R78">
        <v>5090</v>
      </c>
      <c r="S78" s="13">
        <v>0.41299999999999998</v>
      </c>
      <c r="T78">
        <v>3</v>
      </c>
      <c r="U78">
        <v>1106</v>
      </c>
      <c r="V78">
        <v>178</v>
      </c>
      <c r="W78">
        <v>9</v>
      </c>
      <c r="X78">
        <v>487</v>
      </c>
      <c r="Y78">
        <v>46</v>
      </c>
    </row>
    <row r="79" spans="1:26" x14ac:dyDescent="0.25">
      <c r="A79">
        <v>201812</v>
      </c>
      <c r="B79">
        <v>12461</v>
      </c>
      <c r="C79">
        <v>1111</v>
      </c>
      <c r="E79" s="2">
        <f t="shared" si="6"/>
        <v>1</v>
      </c>
      <c r="H79" s="13">
        <v>0.20599999999999999</v>
      </c>
      <c r="K79" s="13">
        <v>0.14000000000000001</v>
      </c>
      <c r="L79">
        <v>3003</v>
      </c>
      <c r="M79" s="13">
        <v>0.24099999999999999</v>
      </c>
      <c r="N79">
        <v>2030</v>
      </c>
      <c r="O79" s="7">
        <f t="shared" si="4"/>
        <v>0.16290827381430062</v>
      </c>
      <c r="Q79" s="14">
        <f t="shared" si="5"/>
        <v>7.8091726185699373E-2</v>
      </c>
      <c r="R79">
        <v>5146</v>
      </c>
      <c r="S79" s="13">
        <v>0.41299999999999998</v>
      </c>
      <c r="T79">
        <v>7</v>
      </c>
      <c r="U79">
        <v>571</v>
      </c>
      <c r="V79">
        <v>196</v>
      </c>
      <c r="W79">
        <v>7</v>
      </c>
      <c r="X79">
        <v>360</v>
      </c>
      <c r="Y79">
        <v>38</v>
      </c>
    </row>
    <row r="80" spans="1:26" x14ac:dyDescent="0.25">
      <c r="A80">
        <v>201901</v>
      </c>
      <c r="B80">
        <v>9004</v>
      </c>
      <c r="C80">
        <v>1340</v>
      </c>
      <c r="E80" s="2">
        <f t="shared" si="6"/>
        <v>0.999</v>
      </c>
      <c r="H80" s="13">
        <v>0.17399999999999999</v>
      </c>
      <c r="K80" s="13">
        <v>0.19</v>
      </c>
      <c r="L80">
        <v>2313</v>
      </c>
      <c r="M80" s="13">
        <v>0.25700000000000001</v>
      </c>
      <c r="N80">
        <v>1298</v>
      </c>
      <c r="O80" s="7">
        <f t="shared" si="4"/>
        <v>0.14415815193247444</v>
      </c>
      <c r="Q80" s="14">
        <f t="shared" si="5"/>
        <v>0.11284184806752556</v>
      </c>
      <c r="R80">
        <v>3407</v>
      </c>
      <c r="S80" s="13">
        <v>0.378</v>
      </c>
      <c r="T80">
        <v>6</v>
      </c>
      <c r="U80">
        <v>789</v>
      </c>
      <c r="V80">
        <v>149</v>
      </c>
      <c r="W80">
        <v>15</v>
      </c>
      <c r="X80">
        <v>526</v>
      </c>
      <c r="Y80">
        <v>43</v>
      </c>
      <c r="Z80" s="13">
        <v>0.35699999999999998</v>
      </c>
    </row>
    <row r="81" spans="1:26" x14ac:dyDescent="0.25">
      <c r="A81">
        <v>201902</v>
      </c>
      <c r="B81">
        <v>11106</v>
      </c>
      <c r="C81">
        <v>1195</v>
      </c>
      <c r="E81" s="2">
        <f t="shared" si="6"/>
        <v>1</v>
      </c>
      <c r="H81" s="13">
        <v>0.16800000000000001</v>
      </c>
      <c r="K81" s="13">
        <v>0.188</v>
      </c>
      <c r="L81">
        <v>2629</v>
      </c>
      <c r="M81" s="13">
        <v>0.23699999999999999</v>
      </c>
      <c r="N81">
        <v>1416</v>
      </c>
      <c r="O81" s="7">
        <f t="shared" si="4"/>
        <v>0.12749864937871422</v>
      </c>
      <c r="Q81" s="14">
        <f t="shared" si="5"/>
        <v>0.10950135062128577</v>
      </c>
      <c r="R81">
        <v>4516</v>
      </c>
      <c r="S81" s="13">
        <v>0.40699999999999997</v>
      </c>
      <c r="T81">
        <v>8</v>
      </c>
      <c r="U81">
        <v>575</v>
      </c>
      <c r="V81">
        <v>132</v>
      </c>
      <c r="W81">
        <v>8</v>
      </c>
      <c r="X81">
        <v>423</v>
      </c>
      <c r="Y81">
        <v>47</v>
      </c>
      <c r="Z81" s="13">
        <v>0.44700000000000001</v>
      </c>
    </row>
    <row r="82" spans="1:26" x14ac:dyDescent="0.25">
      <c r="A82">
        <v>201903</v>
      </c>
      <c r="B82">
        <v>18375</v>
      </c>
      <c r="C82">
        <v>1347</v>
      </c>
      <c r="E82" s="2">
        <f t="shared" si="6"/>
        <v>1</v>
      </c>
      <c r="H82" s="13">
        <v>0.104</v>
      </c>
      <c r="K82" s="13">
        <v>0.123</v>
      </c>
      <c r="L82">
        <v>3469</v>
      </c>
      <c r="M82" s="13">
        <v>0.189</v>
      </c>
      <c r="N82">
        <v>2036</v>
      </c>
      <c r="O82" s="7">
        <f t="shared" si="4"/>
        <v>0.11080272108843538</v>
      </c>
      <c r="Q82" s="14">
        <f t="shared" si="5"/>
        <v>7.8197278911564624E-2</v>
      </c>
      <c r="R82">
        <v>10732</v>
      </c>
      <c r="S82" s="13">
        <v>0.58399999999999996</v>
      </c>
      <c r="T82">
        <v>4</v>
      </c>
      <c r="U82">
        <v>632</v>
      </c>
      <c r="V82">
        <v>218</v>
      </c>
      <c r="W82">
        <v>9</v>
      </c>
      <c r="X82">
        <v>500</v>
      </c>
      <c r="Y82">
        <v>73</v>
      </c>
      <c r="Z82" s="13">
        <v>0.59899999999999998</v>
      </c>
    </row>
    <row r="83" spans="1:26" x14ac:dyDescent="0.25">
      <c r="A83">
        <v>201904</v>
      </c>
      <c r="B83">
        <v>11255</v>
      </c>
      <c r="C83">
        <v>1252</v>
      </c>
      <c r="E83" s="2">
        <f t="shared" si="6"/>
        <v>1</v>
      </c>
      <c r="H83" s="13">
        <v>0.184</v>
      </c>
      <c r="K83" s="13">
        <v>0.20399999999999999</v>
      </c>
      <c r="L83">
        <v>2429</v>
      </c>
      <c r="M83" s="13">
        <v>0.216</v>
      </c>
      <c r="N83">
        <v>1141</v>
      </c>
      <c r="O83" s="7">
        <f t="shared" si="4"/>
        <v>0.10137716570413149</v>
      </c>
      <c r="Q83" s="14">
        <f t="shared" si="5"/>
        <v>0.1146228342958685</v>
      </c>
      <c r="R83">
        <v>4462</v>
      </c>
      <c r="S83" s="13">
        <v>0.39600000000000002</v>
      </c>
      <c r="T83">
        <v>7</v>
      </c>
      <c r="U83">
        <v>535</v>
      </c>
      <c r="V83">
        <v>192</v>
      </c>
      <c r="W83">
        <v>7</v>
      </c>
      <c r="X83">
        <v>507</v>
      </c>
      <c r="Y83">
        <v>75</v>
      </c>
    </row>
    <row r="84" spans="1:26" x14ac:dyDescent="0.25">
      <c r="A84">
        <v>201905</v>
      </c>
      <c r="B84">
        <v>13117</v>
      </c>
      <c r="C84">
        <v>1526</v>
      </c>
      <c r="E84" s="2">
        <f t="shared" si="6"/>
        <v>1</v>
      </c>
      <c r="H84" s="13">
        <v>0.17199999999999999</v>
      </c>
      <c r="K84" s="13">
        <v>0.184</v>
      </c>
      <c r="L84">
        <v>3792</v>
      </c>
      <c r="M84" s="13">
        <v>0.28899999999999998</v>
      </c>
      <c r="N84">
        <v>1445</v>
      </c>
      <c r="O84" s="7">
        <f t="shared" si="4"/>
        <v>0.11016238469162155</v>
      </c>
      <c r="Q84" s="14">
        <f t="shared" si="5"/>
        <v>0.17883761530837844</v>
      </c>
      <c r="R84">
        <v>4655</v>
      </c>
      <c r="S84" s="13">
        <v>0.35499999999999998</v>
      </c>
      <c r="T84">
        <v>3</v>
      </c>
      <c r="U84">
        <v>635</v>
      </c>
      <c r="V84">
        <v>209</v>
      </c>
      <c r="W84">
        <v>6</v>
      </c>
      <c r="X84">
        <v>507</v>
      </c>
      <c r="Y84">
        <v>203</v>
      </c>
    </row>
    <row r="85" spans="1:26" x14ac:dyDescent="0.25">
      <c r="A85">
        <v>201906</v>
      </c>
      <c r="B85">
        <v>15352</v>
      </c>
      <c r="C85">
        <v>1380</v>
      </c>
      <c r="E85" s="16">
        <f t="shared" si="6"/>
        <v>1.0009999999999999</v>
      </c>
      <c r="H85" s="13">
        <v>0.13500000000000001</v>
      </c>
      <c r="K85" s="13">
        <v>0.16</v>
      </c>
      <c r="L85">
        <v>3402</v>
      </c>
      <c r="M85" s="13">
        <v>0.222</v>
      </c>
      <c r="N85">
        <v>1440</v>
      </c>
      <c r="O85" s="7">
        <f t="shared" si="4"/>
        <v>9.3798853569567478E-2</v>
      </c>
      <c r="Q85" s="14">
        <f t="shared" si="5"/>
        <v>0.12820114643043251</v>
      </c>
      <c r="R85">
        <v>7428</v>
      </c>
      <c r="S85" s="13">
        <v>0.48399999999999999</v>
      </c>
      <c r="T85">
        <v>1</v>
      </c>
      <c r="U85">
        <v>567</v>
      </c>
      <c r="V85">
        <v>182</v>
      </c>
      <c r="W85">
        <v>14</v>
      </c>
      <c r="X85">
        <v>708</v>
      </c>
      <c r="Y85">
        <v>696</v>
      </c>
    </row>
    <row r="86" spans="1:26" x14ac:dyDescent="0.25">
      <c r="A86">
        <v>201907</v>
      </c>
      <c r="B86">
        <v>9178</v>
      </c>
      <c r="C86">
        <v>1586</v>
      </c>
      <c r="E86" s="2">
        <f t="shared" si="6"/>
        <v>1</v>
      </c>
      <c r="H86" s="13">
        <v>0.188</v>
      </c>
      <c r="K86" s="13">
        <v>0.183</v>
      </c>
      <c r="L86">
        <v>2285</v>
      </c>
      <c r="M86" s="13">
        <v>0.249</v>
      </c>
      <c r="N86">
        <v>943</v>
      </c>
      <c r="O86" s="7">
        <f t="shared" si="4"/>
        <v>0.10274569623011549</v>
      </c>
      <c r="Q86" s="14">
        <f t="shared" si="5"/>
        <v>0.14625430376988452</v>
      </c>
      <c r="R86">
        <v>3484</v>
      </c>
      <c r="S86" s="13">
        <v>0.38</v>
      </c>
      <c r="T86">
        <v>0</v>
      </c>
      <c r="U86">
        <v>522</v>
      </c>
      <c r="V86">
        <v>61</v>
      </c>
      <c r="W86">
        <v>9</v>
      </c>
      <c r="X86">
        <v>374</v>
      </c>
      <c r="Y86">
        <v>585</v>
      </c>
    </row>
    <row r="87" spans="1:26" x14ac:dyDescent="0.25">
      <c r="A87">
        <v>201908</v>
      </c>
      <c r="B87">
        <v>12073</v>
      </c>
      <c r="C87">
        <v>1609</v>
      </c>
      <c r="E87" s="2">
        <f t="shared" si="6"/>
        <v>1</v>
      </c>
      <c r="H87" s="13">
        <v>0.19</v>
      </c>
      <c r="K87" s="13">
        <v>0.191</v>
      </c>
      <c r="L87">
        <v>2761</v>
      </c>
      <c r="M87" s="13">
        <v>0.22899999999999998</v>
      </c>
      <c r="N87">
        <v>1206</v>
      </c>
      <c r="O87" s="7">
        <f t="shared" si="4"/>
        <v>9.9892321709599941E-2</v>
      </c>
      <c r="Q87" s="14">
        <f t="shared" si="5"/>
        <v>0.12910767829040004</v>
      </c>
      <c r="R87">
        <v>4713</v>
      </c>
      <c r="S87" s="13">
        <v>0.39</v>
      </c>
      <c r="T87">
        <v>0</v>
      </c>
      <c r="U87">
        <v>648</v>
      </c>
      <c r="V87">
        <v>131</v>
      </c>
      <c r="W87">
        <v>7</v>
      </c>
      <c r="X87">
        <v>623</v>
      </c>
      <c r="Y87">
        <v>231</v>
      </c>
    </row>
    <row r="88" spans="1:26" x14ac:dyDescent="0.25">
      <c r="A88">
        <v>201909</v>
      </c>
      <c r="B88">
        <v>11157</v>
      </c>
      <c r="C88">
        <v>1348</v>
      </c>
      <c r="E88" s="2">
        <f t="shared" si="6"/>
        <v>1</v>
      </c>
      <c r="H88" s="13">
        <v>0.124</v>
      </c>
      <c r="K88" s="13">
        <v>0.10299999999999999</v>
      </c>
      <c r="L88">
        <v>2542</v>
      </c>
      <c r="M88" s="13">
        <v>0.22800000000000001</v>
      </c>
      <c r="N88">
        <v>1139</v>
      </c>
      <c r="O88" s="7">
        <f t="shared" si="4"/>
        <v>0.10208837501120373</v>
      </c>
      <c r="Q88" s="14">
        <f t="shared" si="5"/>
        <v>0.12591162498879627</v>
      </c>
      <c r="R88">
        <v>6086</v>
      </c>
      <c r="S88" s="13">
        <v>0.54500000000000004</v>
      </c>
      <c r="T88">
        <v>0</v>
      </c>
      <c r="U88">
        <v>578</v>
      </c>
      <c r="V88">
        <v>141</v>
      </c>
      <c r="W88">
        <v>7</v>
      </c>
      <c r="X88">
        <v>513</v>
      </c>
      <c r="Y88">
        <v>99</v>
      </c>
    </row>
    <row r="89" spans="1:26" x14ac:dyDescent="0.25">
      <c r="A89">
        <v>201910</v>
      </c>
      <c r="B89">
        <v>10479</v>
      </c>
      <c r="C89">
        <v>1248</v>
      </c>
      <c r="E89" s="16">
        <f t="shared" si="6"/>
        <v>1.0009999999999999</v>
      </c>
      <c r="H89" s="13">
        <v>0.158</v>
      </c>
      <c r="K89" s="13">
        <v>0.114</v>
      </c>
      <c r="L89">
        <v>3893</v>
      </c>
      <c r="M89" s="13">
        <v>0.372</v>
      </c>
      <c r="N89">
        <v>2364</v>
      </c>
      <c r="O89" s="7">
        <f t="shared" si="4"/>
        <v>0.2255940452333238</v>
      </c>
      <c r="Q89" s="14">
        <f t="shared" si="5"/>
        <v>0.1464059547666762</v>
      </c>
      <c r="R89">
        <v>3742</v>
      </c>
      <c r="S89" s="13">
        <v>0.35699999999999998</v>
      </c>
      <c r="T89">
        <v>0</v>
      </c>
      <c r="U89">
        <v>608</v>
      </c>
      <c r="V89">
        <v>182</v>
      </c>
      <c r="W89">
        <v>6</v>
      </c>
      <c r="X89">
        <v>646</v>
      </c>
      <c r="Y89">
        <v>115</v>
      </c>
    </row>
    <row r="90" spans="1:26" x14ac:dyDescent="0.25">
      <c r="A90">
        <v>201911</v>
      </c>
      <c r="B90">
        <v>10031</v>
      </c>
      <c r="C90">
        <v>956</v>
      </c>
      <c r="E90" s="2">
        <f t="shared" si="6"/>
        <v>1</v>
      </c>
      <c r="H90" s="13">
        <v>0.158</v>
      </c>
      <c r="K90" s="13">
        <v>0.113</v>
      </c>
      <c r="L90">
        <v>3610</v>
      </c>
      <c r="M90" s="13">
        <v>0.36</v>
      </c>
      <c r="N90">
        <v>2273</v>
      </c>
      <c r="O90" s="7">
        <f t="shared" si="4"/>
        <v>0.22659754760243245</v>
      </c>
      <c r="Q90" s="14">
        <f t="shared" si="5"/>
        <v>0.13340245239756754</v>
      </c>
      <c r="R90">
        <v>3697</v>
      </c>
      <c r="S90" s="13">
        <v>0.36899999999999999</v>
      </c>
      <c r="T90">
        <v>0</v>
      </c>
      <c r="U90">
        <v>439</v>
      </c>
      <c r="V90">
        <v>161</v>
      </c>
      <c r="W90">
        <v>11</v>
      </c>
      <c r="X90">
        <v>516</v>
      </c>
      <c r="Y90">
        <v>45</v>
      </c>
    </row>
    <row r="91" spans="1:26" x14ac:dyDescent="0.25">
      <c r="A91">
        <v>201912</v>
      </c>
      <c r="B91">
        <v>11254</v>
      </c>
      <c r="C91">
        <v>681</v>
      </c>
      <c r="E91" s="2">
        <f t="shared" si="6"/>
        <v>1</v>
      </c>
      <c r="H91" s="13">
        <v>0.218</v>
      </c>
      <c r="K91" s="13">
        <v>0.14799999999999999</v>
      </c>
      <c r="L91">
        <v>3712</v>
      </c>
      <c r="M91" s="13">
        <v>0.33</v>
      </c>
      <c r="N91">
        <v>2594</v>
      </c>
      <c r="O91" s="7">
        <f t="shared" si="4"/>
        <v>0.23049582370712635</v>
      </c>
      <c r="Q91" s="14">
        <f t="shared" si="5"/>
        <v>9.9504176292873669E-2</v>
      </c>
      <c r="R91">
        <v>3423</v>
      </c>
      <c r="S91" s="13">
        <v>0.30399999999999999</v>
      </c>
      <c r="T91">
        <v>0</v>
      </c>
      <c r="U91">
        <v>276</v>
      </c>
      <c r="V91">
        <v>170</v>
      </c>
      <c r="W91">
        <v>3</v>
      </c>
      <c r="X91">
        <v>311</v>
      </c>
      <c r="Y91">
        <v>118</v>
      </c>
    </row>
    <row r="92" spans="1:26" x14ac:dyDescent="0.25">
      <c r="A92">
        <v>202001</v>
      </c>
      <c r="B92">
        <v>9561</v>
      </c>
      <c r="C92">
        <v>847</v>
      </c>
      <c r="E92" s="2">
        <f t="shared" si="6"/>
        <v>1</v>
      </c>
      <c r="H92" s="13">
        <v>0.114</v>
      </c>
      <c r="K92" s="13">
        <v>0.10100000000000001</v>
      </c>
      <c r="L92">
        <v>3270</v>
      </c>
      <c r="M92" s="13">
        <v>0.34200000000000003</v>
      </c>
      <c r="N92">
        <v>1919</v>
      </c>
      <c r="O92" s="7">
        <f t="shared" si="4"/>
        <v>0.20071122267545236</v>
      </c>
      <c r="Q92" s="14">
        <f t="shared" si="5"/>
        <v>0.14128877732454767</v>
      </c>
      <c r="R92">
        <v>4236</v>
      </c>
      <c r="S92" s="13">
        <v>0.443</v>
      </c>
      <c r="T92">
        <v>0</v>
      </c>
      <c r="U92">
        <v>336</v>
      </c>
      <c r="V92">
        <v>253</v>
      </c>
      <c r="W92">
        <v>0</v>
      </c>
      <c r="X92">
        <v>539</v>
      </c>
      <c r="Y92">
        <v>102</v>
      </c>
      <c r="Z92" s="13">
        <v>0.44800000000000001</v>
      </c>
    </row>
    <row r="93" spans="1:26" x14ac:dyDescent="0.25">
      <c r="A93">
        <v>202002</v>
      </c>
      <c r="B93">
        <v>10346</v>
      </c>
      <c r="C93">
        <v>886</v>
      </c>
      <c r="E93" s="2">
        <f t="shared" si="6"/>
        <v>1.0009999999999999</v>
      </c>
      <c r="H93" s="13">
        <v>0.112</v>
      </c>
      <c r="K93" s="13">
        <v>9.7000000000000003E-2</v>
      </c>
      <c r="L93">
        <v>3047</v>
      </c>
      <c r="M93" s="13">
        <v>0.29499999999999998</v>
      </c>
      <c r="N93">
        <v>1910</v>
      </c>
      <c r="O93" s="7">
        <f t="shared" si="4"/>
        <v>0.18461241059346609</v>
      </c>
      <c r="Q93" s="14">
        <f t="shared" si="5"/>
        <v>0.1103875894065339</v>
      </c>
      <c r="R93">
        <v>5145</v>
      </c>
      <c r="S93" s="13">
        <v>0.497</v>
      </c>
      <c r="T93">
        <v>0</v>
      </c>
      <c r="U93">
        <v>332</v>
      </c>
      <c r="V93">
        <v>198</v>
      </c>
      <c r="W93">
        <v>3</v>
      </c>
      <c r="X93">
        <v>423</v>
      </c>
      <c r="Y93">
        <v>25</v>
      </c>
      <c r="Z93" s="13">
        <v>0.42</v>
      </c>
    </row>
    <row r="94" spans="1:26" x14ac:dyDescent="0.25">
      <c r="A94">
        <v>202003</v>
      </c>
      <c r="B94">
        <v>12451</v>
      </c>
      <c r="C94">
        <v>623</v>
      </c>
      <c r="E94" s="2">
        <f t="shared" si="6"/>
        <v>0.99900000000000011</v>
      </c>
      <c r="H94" s="13">
        <v>0.1</v>
      </c>
      <c r="K94" s="13">
        <v>7.6999999999999999E-2</v>
      </c>
      <c r="L94">
        <v>3276</v>
      </c>
      <c r="M94" s="13">
        <v>0.26300000000000001</v>
      </c>
      <c r="N94">
        <v>2392</v>
      </c>
      <c r="O94" s="7">
        <f t="shared" ref="O94:O123" si="7">N94/B94</f>
        <v>0.19211308328648302</v>
      </c>
      <c r="Q94" s="14">
        <f t="shared" si="5"/>
        <v>7.088691671351699E-2</v>
      </c>
      <c r="R94">
        <v>6966</v>
      </c>
      <c r="S94" s="13">
        <v>0.55900000000000005</v>
      </c>
      <c r="T94">
        <v>0</v>
      </c>
      <c r="U94">
        <v>267</v>
      </c>
      <c r="V94">
        <v>180</v>
      </c>
      <c r="W94">
        <v>4</v>
      </c>
      <c r="X94">
        <v>415</v>
      </c>
      <c r="Y94">
        <v>59</v>
      </c>
      <c r="Z94" s="13">
        <v>0.48499999999999999</v>
      </c>
    </row>
    <row r="95" spans="1:26" x14ac:dyDescent="0.25">
      <c r="A95">
        <v>202004</v>
      </c>
      <c r="B95">
        <v>7425</v>
      </c>
      <c r="C95">
        <v>598</v>
      </c>
      <c r="E95" s="2">
        <f t="shared" si="6"/>
        <v>1</v>
      </c>
      <c r="H95" s="13">
        <v>0.11899999999999999</v>
      </c>
      <c r="K95" s="13">
        <v>0.106</v>
      </c>
      <c r="L95">
        <v>2084</v>
      </c>
      <c r="M95" s="13">
        <v>0.28100000000000003</v>
      </c>
      <c r="N95">
        <v>1497</v>
      </c>
      <c r="O95" s="7">
        <f t="shared" si="7"/>
        <v>0.20161616161616161</v>
      </c>
      <c r="Q95" s="14">
        <f t="shared" si="5"/>
        <v>7.9383838383838418E-2</v>
      </c>
      <c r="R95">
        <v>3671</v>
      </c>
      <c r="S95" s="13">
        <v>0.49399999999999999</v>
      </c>
      <c r="T95">
        <v>1</v>
      </c>
      <c r="U95">
        <v>227</v>
      </c>
      <c r="V95">
        <v>120</v>
      </c>
      <c r="W95">
        <v>3</v>
      </c>
      <c r="X95">
        <v>473</v>
      </c>
      <c r="Y95">
        <v>117</v>
      </c>
      <c r="Z95" s="13">
        <v>0.437</v>
      </c>
    </row>
    <row r="96" spans="1:26" x14ac:dyDescent="0.25">
      <c r="A96">
        <v>202005</v>
      </c>
      <c r="B96">
        <v>7998</v>
      </c>
      <c r="C96">
        <v>953</v>
      </c>
      <c r="E96" s="2">
        <f t="shared" si="6"/>
        <v>1.0008177044261064</v>
      </c>
      <c r="H96" s="13">
        <v>0.11700000000000001</v>
      </c>
      <c r="K96" s="13">
        <v>0.113</v>
      </c>
      <c r="L96">
        <v>2721</v>
      </c>
      <c r="M96" s="13">
        <f>L96/B96</f>
        <v>0.3402100525131283</v>
      </c>
      <c r="N96">
        <v>1805</v>
      </c>
      <c r="O96" s="7">
        <f t="shared" si="7"/>
        <v>0.22568142035508879</v>
      </c>
      <c r="Q96" s="14">
        <f t="shared" si="5"/>
        <v>0.11452863215803952</v>
      </c>
      <c r="R96">
        <v>3444</v>
      </c>
      <c r="S96" s="17">
        <f t="shared" ref="S96:S123" si="8">R96/B96</f>
        <v>0.43060765191297823</v>
      </c>
      <c r="T96">
        <v>0</v>
      </c>
      <c r="U96">
        <v>264</v>
      </c>
      <c r="V96">
        <v>83</v>
      </c>
      <c r="W96">
        <v>3</v>
      </c>
      <c r="X96">
        <v>416</v>
      </c>
      <c r="Y96">
        <v>69</v>
      </c>
      <c r="Z96" s="13">
        <v>0.48</v>
      </c>
    </row>
    <row r="97" spans="1:26" x14ac:dyDescent="0.25">
      <c r="A97">
        <v>202006</v>
      </c>
      <c r="B97">
        <v>11443</v>
      </c>
      <c r="C97">
        <v>1058</v>
      </c>
      <c r="E97" s="2">
        <f t="shared" si="6"/>
        <v>1.0005313291968889</v>
      </c>
      <c r="G97">
        <v>1393</v>
      </c>
      <c r="H97" s="13">
        <v>0.122</v>
      </c>
      <c r="J97">
        <v>1397</v>
      </c>
      <c r="K97" s="13">
        <v>0.122</v>
      </c>
      <c r="L97">
        <v>3611</v>
      </c>
      <c r="M97" s="13">
        <v>0.316</v>
      </c>
      <c r="N97">
        <v>2546</v>
      </c>
      <c r="O97" s="7">
        <f t="shared" si="7"/>
        <v>0.22249410119723848</v>
      </c>
      <c r="P97">
        <v>1065</v>
      </c>
      <c r="Q97" s="14">
        <f t="shared" si="5"/>
        <v>9.3505898802761528E-2</v>
      </c>
      <c r="R97">
        <v>5041</v>
      </c>
      <c r="S97" s="17">
        <f t="shared" si="8"/>
        <v>0.44053132919688892</v>
      </c>
      <c r="T97" s="18">
        <v>0</v>
      </c>
      <c r="U97">
        <v>393</v>
      </c>
      <c r="V97">
        <v>157</v>
      </c>
      <c r="W97">
        <v>2</v>
      </c>
      <c r="X97">
        <v>390</v>
      </c>
      <c r="Y97">
        <v>389</v>
      </c>
      <c r="Z97" s="13">
        <v>0.42</v>
      </c>
    </row>
    <row r="98" spans="1:26" x14ac:dyDescent="0.25">
      <c r="A98">
        <v>202007</v>
      </c>
      <c r="B98">
        <v>9772</v>
      </c>
      <c r="C98">
        <v>1344</v>
      </c>
      <c r="E98" s="2">
        <f t="shared" si="6"/>
        <v>1</v>
      </c>
      <c r="G98">
        <v>1249</v>
      </c>
      <c r="H98" s="13">
        <f t="shared" ref="H98:H123" si="9">G98/B98</f>
        <v>0.12781416291444944</v>
      </c>
      <c r="J98">
        <v>1026</v>
      </c>
      <c r="K98" s="13">
        <f t="shared" ref="K98:K123" si="10">J98/B98</f>
        <v>0.10499386000818665</v>
      </c>
      <c r="L98">
        <v>3089</v>
      </c>
      <c r="M98" s="13">
        <f t="shared" ref="M98:M123" si="11">L98/B98</f>
        <v>0.31610724519033973</v>
      </c>
      <c r="N98">
        <v>2278</v>
      </c>
      <c r="O98" s="7">
        <f t="shared" si="7"/>
        <v>0.23311502251330332</v>
      </c>
      <c r="P98">
        <v>811</v>
      </c>
      <c r="Q98" s="14">
        <f t="shared" ref="Q98:Q123" si="12">P98/B98</f>
        <v>8.2992222677036431E-2</v>
      </c>
      <c r="R98">
        <v>4408</v>
      </c>
      <c r="S98" s="17">
        <f t="shared" si="8"/>
        <v>0.45108473188702414</v>
      </c>
      <c r="T98" s="18">
        <v>0</v>
      </c>
      <c r="U98">
        <v>532</v>
      </c>
      <c r="V98">
        <v>90</v>
      </c>
      <c r="W98">
        <v>4</v>
      </c>
      <c r="X98">
        <v>204</v>
      </c>
      <c r="Y98">
        <v>50</v>
      </c>
      <c r="Z98" s="13">
        <v>0.48699999999999999</v>
      </c>
    </row>
    <row r="99" spans="1:26" x14ac:dyDescent="0.25">
      <c r="A99">
        <v>202008</v>
      </c>
      <c r="B99">
        <v>10802</v>
      </c>
      <c r="C99">
        <v>1432</v>
      </c>
      <c r="E99" s="2">
        <f t="shared" si="6"/>
        <v>0.99981484910201812</v>
      </c>
      <c r="G99">
        <v>1064</v>
      </c>
      <c r="H99" s="13">
        <f t="shared" si="9"/>
        <v>9.8500277726346966E-2</v>
      </c>
      <c r="J99">
        <v>1201</v>
      </c>
      <c r="K99" s="13">
        <f t="shared" si="10"/>
        <v>0.11118311423810405</v>
      </c>
      <c r="L99">
        <v>2831</v>
      </c>
      <c r="M99" s="13">
        <f t="shared" si="11"/>
        <v>0.26208109609331603</v>
      </c>
      <c r="N99">
        <v>1881</v>
      </c>
      <c r="O99" s="7">
        <f t="shared" si="7"/>
        <v>0.17413441955193482</v>
      </c>
      <c r="P99">
        <v>950</v>
      </c>
      <c r="Q99" s="14">
        <f t="shared" si="12"/>
        <v>8.7946676541381219E-2</v>
      </c>
      <c r="R99">
        <v>5704</v>
      </c>
      <c r="S99" s="17">
        <f t="shared" si="8"/>
        <v>0.52805036104425107</v>
      </c>
      <c r="T99">
        <v>0</v>
      </c>
      <c r="U99">
        <v>744</v>
      </c>
      <c r="V99">
        <v>105</v>
      </c>
      <c r="W99">
        <v>1</v>
      </c>
      <c r="X99">
        <v>323</v>
      </c>
      <c r="Y99">
        <v>63</v>
      </c>
      <c r="Z99" s="13">
        <v>0.47499999999999998</v>
      </c>
    </row>
    <row r="100" spans="1:26" x14ac:dyDescent="0.25">
      <c r="A100">
        <v>202009</v>
      </c>
      <c r="B100">
        <v>15552</v>
      </c>
      <c r="C100">
        <v>1442</v>
      </c>
      <c r="E100" s="2">
        <f t="shared" si="6"/>
        <v>1</v>
      </c>
      <c r="G100">
        <v>781</v>
      </c>
      <c r="H100" s="13">
        <f t="shared" si="9"/>
        <v>5.0218621399176953E-2</v>
      </c>
      <c r="J100">
        <v>952</v>
      </c>
      <c r="K100" s="13">
        <f t="shared" si="10"/>
        <v>6.1213991769547324E-2</v>
      </c>
      <c r="L100">
        <v>4259</v>
      </c>
      <c r="M100" s="13">
        <f t="shared" si="11"/>
        <v>0.27385545267489714</v>
      </c>
      <c r="N100">
        <v>3129</v>
      </c>
      <c r="O100" s="7">
        <f t="shared" si="7"/>
        <v>0.20119598765432098</v>
      </c>
      <c r="P100">
        <v>1130</v>
      </c>
      <c r="Q100" s="14">
        <f t="shared" si="12"/>
        <v>7.2659465020576131E-2</v>
      </c>
      <c r="R100">
        <v>9560</v>
      </c>
      <c r="S100" s="17">
        <f t="shared" si="8"/>
        <v>0.61471193415637859</v>
      </c>
      <c r="T100">
        <v>0</v>
      </c>
      <c r="U100">
        <v>751</v>
      </c>
      <c r="V100">
        <v>306</v>
      </c>
      <c r="W100">
        <v>2</v>
      </c>
      <c r="X100">
        <v>367</v>
      </c>
      <c r="Y100">
        <v>172</v>
      </c>
      <c r="Z100" s="13">
        <v>0.45800000000000002</v>
      </c>
    </row>
    <row r="101" spans="1:26" x14ac:dyDescent="0.25">
      <c r="A101">
        <v>202010</v>
      </c>
      <c r="B101">
        <v>12948</v>
      </c>
      <c r="C101">
        <v>1260</v>
      </c>
      <c r="E101" s="2">
        <f t="shared" si="6"/>
        <v>1</v>
      </c>
      <c r="G101">
        <v>712</v>
      </c>
      <c r="H101" s="13">
        <f t="shared" si="9"/>
        <v>5.4989187519308001E-2</v>
      </c>
      <c r="J101">
        <v>764</v>
      </c>
      <c r="K101" s="13">
        <f t="shared" si="10"/>
        <v>5.9005251776336115E-2</v>
      </c>
      <c r="L101">
        <v>3599</v>
      </c>
      <c r="M101" s="13">
        <f t="shared" si="11"/>
        <v>0.27795798578931108</v>
      </c>
      <c r="N101">
        <v>2372</v>
      </c>
      <c r="O101" s="7">
        <f t="shared" si="7"/>
        <v>0.1831943157244362</v>
      </c>
      <c r="P101">
        <v>1227</v>
      </c>
      <c r="Q101" s="14">
        <f t="shared" si="12"/>
        <v>9.4763670064874878E-2</v>
      </c>
      <c r="R101">
        <v>7873</v>
      </c>
      <c r="S101" s="17">
        <f t="shared" si="8"/>
        <v>0.6080475749150448</v>
      </c>
      <c r="U101">
        <v>671</v>
      </c>
      <c r="V101">
        <v>242</v>
      </c>
      <c r="W101">
        <v>0</v>
      </c>
      <c r="X101">
        <v>457</v>
      </c>
      <c r="Y101">
        <v>152</v>
      </c>
      <c r="Z101" s="13">
        <v>0.34</v>
      </c>
    </row>
    <row r="102" spans="1:26" x14ac:dyDescent="0.25">
      <c r="A102">
        <v>202011</v>
      </c>
      <c r="B102">
        <v>12533</v>
      </c>
      <c r="C102">
        <v>1044</v>
      </c>
      <c r="E102" s="2">
        <f t="shared" si="6"/>
        <v>1</v>
      </c>
      <c r="G102">
        <v>678</v>
      </c>
      <c r="H102" s="13">
        <f t="shared" si="9"/>
        <v>5.4097183435729675E-2</v>
      </c>
      <c r="J102">
        <v>641</v>
      </c>
      <c r="K102" s="13">
        <f t="shared" si="10"/>
        <v>5.114497726003351E-2</v>
      </c>
      <c r="L102">
        <v>4179</v>
      </c>
      <c r="M102" s="13">
        <f t="shared" si="11"/>
        <v>0.33343971914146653</v>
      </c>
      <c r="N102">
        <v>2983</v>
      </c>
      <c r="O102" s="7">
        <f t="shared" si="7"/>
        <v>0.23801164924599058</v>
      </c>
      <c r="P102">
        <v>1196</v>
      </c>
      <c r="Q102" s="14">
        <f t="shared" si="12"/>
        <v>9.5428069895475948E-2</v>
      </c>
      <c r="R102">
        <v>7035</v>
      </c>
      <c r="S102" s="17">
        <f t="shared" si="8"/>
        <v>0.56131812016277027</v>
      </c>
      <c r="U102">
        <v>505</v>
      </c>
      <c r="V102">
        <v>373</v>
      </c>
      <c r="W102">
        <v>4</v>
      </c>
      <c r="X102">
        <v>380</v>
      </c>
      <c r="Y102">
        <v>72</v>
      </c>
      <c r="Z102" s="13">
        <v>0.48399999999999999</v>
      </c>
    </row>
    <row r="103" spans="1:26" x14ac:dyDescent="0.25">
      <c r="A103">
        <v>202012</v>
      </c>
      <c r="B103">
        <v>20574</v>
      </c>
      <c r="C103">
        <v>861</v>
      </c>
      <c r="E103" s="2">
        <f t="shared" si="6"/>
        <v>0.99995139496451835</v>
      </c>
      <c r="G103">
        <v>980</v>
      </c>
      <c r="H103" s="13">
        <f t="shared" si="9"/>
        <v>4.7632934772042383E-2</v>
      </c>
      <c r="J103">
        <v>557</v>
      </c>
      <c r="K103" s="13">
        <f t="shared" si="10"/>
        <v>2.7073004763293478E-2</v>
      </c>
      <c r="L103">
        <v>5318</v>
      </c>
      <c r="M103" s="13">
        <f t="shared" si="11"/>
        <v>0.25848157869155247</v>
      </c>
      <c r="N103">
        <v>4192</v>
      </c>
      <c r="O103" s="7">
        <f t="shared" si="7"/>
        <v>0.20375230873918537</v>
      </c>
      <c r="P103">
        <v>1126</v>
      </c>
      <c r="Q103" s="14">
        <f t="shared" si="12"/>
        <v>5.4729269952367064E-2</v>
      </c>
      <c r="R103">
        <v>13718</v>
      </c>
      <c r="S103" s="17">
        <f t="shared" si="8"/>
        <v>0.66676387673763005</v>
      </c>
      <c r="U103">
        <v>403</v>
      </c>
      <c r="V103">
        <v>335</v>
      </c>
      <c r="W103">
        <v>1</v>
      </c>
      <c r="X103">
        <v>291</v>
      </c>
      <c r="Y103">
        <v>159</v>
      </c>
      <c r="Z103" s="13">
        <v>0.6</v>
      </c>
    </row>
    <row r="104" spans="1:26" x14ac:dyDescent="0.25">
      <c r="A104">
        <v>202101</v>
      </c>
      <c r="B104">
        <v>10301</v>
      </c>
      <c r="C104">
        <v>853</v>
      </c>
      <c r="E104" s="2">
        <f t="shared" si="6"/>
        <v>1</v>
      </c>
      <c r="G104">
        <v>641</v>
      </c>
      <c r="H104" s="13">
        <f t="shared" si="9"/>
        <v>6.2226968255509177E-2</v>
      </c>
      <c r="J104">
        <v>515</v>
      </c>
      <c r="K104" s="13">
        <f t="shared" si="10"/>
        <v>4.9995146102320163E-2</v>
      </c>
      <c r="L104">
        <v>3684</v>
      </c>
      <c r="M104" s="13">
        <f t="shared" si="11"/>
        <v>0.35763518105038344</v>
      </c>
      <c r="N104">
        <v>2848</v>
      </c>
      <c r="O104" s="7">
        <f t="shared" si="7"/>
        <v>0.27647801184351034</v>
      </c>
      <c r="P104">
        <v>836</v>
      </c>
      <c r="Q104" s="14">
        <f t="shared" si="12"/>
        <v>8.1157169206873117E-2</v>
      </c>
      <c r="R104">
        <v>5461</v>
      </c>
      <c r="S104" s="17">
        <f t="shared" si="8"/>
        <v>0.53014270459178725</v>
      </c>
      <c r="T104">
        <v>0</v>
      </c>
      <c r="U104">
        <v>472</v>
      </c>
      <c r="V104">
        <v>473</v>
      </c>
      <c r="W104">
        <v>2</v>
      </c>
      <c r="X104">
        <v>468</v>
      </c>
      <c r="Y104">
        <v>46</v>
      </c>
      <c r="Z104" s="13">
        <v>0.56399999999999995</v>
      </c>
    </row>
    <row r="105" spans="1:26" x14ac:dyDescent="0.25">
      <c r="A105">
        <v>202102</v>
      </c>
      <c r="B105">
        <v>10687</v>
      </c>
      <c r="C105">
        <v>1076</v>
      </c>
      <c r="E105" s="2">
        <f t="shared" si="6"/>
        <v>1</v>
      </c>
      <c r="G105">
        <v>730</v>
      </c>
      <c r="H105" s="13">
        <f t="shared" si="9"/>
        <v>6.8307289229905491E-2</v>
      </c>
      <c r="J105">
        <v>633</v>
      </c>
      <c r="K105" s="13">
        <f t="shared" si="10"/>
        <v>5.9230841208945451E-2</v>
      </c>
      <c r="L105">
        <v>4250</v>
      </c>
      <c r="M105" s="13">
        <f t="shared" si="11"/>
        <v>0.39767942359876485</v>
      </c>
      <c r="N105">
        <v>3378</v>
      </c>
      <c r="O105" s="7">
        <f t="shared" si="7"/>
        <v>0.31608496303920652</v>
      </c>
      <c r="P105">
        <v>872</v>
      </c>
      <c r="Q105" s="14">
        <f t="shared" si="12"/>
        <v>8.1594460559558338E-2</v>
      </c>
      <c r="R105">
        <v>5074</v>
      </c>
      <c r="S105" s="17">
        <f t="shared" si="8"/>
        <v>0.47478244596238423</v>
      </c>
      <c r="U105">
        <v>632</v>
      </c>
      <c r="V105">
        <v>416</v>
      </c>
      <c r="W105">
        <v>1</v>
      </c>
      <c r="X105">
        <v>388</v>
      </c>
      <c r="Y105">
        <v>25</v>
      </c>
      <c r="Z105" s="13">
        <v>0.54300000000000004</v>
      </c>
    </row>
    <row r="106" spans="1:26" x14ac:dyDescent="0.25">
      <c r="A106">
        <v>202103</v>
      </c>
      <c r="B106">
        <v>15321</v>
      </c>
      <c r="C106">
        <v>1397</v>
      </c>
      <c r="E106" s="2">
        <f t="shared" si="6"/>
        <v>1</v>
      </c>
      <c r="G106">
        <v>723</v>
      </c>
      <c r="H106" s="13">
        <f t="shared" si="9"/>
        <v>4.7190131192480909E-2</v>
      </c>
      <c r="J106">
        <v>730</v>
      </c>
      <c r="K106" s="13">
        <f t="shared" si="10"/>
        <v>4.7647020429475884E-2</v>
      </c>
      <c r="L106">
        <v>5244</v>
      </c>
      <c r="M106" s="13">
        <f t="shared" si="11"/>
        <v>0.34227530840023496</v>
      </c>
      <c r="N106">
        <v>4379</v>
      </c>
      <c r="O106" s="7">
        <f t="shared" si="7"/>
        <v>0.28581685268585599</v>
      </c>
      <c r="P106">
        <v>865</v>
      </c>
      <c r="Q106" s="14">
        <f t="shared" si="12"/>
        <v>5.6458455714378956E-2</v>
      </c>
      <c r="R106">
        <v>8624</v>
      </c>
      <c r="S106" s="17">
        <f t="shared" si="8"/>
        <v>0.56288753997780827</v>
      </c>
      <c r="U106">
        <v>752</v>
      </c>
      <c r="V106">
        <v>572</v>
      </c>
      <c r="W106">
        <v>1</v>
      </c>
      <c r="X106">
        <v>406</v>
      </c>
      <c r="Y106">
        <v>59</v>
      </c>
      <c r="Z106" s="13">
        <v>0.55600000000000005</v>
      </c>
    </row>
    <row r="107" spans="1:26" x14ac:dyDescent="0.25">
      <c r="A107">
        <v>202104</v>
      </c>
      <c r="B107">
        <v>13166</v>
      </c>
      <c r="C107">
        <v>1519</v>
      </c>
      <c r="E107" s="2">
        <f t="shared" si="6"/>
        <v>1</v>
      </c>
      <c r="G107">
        <v>730</v>
      </c>
      <c r="H107" s="13">
        <f t="shared" si="9"/>
        <v>5.54458453592587E-2</v>
      </c>
      <c r="J107">
        <v>973</v>
      </c>
      <c r="K107" s="13">
        <f t="shared" si="10"/>
        <v>7.3902476074737961E-2</v>
      </c>
      <c r="L107">
        <v>4234</v>
      </c>
      <c r="M107" s="13">
        <f t="shared" si="11"/>
        <v>0.32158590308370044</v>
      </c>
      <c r="N107">
        <v>3316</v>
      </c>
      <c r="O107" s="7">
        <f t="shared" si="7"/>
        <v>0.2518608537141121</v>
      </c>
      <c r="P107">
        <v>918</v>
      </c>
      <c r="Q107" s="14">
        <f t="shared" si="12"/>
        <v>6.9725049369588329E-2</v>
      </c>
      <c r="R107">
        <v>7229</v>
      </c>
      <c r="S107" s="17">
        <f t="shared" si="8"/>
        <v>0.54906577548230295</v>
      </c>
      <c r="U107">
        <v>737</v>
      </c>
      <c r="V107">
        <v>687</v>
      </c>
      <c r="W107">
        <v>4</v>
      </c>
      <c r="X107">
        <v>400</v>
      </c>
      <c r="Y107">
        <v>38</v>
      </c>
      <c r="Z107" s="13">
        <v>0.45200000000000001</v>
      </c>
    </row>
    <row r="108" spans="1:26" x14ac:dyDescent="0.25">
      <c r="A108">
        <v>202105</v>
      </c>
      <c r="B108">
        <v>14063</v>
      </c>
      <c r="C108">
        <v>1531</v>
      </c>
      <c r="E108" s="2">
        <f t="shared" si="6"/>
        <v>1</v>
      </c>
      <c r="G108">
        <v>578</v>
      </c>
      <c r="H108" s="13">
        <f t="shared" si="9"/>
        <v>4.1100760861836026E-2</v>
      </c>
      <c r="J108">
        <v>668</v>
      </c>
      <c r="K108" s="13">
        <f t="shared" si="10"/>
        <v>4.7500533314371048E-2</v>
      </c>
      <c r="L108">
        <v>4319</v>
      </c>
      <c r="M108" s="13">
        <f t="shared" si="11"/>
        <v>0.30711796913887507</v>
      </c>
      <c r="N108">
        <v>3221</v>
      </c>
      <c r="O108" s="7">
        <f t="shared" si="7"/>
        <v>0.22904074521794782</v>
      </c>
      <c r="P108">
        <v>1098</v>
      </c>
      <c r="Q108" s="14">
        <f t="shared" si="12"/>
        <v>7.8077223920927252E-2</v>
      </c>
      <c r="R108">
        <v>8498</v>
      </c>
      <c r="S108" s="17">
        <f t="shared" si="8"/>
        <v>0.60428073668491789</v>
      </c>
      <c r="T108">
        <v>0</v>
      </c>
      <c r="U108">
        <v>742</v>
      </c>
      <c r="V108">
        <v>637</v>
      </c>
      <c r="W108">
        <v>1</v>
      </c>
      <c r="X108">
        <v>402</v>
      </c>
      <c r="Y108">
        <v>37</v>
      </c>
      <c r="Z108" s="13">
        <v>0.48399999999999999</v>
      </c>
    </row>
    <row r="109" spans="1:26" x14ac:dyDescent="0.25">
      <c r="A109">
        <v>202106</v>
      </c>
      <c r="B109">
        <v>20392</v>
      </c>
      <c r="C109">
        <v>1913</v>
      </c>
      <c r="E109" s="2">
        <f t="shared" si="6"/>
        <v>1</v>
      </c>
      <c r="G109">
        <v>896</v>
      </c>
      <c r="H109" s="13">
        <f t="shared" si="9"/>
        <v>4.3938799529227149E-2</v>
      </c>
      <c r="J109">
        <v>773</v>
      </c>
      <c r="K109" s="13">
        <f t="shared" si="10"/>
        <v>3.7907022361710473E-2</v>
      </c>
      <c r="L109">
        <v>5539</v>
      </c>
      <c r="M109" s="13">
        <f t="shared" si="11"/>
        <v>0.27162612789329149</v>
      </c>
      <c r="N109">
        <v>4139</v>
      </c>
      <c r="O109" s="7">
        <f t="shared" si="7"/>
        <v>0.20297175362887407</v>
      </c>
      <c r="P109">
        <v>1400</v>
      </c>
      <c r="Q109" s="14">
        <f t="shared" si="12"/>
        <v>6.8654374264417423E-2</v>
      </c>
      <c r="R109">
        <v>13184</v>
      </c>
      <c r="S109" s="17">
        <f t="shared" si="8"/>
        <v>0.64652805021577087</v>
      </c>
      <c r="U109">
        <v>956</v>
      </c>
      <c r="V109">
        <v>637</v>
      </c>
      <c r="W109">
        <v>2</v>
      </c>
      <c r="X109">
        <v>452</v>
      </c>
      <c r="Y109">
        <v>246</v>
      </c>
      <c r="Z109" s="13">
        <v>0.502</v>
      </c>
    </row>
    <row r="110" spans="1:26" x14ac:dyDescent="0.25">
      <c r="A110">
        <v>202107</v>
      </c>
      <c r="B110">
        <v>10507</v>
      </c>
      <c r="C110">
        <v>1805</v>
      </c>
      <c r="E110" s="2">
        <f t="shared" si="6"/>
        <v>1</v>
      </c>
      <c r="G110">
        <v>430</v>
      </c>
      <c r="H110" s="13">
        <f t="shared" si="9"/>
        <v>4.0925097554011608E-2</v>
      </c>
      <c r="J110">
        <v>451</v>
      </c>
      <c r="K110" s="13">
        <f t="shared" si="10"/>
        <v>4.2923765108974971E-2</v>
      </c>
      <c r="L110">
        <v>2895</v>
      </c>
      <c r="M110" s="13">
        <f t="shared" si="11"/>
        <v>0.27553059864852003</v>
      </c>
      <c r="N110">
        <v>2166</v>
      </c>
      <c r="O110" s="7">
        <f t="shared" si="7"/>
        <v>0.20614828209764918</v>
      </c>
      <c r="P110">
        <v>729</v>
      </c>
      <c r="Q110" s="14">
        <f t="shared" si="12"/>
        <v>6.9382316550870848E-2</v>
      </c>
      <c r="R110">
        <v>6731</v>
      </c>
      <c r="S110" s="17">
        <f t="shared" si="8"/>
        <v>0.64062053868849334</v>
      </c>
      <c r="U110">
        <v>992</v>
      </c>
      <c r="V110">
        <v>193</v>
      </c>
      <c r="W110">
        <v>1</v>
      </c>
      <c r="X110">
        <v>285</v>
      </c>
      <c r="Y110">
        <v>430</v>
      </c>
      <c r="Z110" s="13">
        <v>0.48099999999999998</v>
      </c>
    </row>
    <row r="111" spans="1:26" x14ac:dyDescent="0.25">
      <c r="A111">
        <v>202108</v>
      </c>
      <c r="B111">
        <v>16427</v>
      </c>
      <c r="C111">
        <v>1825</v>
      </c>
      <c r="E111" s="2">
        <f t="shared" si="6"/>
        <v>1</v>
      </c>
      <c r="G111">
        <v>519</v>
      </c>
      <c r="H111" s="13">
        <f t="shared" si="9"/>
        <v>3.1594326413830885E-2</v>
      </c>
      <c r="J111">
        <v>752</v>
      </c>
      <c r="K111" s="13">
        <f t="shared" si="10"/>
        <v>4.577829183661046E-2</v>
      </c>
      <c r="L111">
        <v>3345</v>
      </c>
      <c r="M111" s="13">
        <f t="shared" si="11"/>
        <v>0.20362817312960371</v>
      </c>
      <c r="N111">
        <v>2599</v>
      </c>
      <c r="O111" s="7">
        <f t="shared" si="7"/>
        <v>0.15821513362147685</v>
      </c>
      <c r="P111">
        <v>746</v>
      </c>
      <c r="Q111" s="14">
        <f t="shared" si="12"/>
        <v>4.5413039508126862E-2</v>
      </c>
      <c r="R111">
        <v>11811</v>
      </c>
      <c r="S111" s="17">
        <f t="shared" si="8"/>
        <v>0.71899920861995492</v>
      </c>
      <c r="U111">
        <v>1072</v>
      </c>
      <c r="V111">
        <v>494</v>
      </c>
      <c r="W111">
        <v>11</v>
      </c>
      <c r="X111">
        <v>152</v>
      </c>
      <c r="Y111">
        <v>95</v>
      </c>
      <c r="Z111" s="13">
        <v>0.5</v>
      </c>
    </row>
    <row r="112" spans="1:26" x14ac:dyDescent="0.25">
      <c r="A112">
        <v>202109</v>
      </c>
      <c r="B112">
        <v>17992</v>
      </c>
      <c r="C112">
        <v>1742</v>
      </c>
      <c r="E112" s="2">
        <f t="shared" si="6"/>
        <v>1</v>
      </c>
      <c r="G112">
        <v>408</v>
      </c>
      <c r="H112" s="13">
        <f t="shared" si="9"/>
        <v>2.267674522009782E-2</v>
      </c>
      <c r="J112">
        <v>548</v>
      </c>
      <c r="K112" s="13">
        <f t="shared" si="10"/>
        <v>3.0457981325033349E-2</v>
      </c>
      <c r="L112">
        <v>3090</v>
      </c>
      <c r="M112" s="13">
        <f t="shared" si="11"/>
        <v>0.17174299688750555</v>
      </c>
      <c r="N112">
        <v>2508</v>
      </c>
      <c r="O112" s="7">
        <f t="shared" si="7"/>
        <v>0.13939528679413071</v>
      </c>
      <c r="P112">
        <v>582</v>
      </c>
      <c r="Q112" s="14">
        <f t="shared" si="12"/>
        <v>3.234771009337483E-2</v>
      </c>
      <c r="R112">
        <v>13946</v>
      </c>
      <c r="S112" s="17">
        <f t="shared" si="8"/>
        <v>0.77512227656736332</v>
      </c>
      <c r="U112">
        <v>1083</v>
      </c>
      <c r="V112">
        <v>407</v>
      </c>
      <c r="W112">
        <v>15</v>
      </c>
      <c r="X112">
        <v>381</v>
      </c>
      <c r="Y112">
        <v>45</v>
      </c>
      <c r="Z112" s="13">
        <v>0.59099999999999997</v>
      </c>
    </row>
    <row r="113" spans="1:26" x14ac:dyDescent="0.25">
      <c r="A113">
        <v>202110</v>
      </c>
      <c r="B113">
        <v>11579</v>
      </c>
      <c r="C113">
        <v>1577</v>
      </c>
      <c r="E113" s="2">
        <f t="shared" si="6"/>
        <v>1</v>
      </c>
      <c r="G113">
        <v>302</v>
      </c>
      <c r="H113" s="13">
        <f t="shared" si="9"/>
        <v>2.6081699628638051E-2</v>
      </c>
      <c r="J113">
        <v>428</v>
      </c>
      <c r="K113" s="13">
        <f t="shared" si="10"/>
        <v>3.6963468347871148E-2</v>
      </c>
      <c r="L113">
        <v>2733</v>
      </c>
      <c r="M113" s="13">
        <f t="shared" si="11"/>
        <v>0.23603074531479401</v>
      </c>
      <c r="N113">
        <v>2226</v>
      </c>
      <c r="O113" s="7">
        <f t="shared" si="7"/>
        <v>0.19224458070645134</v>
      </c>
      <c r="P113">
        <v>507</v>
      </c>
      <c r="Q113" s="14">
        <f t="shared" si="12"/>
        <v>4.3786164608342691E-2</v>
      </c>
      <c r="R113">
        <v>8116</v>
      </c>
      <c r="S113" s="17">
        <f t="shared" si="8"/>
        <v>0.70092408670869677</v>
      </c>
      <c r="U113">
        <v>1090</v>
      </c>
      <c r="V113">
        <v>348</v>
      </c>
      <c r="W113">
        <v>22</v>
      </c>
      <c r="X113">
        <v>468</v>
      </c>
      <c r="Y113">
        <v>41</v>
      </c>
      <c r="Z113" s="13">
        <v>0.55000000000000004</v>
      </c>
    </row>
    <row r="114" spans="1:26" x14ac:dyDescent="0.25">
      <c r="A114">
        <v>202111</v>
      </c>
      <c r="B114">
        <v>15274</v>
      </c>
      <c r="C114">
        <v>1583</v>
      </c>
      <c r="E114" s="2">
        <f t="shared" si="6"/>
        <v>1.0039282440748984</v>
      </c>
      <c r="G114">
        <v>416</v>
      </c>
      <c r="H114" s="13">
        <f t="shared" si="9"/>
        <v>2.7235825585963075E-2</v>
      </c>
      <c r="J114">
        <v>356</v>
      </c>
      <c r="K114" s="13">
        <f t="shared" si="10"/>
        <v>2.3307581511064553E-2</v>
      </c>
      <c r="L114">
        <v>3288</v>
      </c>
      <c r="M114" s="13">
        <f t="shared" si="11"/>
        <v>0.21526777530443891</v>
      </c>
      <c r="N114">
        <v>2653</v>
      </c>
      <c r="O114" s="7">
        <f t="shared" si="7"/>
        <v>0.17369385884509625</v>
      </c>
      <c r="P114">
        <v>575</v>
      </c>
      <c r="Q114" s="14">
        <f t="shared" si="12"/>
        <v>3.7645672384444155E-2</v>
      </c>
      <c r="R114">
        <v>11274</v>
      </c>
      <c r="S114" s="17">
        <f t="shared" si="8"/>
        <v>0.73811706167343194</v>
      </c>
      <c r="U114">
        <v>1116</v>
      </c>
      <c r="V114">
        <v>432</v>
      </c>
      <c r="W114">
        <v>13</v>
      </c>
      <c r="X114">
        <v>384</v>
      </c>
      <c r="Y114">
        <v>32</v>
      </c>
      <c r="Z114" s="13">
        <v>0.55700000000000005</v>
      </c>
    </row>
    <row r="115" spans="1:26" x14ac:dyDescent="0.25">
      <c r="A115">
        <v>202112</v>
      </c>
      <c r="B115">
        <v>20564</v>
      </c>
      <c r="C115">
        <v>1462</v>
      </c>
      <c r="E115" s="2">
        <f t="shared" si="6"/>
        <v>1.0001458860143941</v>
      </c>
      <c r="G115">
        <v>720</v>
      </c>
      <c r="H115" s="13">
        <f t="shared" si="9"/>
        <v>3.501264345458082E-2</v>
      </c>
      <c r="J115">
        <v>686</v>
      </c>
      <c r="K115" s="13">
        <f t="shared" si="10"/>
        <v>3.3359268624781169E-2</v>
      </c>
      <c r="L115">
        <v>5358</v>
      </c>
      <c r="M115" s="13">
        <f t="shared" si="11"/>
        <v>0.26055242170783893</v>
      </c>
      <c r="N115">
        <v>4706</v>
      </c>
      <c r="O115" s="7">
        <f t="shared" si="7"/>
        <v>0.22884652791285742</v>
      </c>
      <c r="P115">
        <v>652</v>
      </c>
      <c r="Q115" s="14">
        <f t="shared" si="12"/>
        <v>3.1705893794981524E-2</v>
      </c>
      <c r="R115">
        <v>13803</v>
      </c>
      <c r="S115" s="17">
        <f t="shared" si="8"/>
        <v>0.67122155222719315</v>
      </c>
      <c r="U115">
        <v>828</v>
      </c>
      <c r="V115">
        <v>377</v>
      </c>
      <c r="W115">
        <v>9</v>
      </c>
      <c r="X115">
        <v>297</v>
      </c>
      <c r="Y115">
        <v>33</v>
      </c>
      <c r="Z115" s="13">
        <v>0.46600000000000003</v>
      </c>
    </row>
    <row r="116" spans="1:26" x14ac:dyDescent="0.25">
      <c r="A116">
        <v>202201</v>
      </c>
      <c r="B116">
        <v>7957</v>
      </c>
      <c r="C116">
        <v>1000</v>
      </c>
      <c r="E116" s="2">
        <f t="shared" si="6"/>
        <v>1</v>
      </c>
      <c r="G116">
        <v>212</v>
      </c>
      <c r="H116" s="13">
        <f t="shared" si="9"/>
        <v>2.6643207238909138E-2</v>
      </c>
      <c r="J116">
        <v>175</v>
      </c>
      <c r="K116" s="13">
        <f t="shared" si="10"/>
        <v>2.1993213522684428E-2</v>
      </c>
      <c r="L116">
        <v>910</v>
      </c>
      <c r="M116" s="13">
        <f t="shared" si="11"/>
        <v>0.11436471031795903</v>
      </c>
      <c r="N116">
        <v>539</v>
      </c>
      <c r="O116" s="7">
        <f t="shared" si="7"/>
        <v>6.7739097649868046E-2</v>
      </c>
      <c r="P116">
        <v>371</v>
      </c>
      <c r="Q116" s="14">
        <f t="shared" si="12"/>
        <v>4.6625612668090989E-2</v>
      </c>
      <c r="R116">
        <v>6660</v>
      </c>
      <c r="S116" s="17">
        <f t="shared" si="8"/>
        <v>0.83699886892044739</v>
      </c>
      <c r="U116">
        <v>783</v>
      </c>
      <c r="V116">
        <v>371</v>
      </c>
      <c r="W116">
        <v>10</v>
      </c>
      <c r="X116">
        <v>439</v>
      </c>
      <c r="Y116">
        <v>60</v>
      </c>
      <c r="Z116" s="13">
        <v>0.60499999999999998</v>
      </c>
    </row>
    <row r="117" spans="1:26" x14ac:dyDescent="0.25">
      <c r="A117">
        <v>202202</v>
      </c>
      <c r="B117">
        <v>8147</v>
      </c>
      <c r="C117">
        <v>1013</v>
      </c>
      <c r="E117" s="2">
        <f t="shared" si="6"/>
        <v>1</v>
      </c>
      <c r="G117">
        <v>379</v>
      </c>
      <c r="H117" s="13">
        <f t="shared" si="9"/>
        <v>4.6520191481526946E-2</v>
      </c>
      <c r="J117">
        <v>385</v>
      </c>
      <c r="K117" s="13">
        <f t="shared" si="10"/>
        <v>4.7256658892843993E-2</v>
      </c>
      <c r="L117">
        <v>1223</v>
      </c>
      <c r="M117" s="13">
        <f t="shared" si="11"/>
        <v>0.15011660734012519</v>
      </c>
      <c r="N117">
        <v>852</v>
      </c>
      <c r="O117" s="7">
        <f t="shared" si="7"/>
        <v>0.10457837240702099</v>
      </c>
      <c r="P117">
        <v>371</v>
      </c>
      <c r="Q117" s="14">
        <f t="shared" si="12"/>
        <v>4.5538234933104209E-2</v>
      </c>
      <c r="R117">
        <v>6160</v>
      </c>
      <c r="S117" s="17">
        <f t="shared" si="8"/>
        <v>0.75610654228550389</v>
      </c>
      <c r="U117">
        <v>794</v>
      </c>
      <c r="V117">
        <v>250</v>
      </c>
      <c r="W117">
        <v>15</v>
      </c>
      <c r="X117">
        <v>344</v>
      </c>
      <c r="Y117">
        <v>27</v>
      </c>
      <c r="Z117" s="13">
        <v>0.55300000000000005</v>
      </c>
    </row>
    <row r="118" spans="1:26" x14ac:dyDescent="0.25">
      <c r="A118">
        <v>202203</v>
      </c>
      <c r="B118">
        <v>16238</v>
      </c>
      <c r="C118">
        <v>1694</v>
      </c>
      <c r="E118" s="2">
        <f t="shared" si="6"/>
        <v>1</v>
      </c>
      <c r="G118">
        <v>418</v>
      </c>
      <c r="H118" s="13">
        <f t="shared" si="9"/>
        <v>2.5742086463850226E-2</v>
      </c>
      <c r="J118">
        <v>450</v>
      </c>
      <c r="K118" s="13">
        <f t="shared" si="10"/>
        <v>2.7712772508929673E-2</v>
      </c>
      <c r="L118">
        <v>1387</v>
      </c>
      <c r="M118" s="13">
        <f t="shared" si="11"/>
        <v>8.541692326641212E-2</v>
      </c>
      <c r="N118">
        <v>947</v>
      </c>
      <c r="O118" s="7">
        <f t="shared" si="7"/>
        <v>5.8319990146569772E-2</v>
      </c>
      <c r="P118">
        <v>440</v>
      </c>
      <c r="Q118" s="14">
        <f t="shared" si="12"/>
        <v>2.7096933119842345E-2</v>
      </c>
      <c r="R118">
        <v>13983</v>
      </c>
      <c r="S118" s="17">
        <f t="shared" si="8"/>
        <v>0.86112821776080795</v>
      </c>
      <c r="U118">
        <v>1336</v>
      </c>
      <c r="V118">
        <v>495</v>
      </c>
      <c r="W118">
        <v>10</v>
      </c>
      <c r="X118">
        <v>396</v>
      </c>
      <c r="Y118">
        <v>30</v>
      </c>
      <c r="Z118" s="13">
        <v>0.69699999999999995</v>
      </c>
    </row>
    <row r="119" spans="1:26" x14ac:dyDescent="0.25">
      <c r="A119">
        <v>202204</v>
      </c>
      <c r="B119">
        <v>9725</v>
      </c>
      <c r="C119">
        <v>1499</v>
      </c>
      <c r="E119" s="2">
        <f t="shared" si="6"/>
        <v>1</v>
      </c>
      <c r="G119">
        <v>313</v>
      </c>
      <c r="H119" s="13">
        <f t="shared" si="9"/>
        <v>3.2185089974293056E-2</v>
      </c>
      <c r="J119">
        <v>514</v>
      </c>
      <c r="K119" s="13">
        <f t="shared" si="10"/>
        <v>5.2853470437017998E-2</v>
      </c>
      <c r="L119">
        <v>1691</v>
      </c>
      <c r="M119" s="13">
        <f t="shared" si="11"/>
        <v>0.17388174807197943</v>
      </c>
      <c r="N119">
        <v>982</v>
      </c>
      <c r="O119" s="7">
        <f t="shared" si="7"/>
        <v>0.10097686375321337</v>
      </c>
      <c r="P119">
        <v>709</v>
      </c>
      <c r="Q119" s="14">
        <f t="shared" si="12"/>
        <v>7.2904884318766072E-2</v>
      </c>
      <c r="R119">
        <v>7207</v>
      </c>
      <c r="S119" s="17">
        <f t="shared" si="8"/>
        <v>0.74107969151670949</v>
      </c>
      <c r="U119">
        <v>1099</v>
      </c>
      <c r="V119">
        <v>479</v>
      </c>
      <c r="W119">
        <v>13</v>
      </c>
      <c r="X119">
        <v>366</v>
      </c>
      <c r="Y119">
        <v>29</v>
      </c>
      <c r="Z119" s="13">
        <v>0.56499999999999995</v>
      </c>
    </row>
    <row r="120" spans="1:26" x14ac:dyDescent="0.25">
      <c r="A120">
        <v>202205</v>
      </c>
      <c r="B120">
        <v>11537</v>
      </c>
      <c r="C120">
        <v>1676</v>
      </c>
      <c r="E120" s="2">
        <f t="shared" si="6"/>
        <v>1</v>
      </c>
      <c r="G120">
        <v>423</v>
      </c>
      <c r="H120" s="13">
        <f t="shared" si="9"/>
        <v>3.6664644188263845E-2</v>
      </c>
      <c r="J120">
        <v>486</v>
      </c>
      <c r="K120" s="13">
        <f t="shared" si="10"/>
        <v>4.2125335875877613E-2</v>
      </c>
      <c r="L120">
        <v>2183</v>
      </c>
      <c r="M120" s="13">
        <f t="shared" si="11"/>
        <v>0.1892173008581087</v>
      </c>
      <c r="N120">
        <v>1375</v>
      </c>
      <c r="O120" s="7">
        <f t="shared" si="7"/>
        <v>0.11918176302331629</v>
      </c>
      <c r="P120">
        <v>808</v>
      </c>
      <c r="Q120" s="14">
        <f t="shared" si="12"/>
        <v>7.0035537834792411E-2</v>
      </c>
      <c r="R120">
        <v>8445</v>
      </c>
      <c r="S120" s="17">
        <f t="shared" si="8"/>
        <v>0.73199271907774988</v>
      </c>
      <c r="U120">
        <v>1183</v>
      </c>
      <c r="V120">
        <v>425</v>
      </c>
      <c r="W120">
        <v>12</v>
      </c>
      <c r="X120">
        <v>369</v>
      </c>
      <c r="Y120">
        <v>72</v>
      </c>
      <c r="Z120" s="13">
        <v>0.61499999999999999</v>
      </c>
    </row>
    <row r="121" spans="1:26" x14ac:dyDescent="0.25">
      <c r="A121">
        <v>202206</v>
      </c>
      <c r="B121">
        <v>14901</v>
      </c>
      <c r="C121">
        <v>1668</v>
      </c>
      <c r="E121" s="2">
        <f t="shared" si="6"/>
        <v>1</v>
      </c>
      <c r="G121">
        <v>551</v>
      </c>
      <c r="H121" s="13">
        <f t="shared" si="9"/>
        <v>3.6977384068183343E-2</v>
      </c>
      <c r="J121">
        <v>410</v>
      </c>
      <c r="K121" s="13">
        <f t="shared" si="10"/>
        <v>2.7514931883766192E-2</v>
      </c>
      <c r="L121">
        <v>2218</v>
      </c>
      <c r="M121" s="13">
        <f t="shared" si="11"/>
        <v>0.14884907053217905</v>
      </c>
      <c r="N121">
        <v>1669</v>
      </c>
      <c r="O121" s="7">
        <f t="shared" si="7"/>
        <v>0.11200590564391652</v>
      </c>
      <c r="P121">
        <v>549</v>
      </c>
      <c r="Q121" s="14">
        <f t="shared" si="12"/>
        <v>3.6843164888262531E-2</v>
      </c>
      <c r="R121">
        <v>11722</v>
      </c>
      <c r="S121" s="17">
        <f t="shared" si="8"/>
        <v>0.78665861351587141</v>
      </c>
      <c r="U121">
        <v>1207</v>
      </c>
      <c r="V121">
        <v>621</v>
      </c>
      <c r="W121">
        <v>3</v>
      </c>
      <c r="X121">
        <v>423</v>
      </c>
      <c r="Y121">
        <v>92</v>
      </c>
      <c r="Z121" s="13">
        <v>0.69</v>
      </c>
    </row>
    <row r="122" spans="1:26" x14ac:dyDescent="0.25">
      <c r="A122">
        <v>202207</v>
      </c>
      <c r="B122">
        <v>7247</v>
      </c>
      <c r="C122">
        <v>1127</v>
      </c>
      <c r="E122" s="2">
        <f t="shared" si="6"/>
        <v>1</v>
      </c>
      <c r="G122">
        <v>332</v>
      </c>
      <c r="H122" s="13">
        <f t="shared" si="9"/>
        <v>4.5812060162825997E-2</v>
      </c>
      <c r="J122">
        <v>247</v>
      </c>
      <c r="K122" s="13">
        <f t="shared" si="10"/>
        <v>3.4083068856078376E-2</v>
      </c>
      <c r="L122">
        <v>1545</v>
      </c>
      <c r="M122" s="13">
        <f t="shared" si="11"/>
        <v>0.21319166551676555</v>
      </c>
      <c r="N122">
        <v>890</v>
      </c>
      <c r="O122" s="7">
        <f t="shared" si="7"/>
        <v>0.12280943838829861</v>
      </c>
      <c r="P122">
        <v>655</v>
      </c>
      <c r="Q122" s="14">
        <f t="shared" si="12"/>
        <v>9.0382227128466955E-2</v>
      </c>
      <c r="R122">
        <v>5123</v>
      </c>
      <c r="S122" s="17">
        <f t="shared" si="8"/>
        <v>0.70691320546433012</v>
      </c>
      <c r="U122">
        <v>791</v>
      </c>
      <c r="V122">
        <v>304</v>
      </c>
      <c r="W122">
        <v>3</v>
      </c>
      <c r="X122">
        <v>237</v>
      </c>
      <c r="Y122">
        <v>45</v>
      </c>
      <c r="Z122" s="13">
        <v>0.61499999999999999</v>
      </c>
    </row>
    <row r="123" spans="1:26" x14ac:dyDescent="0.25">
      <c r="A123">
        <v>202208</v>
      </c>
      <c r="B123">
        <v>12363</v>
      </c>
      <c r="C123">
        <v>1245</v>
      </c>
      <c r="E123" s="2">
        <f t="shared" si="6"/>
        <v>1</v>
      </c>
      <c r="G123">
        <v>472</v>
      </c>
      <c r="H123" s="13">
        <f t="shared" si="9"/>
        <v>3.8178435654776348E-2</v>
      </c>
      <c r="J123">
        <v>288</v>
      </c>
      <c r="K123" s="13">
        <f t="shared" si="10"/>
        <v>2.3295316670710994E-2</v>
      </c>
      <c r="L123">
        <v>2356</v>
      </c>
      <c r="M123" s="13">
        <f t="shared" si="11"/>
        <v>0.19056863220901077</v>
      </c>
      <c r="N123">
        <v>1401</v>
      </c>
      <c r="O123" s="7">
        <f t="shared" si="7"/>
        <v>0.11332200922106285</v>
      </c>
      <c r="P123">
        <v>955</v>
      </c>
      <c r="Q123" s="14">
        <f t="shared" si="12"/>
        <v>7.7246622987947905E-2</v>
      </c>
      <c r="R123">
        <v>9247</v>
      </c>
      <c r="S123" s="17">
        <f t="shared" si="8"/>
        <v>0.74795761546550188</v>
      </c>
      <c r="U123">
        <v>898</v>
      </c>
      <c r="V123">
        <v>630</v>
      </c>
      <c r="W123">
        <v>12</v>
      </c>
      <c r="X123">
        <v>421</v>
      </c>
      <c r="Y123">
        <v>74</v>
      </c>
      <c r="Z123" s="13">
        <v>0.623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94DF1-1C5A-4953-83F1-2A875CF8F1A4}">
  <dimension ref="A1:A4"/>
  <sheetViews>
    <sheetView workbookViewId="0">
      <selection activeCell="A5" sqref="A5"/>
    </sheetView>
  </sheetViews>
  <sheetFormatPr defaultRowHeight="15" x14ac:dyDescent="0.25"/>
  <sheetData>
    <row r="1" spans="1:1" x14ac:dyDescent="0.25">
      <c r="A1" t="s">
        <v>16</v>
      </c>
    </row>
    <row r="2" spans="1:1" x14ac:dyDescent="0.25">
      <c r="A2" s="6" t="s">
        <v>27</v>
      </c>
    </row>
    <row r="3" spans="1:1" x14ac:dyDescent="0.25">
      <c r="A3" t="s">
        <v>19</v>
      </c>
    </row>
    <row r="4" spans="1:1" x14ac:dyDescent="0.25">
      <c r="A4" t="s">
        <v>28</v>
      </c>
    </row>
  </sheetData>
  <hyperlinks>
    <hyperlink ref="A2" r:id="rId1" xr:uid="{1991ED90-6F4C-49BE-8E27-52A88DD2C84E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5083af8e-c479-4bff-9f3e-2a380844c8c1" xsi:nil="true"/>
    <lcf76f155ced4ddcb4097134ff3c332f xmlns="1ae9c94a-2673-46e1-b5a6-dc0c87eae04c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4D02CDF85BB3C43825BB38CAE9C40BF" ma:contentTypeVersion="16" ma:contentTypeDescription="Create a new document." ma:contentTypeScope="" ma:versionID="2fb5f53940ec2c7f0a344607982ab2a5">
  <xsd:schema xmlns:xsd="http://www.w3.org/2001/XMLSchema" xmlns:xs="http://www.w3.org/2001/XMLSchema" xmlns:p="http://schemas.microsoft.com/office/2006/metadata/properties" xmlns:ns2="1ae9c94a-2673-46e1-b5a6-dc0c87eae04c" xmlns:ns3="5083af8e-c479-4bff-9f3e-2a380844c8c1" targetNamespace="http://schemas.microsoft.com/office/2006/metadata/properties" ma:root="true" ma:fieldsID="0d94da3d7173a37185eb1f1bab2ed9be" ns2:_="" ns3:_="">
    <xsd:import namespace="1ae9c94a-2673-46e1-b5a6-dc0c87eae04c"/>
    <xsd:import namespace="5083af8e-c479-4bff-9f3e-2a380844c8c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ae9c94a-2673-46e1-b5a6-dc0c87eae04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1e53c95e-727e-44f4-9ee8-bf1dacd917f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83af8e-c479-4bff-9f3e-2a380844c8c1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36ae1418-1b43-41e8-bcf0-187ce1a503fc}" ma:internalName="TaxCatchAll" ma:showField="CatchAllData" ma:web="5083af8e-c479-4bff-9f3e-2a380844c8c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14F16C9-F74E-4CAA-B7B8-5E225606C761}">
  <ds:schemaRefs>
    <ds:schemaRef ds:uri="http://purl.org/dc/terms/"/>
    <ds:schemaRef ds:uri="5083af8e-c479-4bff-9f3e-2a380844c8c1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1ae9c94a-2673-46e1-b5a6-dc0c87eae04c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38AD410B-FE07-4629-825B-47E04A07162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ae9c94a-2673-46e1-b5a6-dc0c87eae04c"/>
    <ds:schemaRef ds:uri="5083af8e-c479-4bff-9f3e-2a380844c8c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F887100-7B50-47F5-87D7-ABDD1957FF8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Andrew</dc:creator>
  <cp:lastModifiedBy>Robbie Andrew</cp:lastModifiedBy>
  <dcterms:created xsi:type="dcterms:W3CDTF">2019-03-03T08:33:48Z</dcterms:created>
  <dcterms:modified xsi:type="dcterms:W3CDTF">2022-09-01T12:59:50Z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0x01010074D02CDF85BB3C43825BB38CAE9C40BF</vt:lpwstr>
  </property>
  <property fmtid="{D5CDD505-2E9C-101B-9397-08002B2CF9AE}" pid="3" name="MediaServiceImageTags">
    <vt:lpwstr/>
  </property>
</Properties>
</file>